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18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90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ações" sheetId="1" r:id="rId5"/>
    <sheet state="visible" name="Compras" sheetId="2" r:id="rId6"/>
    <sheet state="visible" name="Notas" sheetId="3" r:id="rId7"/>
    <sheet state="visible" name="Notas de Compras" sheetId="4" r:id="rId8"/>
    <sheet state="visible" name="Itens de Compras" sheetId="5" r:id="rId9"/>
    <sheet state="visible" name="JUNHO 2025" sheetId="6" r:id="rId10"/>
    <sheet state="visible" name="JULHO 2025" sheetId="7" r:id="rId11"/>
    <sheet state="visible" name="AGOSTO 2025" sheetId="8" r:id="rId12"/>
    <sheet state="visible" name="SETEMBRO 2025" sheetId="9" r:id="rId13"/>
    <sheet state="visible" name="OUTUBRO 2025" sheetId="10" r:id="rId14"/>
    <sheet state="visible" name="NOVEMBRO 2025" sheetId="11" r:id="rId15"/>
    <sheet state="visible" name="DEZEMBRO 2025" sheetId="12" r:id="rId16"/>
    <sheet state="visible" name="JANEIRO 2026" sheetId="13" r:id="rId17"/>
    <sheet state="visible" name="FEVEREIRO 2026" sheetId="14" r:id="rId18"/>
    <sheet state="visible" name="MARÇO 2026" sheetId="15" r:id="rId19"/>
    <sheet state="visible" name="ABRIL 2026" sheetId="16" r:id="rId20"/>
    <sheet state="visible" name="MAIO 2026" sheetId="17" r:id="rId21"/>
    <sheet state="visible" name="JUNHO 2026" sheetId="18" r:id="rId22"/>
  </sheets>
  <definedNames/>
  <calcPr/>
</workbook>
</file>

<file path=xl/sharedStrings.xml><?xml version="1.0" encoding="utf-8"?>
<sst xmlns="http://schemas.openxmlformats.org/spreadsheetml/2006/main" count="23668" uniqueCount="7328">
  <si>
    <t>Identificação</t>
  </si>
  <si>
    <t>ID</t>
  </si>
  <si>
    <t>Data</t>
  </si>
  <si>
    <t>Loja</t>
  </si>
  <si>
    <t>Entrada/Saída</t>
  </si>
  <si>
    <t>Data Compra</t>
  </si>
  <si>
    <t>Fornecedor</t>
  </si>
  <si>
    <t xml:space="preserve">Valor </t>
  </si>
  <si>
    <t>Nota</t>
  </si>
  <si>
    <t>Branco</t>
  </si>
  <si>
    <t>Descrição</t>
  </si>
  <si>
    <t>Produto 1</t>
  </si>
  <si>
    <t>Quantidade 1</t>
  </si>
  <si>
    <t>Valor 1</t>
  </si>
  <si>
    <t>Preço</t>
  </si>
  <si>
    <t>Valor Soma  1</t>
  </si>
  <si>
    <t>Produto 2</t>
  </si>
  <si>
    <t>Quantidade 2</t>
  </si>
  <si>
    <t>Valor 2</t>
  </si>
  <si>
    <t>Nome</t>
  </si>
  <si>
    <t>Valor Soma 2</t>
  </si>
  <si>
    <t>Foto</t>
  </si>
  <si>
    <t>Produto 3</t>
  </si>
  <si>
    <t>Branco 2</t>
  </si>
  <si>
    <t>Quantidade 3</t>
  </si>
  <si>
    <t>Valor 3</t>
  </si>
  <si>
    <t>Inconsistência</t>
  </si>
  <si>
    <t>Pago CX</t>
  </si>
  <si>
    <t>Valor Soma 3</t>
  </si>
  <si>
    <t>Produto 4</t>
  </si>
  <si>
    <t>Usuário</t>
  </si>
  <si>
    <t>Tipo</t>
  </si>
  <si>
    <t>Quantidade 4</t>
  </si>
  <si>
    <t>Funcionário</t>
  </si>
  <si>
    <t>Valor 4</t>
  </si>
  <si>
    <t>Valor Soma 4</t>
  </si>
  <si>
    <t>Foto 1</t>
  </si>
  <si>
    <t>Sangria Entrada</t>
  </si>
  <si>
    <t>Produto 5</t>
  </si>
  <si>
    <t>Foto 2</t>
  </si>
  <si>
    <t>Quantidade 5</t>
  </si>
  <si>
    <t>Valor 5</t>
  </si>
  <si>
    <t>Foto 3</t>
  </si>
  <si>
    <t>Valor Soma 5</t>
  </si>
  <si>
    <t>Concluido</t>
  </si>
  <si>
    <t>Produto 6</t>
  </si>
  <si>
    <t>Valor</t>
  </si>
  <si>
    <t>Quantidade 6</t>
  </si>
  <si>
    <t>Movimentação</t>
  </si>
  <si>
    <t>Valor 6</t>
  </si>
  <si>
    <t>Data Movimentação</t>
  </si>
  <si>
    <t>Valor Soma 6</t>
  </si>
  <si>
    <t>Reembolso</t>
  </si>
  <si>
    <t>Produto 7</t>
  </si>
  <si>
    <t>Quantidade 7</t>
  </si>
  <si>
    <t>Desconto</t>
  </si>
  <si>
    <t>Conta Corrente</t>
  </si>
  <si>
    <t>Valor 7</t>
  </si>
  <si>
    <t>Selecionado</t>
  </si>
  <si>
    <t>Valor Soma 7</t>
  </si>
  <si>
    <t>3dfd838d</t>
  </si>
  <si>
    <t>Atualizar</t>
  </si>
  <si>
    <t>Produto 8</t>
  </si>
  <si>
    <t>Justificado</t>
  </si>
  <si>
    <t>Quantidade 8</t>
  </si>
  <si>
    <t>878cd857</t>
  </si>
  <si>
    <t>Justificativa</t>
  </si>
  <si>
    <t>Valor 8</t>
  </si>
  <si>
    <t>Valor Soma 8</t>
  </si>
  <si>
    <t>Produto 9</t>
  </si>
  <si>
    <t>fd26e337</t>
  </si>
  <si>
    <t>Quantidade 9</t>
  </si>
  <si>
    <t>Valor 9</t>
  </si>
  <si>
    <t>Morangos doce sabor (25/06/2025) - 10kg</t>
  </si>
  <si>
    <t>Valor Soma 9</t>
  </si>
  <si>
    <t>Produto 10</t>
  </si>
  <si>
    <t>Notas_Images/3dfd838d.Foto.173743.jpg</t>
  </si>
  <si>
    <t>Quantidade 10</t>
  </si>
  <si>
    <t>10kg</t>
  </si>
  <si>
    <t>Valor 10</t>
  </si>
  <si>
    <t>Valor Soma 10</t>
  </si>
  <si>
    <t>Saída</t>
  </si>
  <si>
    <t>Produto 11</t>
  </si>
  <si>
    <t>thebestacaicamposnovos@gmail.com</t>
  </si>
  <si>
    <t>Quantidade 11</t>
  </si>
  <si>
    <t>Valor 11</t>
  </si>
  <si>
    <t>R$ 9,00</t>
  </si>
  <si>
    <t>Valor Soma 11</t>
  </si>
  <si>
    <t>Produto 12</t>
  </si>
  <si>
    <t>Quantidade 12</t>
  </si>
  <si>
    <t>Valor 12</t>
  </si>
  <si>
    <t>Valor Soma 12</t>
  </si>
  <si>
    <t>taxa de entrega motoboy</t>
  </si>
  <si>
    <t>Produto 13</t>
  </si>
  <si>
    <t>Quantidade 13</t>
  </si>
  <si>
    <t>56fa2135</t>
  </si>
  <si>
    <t>Valor 13</t>
  </si>
  <si>
    <t>Valor Soma 13</t>
  </si>
  <si>
    <t>aae2062c</t>
  </si>
  <si>
    <t>Produto 14</t>
  </si>
  <si>
    <t>e41e28b8</t>
  </si>
  <si>
    <t>Quantidade 14</t>
  </si>
  <si>
    <t>26/05/2026 (Motoboy) -  - R$ 9,00</t>
  </si>
  <si>
    <t>Valor 14</t>
  </si>
  <si>
    <t>Multi (25/06/2025) - Quadros para alvará</t>
  </si>
  <si>
    <t>Valor Soma 14</t>
  </si>
  <si>
    <t>Notas_Images/56fa2135.Foto.210716.jpg</t>
  </si>
  <si>
    <t>Produto 15</t>
  </si>
  <si>
    <t>Quadros para alvará</t>
  </si>
  <si>
    <t>Quantidade 15</t>
  </si>
  <si>
    <t>Valor 15</t>
  </si>
  <si>
    <t>R$ 98,73</t>
  </si>
  <si>
    <t>Valor Soma 15</t>
  </si>
  <si>
    <t>Valor Total</t>
  </si>
  <si>
    <t>frutas</t>
  </si>
  <si>
    <t>b944522f</t>
  </si>
  <si>
    <t>Valor Nota</t>
  </si>
  <si>
    <t>544c9593</t>
  </si>
  <si>
    <t>26/05/2026 (Compra de Mercadorias) -  - R$ 98,73</t>
  </si>
  <si>
    <t>9ca5e99e</t>
  </si>
  <si>
    <t>R$ 71,27</t>
  </si>
  <si>
    <t>fa093783</t>
  </si>
  <si>
    <t>Cópias cia (25/06/2025) - Impressão alvará</t>
  </si>
  <si>
    <t>Notas_Images/9ca5e99e.Foto.211257.jpg</t>
  </si>
  <si>
    <t>Impressão alvará</t>
  </si>
  <si>
    <t>d7785b6e</t>
  </si>
  <si>
    <t>26/05/2026 (Compra de Mercadorias) -  - R$ 71,27</t>
  </si>
  <si>
    <t>R$ 250,00</t>
  </si>
  <si>
    <t>sangria marcelo</t>
  </si>
  <si>
    <t>0f3a82e7</t>
  </si>
  <si>
    <t>a36cb9b2</t>
  </si>
  <si>
    <t>0d63e77a</t>
  </si>
  <si>
    <t>b3b104fe</t>
  </si>
  <si>
    <t>Amadelli (23/06/2025) - Estoque seco</t>
  </si>
  <si>
    <t>26/05/2026 (Sangria) - Marcelo - R$ 250,00</t>
  </si>
  <si>
    <t>Notas_Images/0f3a82e7.Foto.014320.jpg</t>
  </si>
  <si>
    <t>Estoque seco</t>
  </si>
  <si>
    <t>R$ 78,69</t>
  </si>
  <si>
    <t>Notas_Images/0f3a82e7.Foto 1.014320.jpg</t>
  </si>
  <si>
    <t>influencer Junior e Fabi</t>
  </si>
  <si>
    <t>Notas_Images/0f3a82e7.Foto 2.014320.jpg</t>
  </si>
  <si>
    <t>Notas_Images/0f3a82e7.Foto 3.014324.jpg</t>
  </si>
  <si>
    <t>2fd9cab9</t>
  </si>
  <si>
    <t>27/05/2026 (Influencer) -  - R$ 78,69</t>
  </si>
  <si>
    <t>a3a95fee</t>
  </si>
  <si>
    <t>473e779f</t>
  </si>
  <si>
    <t>R$ 400,00</t>
  </si>
  <si>
    <t>FO-BRAN (26/06/2025) - Bebidas</t>
  </si>
  <si>
    <t>Notas_Images/a3a95fee.Foto.180951.jpg</t>
  </si>
  <si>
    <t>Bebidas</t>
  </si>
  <si>
    <t>27/05/2026 (Sangria) - Marcelo - R$ 400,00</t>
  </si>
  <si>
    <t>ec5cf7bc</t>
  </si>
  <si>
    <t>Entrada</t>
  </si>
  <si>
    <t>0fab9004</t>
  </si>
  <si>
    <t>Confeitaria Bom bocado (26/06/2025) - Café funcionários</t>
  </si>
  <si>
    <t>R$ 21,00</t>
  </si>
  <si>
    <t>Notas_Images/ec5cf7bc.Foto.234253.jpg</t>
  </si>
  <si>
    <t>Café funcionários</t>
  </si>
  <si>
    <t>troco</t>
  </si>
  <si>
    <t>0abd4fb3</t>
  </si>
  <si>
    <t>28/05/2026 (Caixa Troco) -  - R$ 21,00</t>
  </si>
  <si>
    <t>0caea211</t>
  </si>
  <si>
    <t>R$ 150,00</t>
  </si>
  <si>
    <t>3cbb3788</t>
  </si>
  <si>
    <t>Coper campos (26/06/2025) - Café funcionários</t>
  </si>
  <si>
    <t>Notas_Images/0caea211.Foto.234645.jpg</t>
  </si>
  <si>
    <t>28/05/2026 (Caixa Troco) -  - R$ 150,00</t>
  </si>
  <si>
    <t>a1abc740</t>
  </si>
  <si>
    <t>Amadelli (25/06/2025) - Estoque gelado</t>
  </si>
  <si>
    <t>R$ 29,31</t>
  </si>
  <si>
    <t>Notas_Images/a1abc740.Foto.013611.jpg</t>
  </si>
  <si>
    <t>Estoque gelado</t>
  </si>
  <si>
    <t>trocado por moedas</t>
  </si>
  <si>
    <t>1b55b6fea</t>
  </si>
  <si>
    <t>Notas_Images/a1abc740.Foto 1.013611.jpg</t>
  </si>
  <si>
    <t>Notas_Images/a1abc740.Foto 2.013611.jpg</t>
  </si>
  <si>
    <t>2cc4ebed</t>
  </si>
  <si>
    <t>f48b510c</t>
  </si>
  <si>
    <t>6c9ad39c</t>
  </si>
  <si>
    <t>Pago pelo Caixa</t>
  </si>
  <si>
    <t>28/05/2026 (Compra de Moedas) -  - R$ 29,31</t>
  </si>
  <si>
    <t>9eb3efca</t>
  </si>
  <si>
    <t>Coper campos (27/06/2025) - Café funcionários</t>
  </si>
  <si>
    <t>Notas_Images/2cc4ebed.Foto.210743.jpg</t>
  </si>
  <si>
    <t>R$ 450,00</t>
  </si>
  <si>
    <t>28/05/2026 (Sangria) - Marcelo - R$ 450,00</t>
  </si>
  <si>
    <t>ae30915d</t>
  </si>
  <si>
    <t>icm.jairo@gmail.com</t>
  </si>
  <si>
    <t>R$ 59,96</t>
  </si>
  <si>
    <t>5ceb440e</t>
  </si>
  <si>
    <t>108f7b1d1</t>
  </si>
  <si>
    <t>Fruteira da marta (27/06/2025) - Frutas</t>
  </si>
  <si>
    <t>Notas_Images/ae30915d.Foto.220331.jpg</t>
  </si>
  <si>
    <t>cafe funcionarios</t>
  </si>
  <si>
    <t>95d5ed5d</t>
  </si>
  <si>
    <t>Frutas</t>
  </si>
  <si>
    <t>junho VO 259,99</t>
  </si>
  <si>
    <t>9aa07662</t>
  </si>
  <si>
    <t>f2c5667b</t>
  </si>
  <si>
    <t>29/05/2026 (Compra de Mercadorias) -  - R$ 59,96</t>
  </si>
  <si>
    <t>R$ 300,00</t>
  </si>
  <si>
    <t>f5f08af3</t>
  </si>
  <si>
    <t>a31c126f</t>
  </si>
  <si>
    <t>Morango seu kinho (21/06/2025) - Morango</t>
  </si>
  <si>
    <t>Notas_Images/f5f08af3.Foto.221534.jpg</t>
  </si>
  <si>
    <t>Morango</t>
  </si>
  <si>
    <t>29/05/2026 (Sangria) - Marcelo - R$ 300,00</t>
  </si>
  <si>
    <t>457bb559</t>
  </si>
  <si>
    <t>embalagens VO 408,27</t>
  </si>
  <si>
    <t>R$ 227,35</t>
  </si>
  <si>
    <t>c65a390d</t>
  </si>
  <si>
    <t>frutas e cafe funcionarios</t>
  </si>
  <si>
    <t>f1c6e8e2</t>
  </si>
  <si>
    <t>5b6a2101</t>
  </si>
  <si>
    <t>30/05/2026 (Compra de Mercadorias) -  - R$ 227,35</t>
  </si>
  <si>
    <t>c9e347ef</t>
  </si>
  <si>
    <t>Estelar materiais de construção (27/06/2025) - Vedantes</t>
  </si>
  <si>
    <t>Notas_Images/f1c6e8e2.Foto.011136.jpg</t>
  </si>
  <si>
    <t>alinedcdalmeida@gmail.com</t>
  </si>
  <si>
    <t>Vedantes</t>
  </si>
  <si>
    <t>R$ 1.400,00</t>
  </si>
  <si>
    <t>1d90d05dc</t>
  </si>
  <si>
    <t>31/05/2026 (Sangria) - Marcelo - R$ 1.400,00</t>
  </si>
  <si>
    <t>estoque</t>
  </si>
  <si>
    <t>4d1e55fd</t>
  </si>
  <si>
    <t>e08f5080</t>
  </si>
  <si>
    <t>R$ 216,00</t>
  </si>
  <si>
    <t>f6cbeebc</t>
  </si>
  <si>
    <t>milena himmer free-lancer</t>
  </si>
  <si>
    <t>Zat (29/06/2025) - Café funcionários</t>
  </si>
  <si>
    <t>Notas_Images/e08f5080.Foto.011352.jpg</t>
  </si>
  <si>
    <t>1994aa8b</t>
  </si>
  <si>
    <t>daa4d6de</t>
  </si>
  <si>
    <t>31/05/2026 (Freelancer) -  - R$ 216,00</t>
  </si>
  <si>
    <t>138ae4c22</t>
  </si>
  <si>
    <t>R$ 190,00</t>
  </si>
  <si>
    <t>f0f9aa57</t>
  </si>
  <si>
    <t>Emanuele free-lancer</t>
  </si>
  <si>
    <t>Embalagens VO 957,85</t>
  </si>
  <si>
    <t>Coper campos (02/07/2025) - Café funcionários</t>
  </si>
  <si>
    <t>edff154d</t>
  </si>
  <si>
    <t>Notas_Images/f0f9aa57.Foto.221313.jpg</t>
  </si>
  <si>
    <t>31/05/2026 (Freelancer) -  - R$ 190,00</t>
  </si>
  <si>
    <t>1e3c8c805</t>
  </si>
  <si>
    <t>cfd344c9</t>
  </si>
  <si>
    <t>R$ 47,24</t>
  </si>
  <si>
    <t>26daa184</t>
  </si>
  <si>
    <t>Donna Faxina (03/07/2025) - Produtos de limpeza</t>
  </si>
  <si>
    <t>inicial VO 1876,94</t>
  </si>
  <si>
    <t>Notas_Images/cfd344c9.Foto.161358.jpg</t>
  </si>
  <si>
    <t>Produtos de limpeza</t>
  </si>
  <si>
    <t>5653310d</t>
  </si>
  <si>
    <t>31/05/2026 (Compra de Mercadorias) -  - R$ 47,24</t>
  </si>
  <si>
    <t>b7bb7735</t>
  </si>
  <si>
    <t>1f6de3397</t>
  </si>
  <si>
    <t>R$ 44,00</t>
  </si>
  <si>
    <t>Coper campos (04/07/2025) - Café funcionários</t>
  </si>
  <si>
    <t>Notas_Images/b7bb7735.Foto.171352.jpg</t>
  </si>
  <si>
    <t>fdaffb05</t>
  </si>
  <si>
    <t>Instalação de internet VO 1295</t>
  </si>
  <si>
    <t>fb43840e</t>
  </si>
  <si>
    <t>31/05/2026 (Motoboy) -  - R$ 44,00</t>
  </si>
  <si>
    <t>38f38240</t>
  </si>
  <si>
    <t>R$ 21,50</t>
  </si>
  <si>
    <t>Fruteira da marta (06/07/2025) - Frutas</t>
  </si>
  <si>
    <t>Notas_Images/38f38240.Foto.021703.jpg</t>
  </si>
  <si>
    <t>1f79c9a2d</t>
  </si>
  <si>
    <t>TROCO</t>
  </si>
  <si>
    <t>a1127f50</t>
  </si>
  <si>
    <t>embalagens VO 2650,33</t>
  </si>
  <si>
    <t>01/06/2026 (Caixa Troco) -  - R$ 21,50</t>
  </si>
  <si>
    <t>d366d3b0</t>
  </si>
  <si>
    <t>R$ 6,85</t>
  </si>
  <si>
    <t>Notas_Images/d366d3b0.Foto.021947.jpg</t>
  </si>
  <si>
    <t>146640d3f</t>
  </si>
  <si>
    <t>01/06/2026 (Caixa Troco) -  - R$ 6,85</t>
  </si>
  <si>
    <t>a08a40ea</t>
  </si>
  <si>
    <t>Limpeza</t>
  </si>
  <si>
    <t>7410e18b</t>
  </si>
  <si>
    <t>R$ 82,75</t>
  </si>
  <si>
    <t>decoração dia dos namorados</t>
  </si>
  <si>
    <t>Superviza Supermercado (06/07/2025) - Frutas e complemento Café funcionários</t>
  </si>
  <si>
    <t>Notas_Images/a08a40ea.Foto.022424.jpg</t>
  </si>
  <si>
    <t>16a3a5981</t>
  </si>
  <si>
    <t>Frutas e complemento Café funcionários</t>
  </si>
  <si>
    <t>b8876d9b</t>
  </si>
  <si>
    <t>01/06/2026 (Compra de Mercadorias) -  - R$ 82,75</t>
  </si>
  <si>
    <t>Embalagens</t>
  </si>
  <si>
    <t>29ebb9c7</t>
  </si>
  <si>
    <t>R$ 32,00</t>
  </si>
  <si>
    <t>manutenção loja</t>
  </si>
  <si>
    <t>Fruteira da marta (07/07/2025) - Frutas</t>
  </si>
  <si>
    <t>8da7c0fc</t>
  </si>
  <si>
    <t>Notas_Images/29ebb9c7.Foto.004524.jpg</t>
  </si>
  <si>
    <t>01/06/2026 (Compra de Mercadorias) -  - R$ 32,00</t>
  </si>
  <si>
    <t>18bb1c217</t>
  </si>
  <si>
    <t>R$ 650,00</t>
  </si>
  <si>
    <t>350b6d62</t>
  </si>
  <si>
    <t>01/06/2026 (Sangria) - Marcelo - R$ 650,00</t>
  </si>
  <si>
    <t>c7d54366</t>
  </si>
  <si>
    <t>Coper campos (07/07/2025) - Café funcionários</t>
  </si>
  <si>
    <t>Notas_Images/c7d54366.Foto.004822.jpg</t>
  </si>
  <si>
    <t>02/06/2026 (Sangria) - Marcelo - R$ 300,00</t>
  </si>
  <si>
    <t>1c7b59aae</t>
  </si>
  <si>
    <t>R$ 86,87</t>
  </si>
  <si>
    <t>enfeite dia dos namorados</t>
  </si>
  <si>
    <t>4239aac2</t>
  </si>
  <si>
    <t>1530af6b</t>
  </si>
  <si>
    <t>03/06/2026 (Compra de Mercadorias) -  - R$ 86,87</t>
  </si>
  <si>
    <t>4b7d5a73</t>
  </si>
  <si>
    <t>UltraTelecon (10/07/2025) - Internete</t>
  </si>
  <si>
    <t>R$ 524,76</t>
  </si>
  <si>
    <t>Notas_Images/4239aac2.Foto.161626.jpg</t>
  </si>
  <si>
    <t>FRUTAS E CAFE FUNCIONARIOS</t>
  </si>
  <si>
    <t>Internete</t>
  </si>
  <si>
    <t>0e2ea3b8</t>
  </si>
  <si>
    <t>03/06/2026 (Compra de Mercadorias) -  - R$ 524,76</t>
  </si>
  <si>
    <t>12a6438b8</t>
  </si>
  <si>
    <t>R$ 12,97</t>
  </si>
  <si>
    <t>b2127e36</t>
  </si>
  <si>
    <t>DECORAÇÃO DIA DOS NAMORADOS</t>
  </si>
  <si>
    <t>b529e3e5</t>
  </si>
  <si>
    <t>Coper campos (09/07/2025) - Café funcionários</t>
  </si>
  <si>
    <t>03/06/2026 (Compra de Mercadorias) -  - R$ 12,97</t>
  </si>
  <si>
    <t>Notas_Images/b2127e36.Foto.205921.jpg</t>
  </si>
  <si>
    <t>R$ 22,00</t>
  </si>
  <si>
    <t>DECORAÇÃO COPA</t>
  </si>
  <si>
    <t>d8da55e1</t>
  </si>
  <si>
    <t>1f6a421c7</t>
  </si>
  <si>
    <t>03/06/2026 (Compra de Mercadorias) -  - R$ 22,00</t>
  </si>
  <si>
    <t>f4957f42</t>
  </si>
  <si>
    <t>taxa de motoboy</t>
  </si>
  <si>
    <t>FO-BRAN (09/07/2025) - Bebidas</t>
  </si>
  <si>
    <t>Notas_Images/f4957f42.Foto.210707.jpg</t>
  </si>
  <si>
    <t>03/06/2026 (Motoboy) -  - R$ 21,00</t>
  </si>
  <si>
    <t>R$ 10,00</t>
  </si>
  <si>
    <t>uber</t>
  </si>
  <si>
    <t>03/06/2026 (Compra de Mercadorias) -  - R$ 10,00</t>
  </si>
  <si>
    <t>6ee7980a</t>
  </si>
  <si>
    <t>1113dc494</t>
  </si>
  <si>
    <t>Não foi pego recibo</t>
  </si>
  <si>
    <t>Superviza Supermercado (11/07/2025) - Café funcionários</t>
  </si>
  <si>
    <t>ca16520b</t>
  </si>
  <si>
    <t>R$ 550,00</t>
  </si>
  <si>
    <t>Notas_Images/6ee7980a.Foto.203924.jpg</t>
  </si>
  <si>
    <t>junho</t>
  </si>
  <si>
    <t>sangria cx mari</t>
  </si>
  <si>
    <t>1836c060</t>
  </si>
  <si>
    <t>8819726c</t>
  </si>
  <si>
    <t>04/06/2026 (Sangria) - Mariane - R$ 550,00</t>
  </si>
  <si>
    <t>R$ 12,00</t>
  </si>
  <si>
    <t>229b9b19</t>
  </si>
  <si>
    <t>taxa de entrega</t>
  </si>
  <si>
    <t>1f29ed9e5</t>
  </si>
  <si>
    <t>05/06/2026 (Motoboy) -  - R$ 12,00</t>
  </si>
  <si>
    <t>Fruteira da marta (11/07/2025) - Frutas</t>
  </si>
  <si>
    <t>Notas_Images/229b9b19.Foto.020901.jpg</t>
  </si>
  <si>
    <t>R$ 135,24</t>
  </si>
  <si>
    <t>influencer fabyelli e junior</t>
  </si>
  <si>
    <t>05/06/2026 (Influencer) -  - R$ 135,24</t>
  </si>
  <si>
    <t>dac57bb3</t>
  </si>
  <si>
    <t>R$ 51,60</t>
  </si>
  <si>
    <t>consumo Isabelle</t>
  </si>
  <si>
    <t>b3e64e67</t>
  </si>
  <si>
    <t>147344c6</t>
  </si>
  <si>
    <t>Samae (10/08/2025) - Fatura de agua</t>
  </si>
  <si>
    <t>57411272</t>
  </si>
  <si>
    <t>172f668de</t>
  </si>
  <si>
    <t>Notas_Images/dac57bb3.Foto.152850.jpg</t>
  </si>
  <si>
    <t>Fatura de agua</t>
  </si>
  <si>
    <t>05/06/2026 (Consumo) - Isabeli Grassmann - R$ 51,60</t>
  </si>
  <si>
    <t>adm</t>
  </si>
  <si>
    <t>bf7ef01f</t>
  </si>
  <si>
    <t>7f866bed</t>
  </si>
  <si>
    <t>05/06/2026 (Caixa Troco) -  - R$ 10,00</t>
  </si>
  <si>
    <t>Amadelli (07/07/2025) - Estoque seco 69736</t>
  </si>
  <si>
    <t>Notas_Images/7f866bed.Foto.155333.jpg</t>
  </si>
  <si>
    <t>b568bd90</t>
  </si>
  <si>
    <t>R$ 1.350,00</t>
  </si>
  <si>
    <t>Estoque seco 69736</t>
  </si>
  <si>
    <t>1aca07350</t>
  </si>
  <si>
    <t>SANGRIA MARCELO</t>
  </si>
  <si>
    <t>luely.tba@gmail.com</t>
  </si>
  <si>
    <t>Notas_Images/7f866bed.Foto 1.155333.jpg</t>
  </si>
  <si>
    <t>Notas_Images/7f866bed.Foto 2.155333.jpg</t>
  </si>
  <si>
    <t>05/06/2026 (Sangria) - Marcelo - R$ 1.350,00</t>
  </si>
  <si>
    <t>R$ 84,00</t>
  </si>
  <si>
    <t>8fc78069</t>
  </si>
  <si>
    <t>Outros</t>
  </si>
  <si>
    <t>06/06/2026 (Caixa Troco) -  - R$ 84,00</t>
  </si>
  <si>
    <t>Morango seu kinho (14/07/2025) - 15 cx morangos</t>
  </si>
  <si>
    <t>Notas_Images/8fc78069.Foto.163831.jpg</t>
  </si>
  <si>
    <t>15 cx morangos</t>
  </si>
  <si>
    <t>R$ 0,11</t>
  </si>
  <si>
    <t>74b6e132</t>
  </si>
  <si>
    <t>1210bc542</t>
  </si>
  <si>
    <t>Notas_Images/8fc78069.Foto 1.163831.jpg</t>
  </si>
  <si>
    <t>troco acima</t>
  </si>
  <si>
    <t>71aae695</t>
  </si>
  <si>
    <t>06/06/2026 (Caixa Troco) -  - R$ 0,11</t>
  </si>
  <si>
    <t>8c2c7e91</t>
  </si>
  <si>
    <t>b4de89a3</t>
  </si>
  <si>
    <t>R$ 20,00</t>
  </si>
  <si>
    <t>Donna Faxina (14/07/2025) - Produtos de limpeza</t>
  </si>
  <si>
    <t>Notas_Images/8c2c7e91.Foto.190104.jpg</t>
  </si>
  <si>
    <t>06/06/2026 (Motoboy) -  - R$ 20,00</t>
  </si>
  <si>
    <t>R$ 125,06</t>
  </si>
  <si>
    <t>112ad821b</t>
  </si>
  <si>
    <t>06/06/2026 (Compra de Mercadorias) -  - R$ 125,06</t>
  </si>
  <si>
    <t>8d78e66c</t>
  </si>
  <si>
    <t>serviços</t>
  </si>
  <si>
    <t>R$ 1.450,00</t>
  </si>
  <si>
    <t>FO-BRAN (15/07/2025) - Bebidas</t>
  </si>
  <si>
    <t>SANGRIA MAIANE REF 06/06</t>
  </si>
  <si>
    <t>Notas_Images/8d78e66c.Foto.193408.jpg</t>
  </si>
  <si>
    <t>07/06/2026 (Sangria) - Mariane - R$ 1.450,00</t>
  </si>
  <si>
    <t>R$ 100,00</t>
  </si>
  <si>
    <t>1493fbb5c</t>
  </si>
  <si>
    <t>PGTO MILENA HIMMER FREE-LANCER</t>
  </si>
  <si>
    <t>1aed0e26</t>
  </si>
  <si>
    <t>428bcae8</t>
  </si>
  <si>
    <t>07/06/2026 (Freelancer) -  - R$ 100,00</t>
  </si>
  <si>
    <t>dda</t>
  </si>
  <si>
    <t>Estelar materiais de construção (17/07/2025) - Materiais para ajustes</t>
  </si>
  <si>
    <t>R$ 302,00</t>
  </si>
  <si>
    <t>Notas_Images/1aed0e26.Foto.194103.jpg</t>
  </si>
  <si>
    <t>Materiais para ajustes</t>
  </si>
  <si>
    <t>PGTO EMANUELE FREE-LANCER</t>
  </si>
  <si>
    <t>152df720</t>
  </si>
  <si>
    <t>07/06/2026 (Freelancer) -  - R$ 302,00</t>
  </si>
  <si>
    <t>R$ 280,00</t>
  </si>
  <si>
    <t>b94a3d27</t>
  </si>
  <si>
    <t>1c2d80308</t>
  </si>
  <si>
    <t>PGTO SIANDRA FREE-LANCER</t>
  </si>
  <si>
    <t>ef0975e9</t>
  </si>
  <si>
    <t>7d217a35</t>
  </si>
  <si>
    <t>CN comércio de utilidades (17/07/2025) - Panos limpeza</t>
  </si>
  <si>
    <t>d1455214</t>
  </si>
  <si>
    <t>07/06/2026 (Freelancer) -  - R$ 280,00</t>
  </si>
  <si>
    <t>Notas_Images/b94a3d27.Foto.201757.jpg</t>
  </si>
  <si>
    <t>taxas por recebimento em pix</t>
  </si>
  <si>
    <t>Panos limpeza</t>
  </si>
  <si>
    <t>448a369d</t>
  </si>
  <si>
    <t>R$ 900,00</t>
  </si>
  <si>
    <t>07/06/2026 (Sangria) - Marcelo - R$ 900,00</t>
  </si>
  <si>
    <t>8f49da63</t>
  </si>
  <si>
    <t>R$ 700,00</t>
  </si>
  <si>
    <t>1bad1291d</t>
  </si>
  <si>
    <t>Superviza Supermercado (17/07/2025) - Café funcionários</t>
  </si>
  <si>
    <t>Notas_Images/8f49da63.Foto.202107.jpg</t>
  </si>
  <si>
    <t>08/06/2026 (Sangria) - Marcelo - R$ 700,00</t>
  </si>
  <si>
    <t>R$ 210,00</t>
  </si>
  <si>
    <t>RENOVAÇÃO DOS EXTINTORES</t>
  </si>
  <si>
    <t>e168a83b</t>
  </si>
  <si>
    <t>57374cb0</t>
  </si>
  <si>
    <t>09/06/2026 (Compra de Mercadorias) -  - R$ 210,00</t>
  </si>
  <si>
    <t>8eda4ae6</t>
  </si>
  <si>
    <t>R$ 200,00</t>
  </si>
  <si>
    <t>Mercado Super lucas (15/07/2025) - Cafe funcioanrios</t>
  </si>
  <si>
    <t>1b4fd59d1</t>
  </si>
  <si>
    <t>FRUTAS</t>
  </si>
  <si>
    <t>Notas_Images/57374cb0.Foto.202851.jpg</t>
  </si>
  <si>
    <t>Cafe funcioanrios</t>
  </si>
  <si>
    <t>61ab7f79</t>
  </si>
  <si>
    <t>09/06/2026 (Compra de Mercadorias) -  - R$ 200,00</t>
  </si>
  <si>
    <t>4fe694da</t>
  </si>
  <si>
    <t>R$ 32,45</t>
  </si>
  <si>
    <t>7db59fdf</t>
  </si>
  <si>
    <t>07d800ac</t>
  </si>
  <si>
    <t>10/06/2026 (Caixa Troco) -  - R$ 32,45</t>
  </si>
  <si>
    <t>Fruteira da marta (16/07/2025) - Frutas</t>
  </si>
  <si>
    <t>Notas_Images/07d800ac.Foto.204605.jpg</t>
  </si>
  <si>
    <t>10/06/2026 (Sangria) - Marcelo - R$ 150,00</t>
  </si>
  <si>
    <t>14b57ef53</t>
  </si>
  <si>
    <t>Notas_Images/07d800ac.Foto 1.204605.jpg</t>
  </si>
  <si>
    <t>R$ 37,84</t>
  </si>
  <si>
    <t>79ade690</t>
  </si>
  <si>
    <t>consumo isabely</t>
  </si>
  <si>
    <t>Morango seu kinho (15/07/2025) - Morangos</t>
  </si>
  <si>
    <t>11/06/2026 (Consumo) - Isabeli Grassmann - R$ 37,84</t>
  </si>
  <si>
    <t>Notas_Images/79ade690.Foto.231159.jpg</t>
  </si>
  <si>
    <t>Morangos</t>
  </si>
  <si>
    <t>10bcf83eb</t>
  </si>
  <si>
    <t>11/06/2026 (Sangria) - Marcelo - R$ 450,00</t>
  </si>
  <si>
    <t>6735a759</t>
  </si>
  <si>
    <t>R$ 60,00</t>
  </si>
  <si>
    <t>CONSUMO AGUA PARTE DO PEREIRA 05/2026</t>
  </si>
  <si>
    <t>Celesc (11/08/2025) - FATURA DE LUZ</t>
  </si>
  <si>
    <t>86564a94</t>
  </si>
  <si>
    <t>11/06/2026 (Recebimentos) -  - R$ 60,00</t>
  </si>
  <si>
    <t>Notas_Images/6735a759.Foto.233128.jpg</t>
  </si>
  <si>
    <t>FATURA DE LUZ</t>
  </si>
  <si>
    <t>R$ 146,56</t>
  </si>
  <si>
    <t>Influencer fabi e junior</t>
  </si>
  <si>
    <t>119e545d9</t>
  </si>
  <si>
    <t>12/06/2026 (Influencer) -  - R$ 146,56</t>
  </si>
  <si>
    <t>c1f80c65</t>
  </si>
  <si>
    <t>Coper campos (19/07/2025) - Açúcar</t>
  </si>
  <si>
    <t>R$ 18,75</t>
  </si>
  <si>
    <t>Notas_Images/c1f80c65.Foto.191547.jpg</t>
  </si>
  <si>
    <t>Açúcar</t>
  </si>
  <si>
    <t>13/06/2026 (Caixa Troco) -  - R$ 18,75</t>
  </si>
  <si>
    <t>TAX DE MOTOBOY</t>
  </si>
  <si>
    <t>19906c504</t>
  </si>
  <si>
    <t>13/06/2026 (Motoboy) -  - R$ 12,00</t>
  </si>
  <si>
    <t>7952bdc3</t>
  </si>
  <si>
    <t>PGTO FREE-LANCER EMANUELE</t>
  </si>
  <si>
    <t>65b0bc84</t>
  </si>
  <si>
    <t>Magazine luiza (18/07/2025) - Aspirador de po</t>
  </si>
  <si>
    <t>9e5038e9</t>
  </si>
  <si>
    <t>Notas_Images/7952bdc3.Foto.191948.jpg</t>
  </si>
  <si>
    <t>13/06/2026 (Freelancer) -  - R$ 100,00</t>
  </si>
  <si>
    <t>Aspirador de po</t>
  </si>
  <si>
    <t>109ab11ba</t>
  </si>
  <si>
    <t>be2099b7</t>
  </si>
  <si>
    <t>Donna Faxina (19/07/2025) - Produtos de limpeza</t>
  </si>
  <si>
    <t>Notas_Images/be2099b7.Foto.211208.jpg</t>
  </si>
  <si>
    <t>R$ 40,00</t>
  </si>
  <si>
    <t>23afdec0</t>
  </si>
  <si>
    <t>1b2b47a9d</t>
  </si>
  <si>
    <t>Donna Faxina (18/07/2025) - Produtos de limpeza</t>
  </si>
  <si>
    <t>13/06/2026 (Sangria) - Marcelo - R$ 40,00</t>
  </si>
  <si>
    <t>Notas_Images/23afdec0.Foto.211811.jpg</t>
  </si>
  <si>
    <t>R$ 360,00</t>
  </si>
  <si>
    <t>69fb0c24</t>
  </si>
  <si>
    <t>103b25921</t>
  </si>
  <si>
    <t>13/06/2026 (Sangria) - Marcelo - R$ 360,00</t>
  </si>
  <si>
    <t>Coper campos (20/07/2025) - Cafe funcionários</t>
  </si>
  <si>
    <t>Notas_Images/69fb0c24.Foto.214542.jpg</t>
  </si>
  <si>
    <t>Cafe funcionários</t>
  </si>
  <si>
    <t>SANGRIA MARCELO REF 14/06/2026</t>
  </si>
  <si>
    <t>6cf9567f</t>
  </si>
  <si>
    <t>15/06/2026 (Sangria) - Marcelo - R$ 700,00</t>
  </si>
  <si>
    <t>186f8b3b5</t>
  </si>
  <si>
    <t>Fruteira da marta (19/07/2025) - Frutas</t>
  </si>
  <si>
    <t>Notas_Images/6cf9567f.Foto.024743.jpg</t>
  </si>
  <si>
    <t>R$ 80,00</t>
  </si>
  <si>
    <t>2e064ff5</t>
  </si>
  <si>
    <t>15/06/2026 (Freelancer) -  - R$ 80,00</t>
  </si>
  <si>
    <t>1ab9b31a</t>
  </si>
  <si>
    <t>Morango seu kinho (22/07/2025) - Morangos</t>
  </si>
  <si>
    <t>R$ 13,84</t>
  </si>
  <si>
    <t>129ca82fc</t>
  </si>
  <si>
    <t>Notas_Images/1ab9b31a.Foto.215747.jpg</t>
  </si>
  <si>
    <t>CONSUMO ISABELI</t>
  </si>
  <si>
    <t>15/06/2026 (Consumo) - Isabeli Grassmann - R$ 13,84</t>
  </si>
  <si>
    <t>2377c6e6</t>
  </si>
  <si>
    <t>Donna Faxina (22/07/2025) - Produtos de limpeza</t>
  </si>
  <si>
    <t>R$ 143,48</t>
  </si>
  <si>
    <t>Notas_Images/2377c6e6.Foto.220414.jpg</t>
  </si>
  <si>
    <t>13174476e</t>
  </si>
  <si>
    <t>53627fbb</t>
  </si>
  <si>
    <t>beba5a74</t>
  </si>
  <si>
    <t>15/06/2026 (Compra de Mercadorias) -  - R$ 143,48</t>
  </si>
  <si>
    <t>66168cfd</t>
  </si>
  <si>
    <t>R$ 13,99</t>
  </si>
  <si>
    <t>PILHAS CONTROLE TV</t>
  </si>
  <si>
    <t>62807bf1</t>
  </si>
  <si>
    <t>LM comércio e distribuidora de utilidades Ltda (24/07/2025) - Porta guarda chuva inox</t>
  </si>
  <si>
    <t>d01de919</t>
  </si>
  <si>
    <t>Notas_Images/66168cfd.Foto.184341.jpg</t>
  </si>
  <si>
    <t>15/06/2026 (Compra de Mercadorias) -  - R$ 13,99</t>
  </si>
  <si>
    <t>Porta guarda chuva inox</t>
  </si>
  <si>
    <t>TAXA MOTOBOY</t>
  </si>
  <si>
    <t>15/06/2026 (Motoboy) -  - R$ 10,00</t>
  </si>
  <si>
    <t>f08fbc86</t>
  </si>
  <si>
    <t>7c675c5c</t>
  </si>
  <si>
    <t>R$ 7,42</t>
  </si>
  <si>
    <t>consumo isabeli</t>
  </si>
  <si>
    <t>Superviza Supermercado (24/07/2025) - Cafe funcionários</t>
  </si>
  <si>
    <t>Notas_Images/7c675c5c.Foto.184529.jpg</t>
  </si>
  <si>
    <t>16/06/2026 (Consumo) - Isabeli Grassmann - R$ 7,42</t>
  </si>
  <si>
    <t>1730f3994</t>
  </si>
  <si>
    <t>16/06/2026 (Sangria) - Marcelo - R$ 400,00</t>
  </si>
  <si>
    <t>taxa motoboy</t>
  </si>
  <si>
    <t>16/06/2026 (Motoboy) -  - R$ 10,00</t>
  </si>
  <si>
    <t>R$ 18,00</t>
  </si>
  <si>
    <t>motoboy</t>
  </si>
  <si>
    <t>a876a9a6</t>
  </si>
  <si>
    <t>17/06/2026 (Motoboy) -  - R$ 18,00</t>
  </si>
  <si>
    <t>5aceacee</t>
  </si>
  <si>
    <t>15d0dfe2f</t>
  </si>
  <si>
    <t>Contato elétricos (24/07/2025) - Grade ventilação banheiro ( teto de madeira Pereira , precisa ter ventilação)</t>
  </si>
  <si>
    <t>R$ 11,57</t>
  </si>
  <si>
    <t>Notas_Images/a876a9a6.Foto.185520.jpg</t>
  </si>
  <si>
    <t>consumo Isabeli</t>
  </si>
  <si>
    <t>Grade ventilação banheiro ( teto de madeira Pereira , precisa ter ventilação)</t>
  </si>
  <si>
    <t>17/06/2026 (Consumo) - Isabeli Grassmann - R$ 11,57</t>
  </si>
  <si>
    <t>d2b300c8</t>
  </si>
  <si>
    <t>17/06/2026 (Sangria) - Marcelo - R$ 200,00</t>
  </si>
  <si>
    <t>R$ 350,00</t>
  </si>
  <si>
    <t>Fruteira da marta (24/07/2025) - Frutas</t>
  </si>
  <si>
    <t>Notas_Images/d2b300c8.Foto.185902.jpg</t>
  </si>
  <si>
    <t>18/06/2026 (Sangria) - Marcelo - R$ 350,00</t>
  </si>
  <si>
    <t>1370c7e60</t>
  </si>
  <si>
    <t>R$ 128,94</t>
  </si>
  <si>
    <t>bfc6e260</t>
  </si>
  <si>
    <t>a9f9fd08</t>
  </si>
  <si>
    <t>18/06/2026 (Compra de Mercadorias) -  - R$ 128,94</t>
  </si>
  <si>
    <t>94728b40</t>
  </si>
  <si>
    <t>R$ 5,50</t>
  </si>
  <si>
    <t>Utilidades doméstica (24/07/2025) - Preendedor de roupas</t>
  </si>
  <si>
    <t>Notas_Images/a9f9fd08.Foto.203658.jpg</t>
  </si>
  <si>
    <t>Preendedor de roupas</t>
  </si>
  <si>
    <t>21/06/2026 (Caixa Troco) -  - R$ 5,50</t>
  </si>
  <si>
    <t>17768d52a</t>
  </si>
  <si>
    <t>PGTO MIRELE FREE-LANCER</t>
  </si>
  <si>
    <t>22/06/2026 (Freelancer) -  - R$ 80,00</t>
  </si>
  <si>
    <t>26e2d61a</t>
  </si>
  <si>
    <t>R$ 82,00</t>
  </si>
  <si>
    <t>FO-BRAN (24/07/2025) - Bebidas</t>
  </si>
  <si>
    <t>Notas_Images/26e2d61a.Foto.204137.jpg</t>
  </si>
  <si>
    <t>22/06/2026 (Freelancer) -  - R$ 82,00</t>
  </si>
  <si>
    <t>22/06/2026 (Motoboy) -  - R$ 18,00</t>
  </si>
  <si>
    <t>18f31214c</t>
  </si>
  <si>
    <t>e26e394d</t>
  </si>
  <si>
    <t>6020a53e</t>
  </si>
  <si>
    <t>SANGRIA MARCELO REF 21/06/2026</t>
  </si>
  <si>
    <t>Amadelli (22/07/2025) - Estoque seco 72621</t>
  </si>
  <si>
    <t>4fd86515</t>
  </si>
  <si>
    <t>22/06/2026 (Sangria) - Marcelo - R$ 1.450,00</t>
  </si>
  <si>
    <t>Notas_Images/e26e394d.Foto.205152.jpg</t>
  </si>
  <si>
    <t>Estoque seco 72621</t>
  </si>
  <si>
    <t>R$ 1,30</t>
  </si>
  <si>
    <t>Notas_Images/e26e394d.Foto 1.205152.jpg</t>
  </si>
  <si>
    <t>Notas_Images/e26e394d.Foto 2.205152.jpg</t>
  </si>
  <si>
    <t>22/06/2026 (Caixa Troco) -  - R$ 1,30</t>
  </si>
  <si>
    <t>1fa59138c</t>
  </si>
  <si>
    <t>R$ 9,56</t>
  </si>
  <si>
    <t>DOAÇÃO</t>
  </si>
  <si>
    <t>6254534f</t>
  </si>
  <si>
    <t>22/06/2026 (Cortesias) -  - R$ 9,56</t>
  </si>
  <si>
    <t>Morango seu kinho (25/07/2025) - Morangos</t>
  </si>
  <si>
    <t>Notas_Images/28660492.Foto.214147.jpg</t>
  </si>
  <si>
    <t>R$ 121,61</t>
  </si>
  <si>
    <t>22/06/2026 (Compra de Mercadorias) -  - R$ 121,61</t>
  </si>
  <si>
    <t>UBER</t>
  </si>
  <si>
    <t>16db4ff1</t>
  </si>
  <si>
    <t>10aab7871</t>
  </si>
  <si>
    <t>22/06/2026 (Compra de Mercadorias) -  - R$ 20,00</t>
  </si>
  <si>
    <t>Fruteira da marta (26/07/2025) - Frutas</t>
  </si>
  <si>
    <t>Notas_Images/16db4ff1.Foto.214543.jpg</t>
  </si>
  <si>
    <t>exame admissional Siandra</t>
  </si>
  <si>
    <t>23/06/2026 (Compra de Mercadorias) -  - R$ 60,00</t>
  </si>
  <si>
    <t>PGTO EMANUELA FREE-LANCER</t>
  </si>
  <si>
    <t>55482df8</t>
  </si>
  <si>
    <t>24/06/2026 (Freelancer) -  - R$ 60,00</t>
  </si>
  <si>
    <t>Amadelli (24/07/2025) - Estoque gelado</t>
  </si>
  <si>
    <t>1a273cfca</t>
  </si>
  <si>
    <t>R$ 135,00</t>
  </si>
  <si>
    <t>Notas_Images/55482df8.Foto.215548.jpg</t>
  </si>
  <si>
    <t>PGTO RAFAELA FREE-LANCER</t>
  </si>
  <si>
    <t>24/06/2026 (Freelancer) -  - R$ 135,00</t>
  </si>
  <si>
    <t>Notas_Images/55482df8.Foto 1.215548.jpg</t>
  </si>
  <si>
    <t>Notas_Images/55482df8.Foto 2.215548.jpg</t>
  </si>
  <si>
    <t>R$ 12,90</t>
  </si>
  <si>
    <t>CONSUMO ISABELE</t>
  </si>
  <si>
    <t>24/06/2026 (Consumo) - Isabeli Grassmann - R$ 12,90</t>
  </si>
  <si>
    <t>ee7275b6</t>
  </si>
  <si>
    <t>R$ 5,00</t>
  </si>
  <si>
    <t>Donna Faxina (05/07/2025) - Produtos de limpeza</t>
  </si>
  <si>
    <t>ISABELY CONSUMO</t>
  </si>
  <si>
    <t>15aa0f1e8</t>
  </si>
  <si>
    <t>Notas_Images/ee7275b6.Foto.230541.jpg</t>
  </si>
  <si>
    <t>24/06/2026 (Consumo) - Isabeli Grassmann - R$ 5,00</t>
  </si>
  <si>
    <t>R$ 21,98</t>
  </si>
  <si>
    <t>materiais escritorio</t>
  </si>
  <si>
    <t>25/06/2026 (Compra de Mercadorias) -  - R$ 21,98</t>
  </si>
  <si>
    <t>e5b5617b</t>
  </si>
  <si>
    <t>R$ 7,00</t>
  </si>
  <si>
    <t>8b9681ca</t>
  </si>
  <si>
    <t>materiais cozinha</t>
  </si>
  <si>
    <t>ProFood (24/07/2025) - Embalagens</t>
  </si>
  <si>
    <t>Notas_Images/e5b5617b.Foto.231437.jpg</t>
  </si>
  <si>
    <t>25/06/2026 (Compra de Mercadorias) -  - R$ 7,00</t>
  </si>
  <si>
    <t>16d480e77</t>
  </si>
  <si>
    <t>R$ 11,02</t>
  </si>
  <si>
    <t>41db3986</t>
  </si>
  <si>
    <t>25/06/2026 (Compra de Mercadorias) -  - R$ 11,02</t>
  </si>
  <si>
    <t>5a76538d</t>
  </si>
  <si>
    <t>f4a67b76</t>
  </si>
  <si>
    <t>Darnel (28/07/2025) - Embalagens</t>
  </si>
  <si>
    <t>25/06/2026 (Sangria) - Marcelo - R$ 350,00</t>
  </si>
  <si>
    <t>Notas_Images/f4a67b76.Foto.232529.jpg</t>
  </si>
  <si>
    <t>R$ 27,00</t>
  </si>
  <si>
    <t>15099994e</t>
  </si>
  <si>
    <t>26/06/2026 (Caixa Troco) -  - R$ 27,00</t>
  </si>
  <si>
    <t>e63f1b8b</t>
  </si>
  <si>
    <t>R$ 92,40</t>
  </si>
  <si>
    <t>c19a9ba3</t>
  </si>
  <si>
    <t>influencer fabielly Marketing</t>
  </si>
  <si>
    <t>26/06/2026 (Influencer) -  - R$ 92,40</t>
  </si>
  <si>
    <t>Coper campos (28/07/2025) - Cafe funcionários</t>
  </si>
  <si>
    <t>Notas_Images/c19a9ba3.Foto.233353.jpg</t>
  </si>
  <si>
    <t>14e6346b2</t>
  </si>
  <si>
    <t>R$ 16,48</t>
  </si>
  <si>
    <t>dd84b5b6</t>
  </si>
  <si>
    <t>26/06/2026 (Consumo) - Isabeli Grassmann - R$ 16,48</t>
  </si>
  <si>
    <t>Coper campos (29/07/2025) - Café funcionários</t>
  </si>
  <si>
    <t>1799ba382</t>
  </si>
  <si>
    <t>R$ 23,47</t>
  </si>
  <si>
    <t>Notas_Images/dd84b5b6.Foto.202411.jpg</t>
  </si>
  <si>
    <t>9755f2a8</t>
  </si>
  <si>
    <t>26/06/2026 (Compra de Mercadorias) -  - R$ 23,47</t>
  </si>
  <si>
    <t>e33ced20</t>
  </si>
  <si>
    <t>15e0b143e</t>
  </si>
  <si>
    <t>390c24c1</t>
  </si>
  <si>
    <t>Madeiras e móveis Durli (29/07/2025) - Acabamento para não arranhar a parede em madeira</t>
  </si>
  <si>
    <t>Notas_Images/e33ced20.Foto.202654.jpg</t>
  </si>
  <si>
    <t>Acabamento para não arranhar a parede em madeira</t>
  </si>
  <si>
    <t>26/06/2026 (Sangria) - Marcelo - R$ 350,00</t>
  </si>
  <si>
    <t>162e834c0</t>
  </si>
  <si>
    <t>d73726cf</t>
  </si>
  <si>
    <t>R$ 50,00</t>
  </si>
  <si>
    <t>PGTO RAFAELA- FREE-LANCER</t>
  </si>
  <si>
    <t>84e360ce</t>
  </si>
  <si>
    <t>Lorizete pão (29/07/2025) - Cafe funcionários mes julho</t>
  </si>
  <si>
    <t>Notas_Images/d73726cf.Foto.203110.jpg</t>
  </si>
  <si>
    <t>a1b7d0c5</t>
  </si>
  <si>
    <t>Cafe funcionários mes julho</t>
  </si>
  <si>
    <t>27/06/2026 (Freelancer) -  - R$ 50,00</t>
  </si>
  <si>
    <t>1583a931e</t>
  </si>
  <si>
    <t>R$ 112,00</t>
  </si>
  <si>
    <t>771362b1</t>
  </si>
  <si>
    <t>Contato elétricos (29/07/2025) - Materiais elétricos</t>
  </si>
  <si>
    <t>e79fd3b6</t>
  </si>
  <si>
    <t>Notas_Images/771362b1.Foto.203237.jpg</t>
  </si>
  <si>
    <t>Materiais elétricos</t>
  </si>
  <si>
    <t>27/06/2026 (Freelancer) -  - R$ 112,00</t>
  </si>
  <si>
    <t>1a90a8b25</t>
  </si>
  <si>
    <t>21c6def1</t>
  </si>
  <si>
    <t>30bacd8f</t>
  </si>
  <si>
    <t>Zona elétrica de LTDA (01/08/2025) - Materiais eletrico</t>
  </si>
  <si>
    <t>Notas_Images/21c6def1.Foto.155422.jpg</t>
  </si>
  <si>
    <t>Materiais eletrico</t>
  </si>
  <si>
    <t>27/06/2026 (Sangria) - Marcelo - R$ 450,00</t>
  </si>
  <si>
    <t>1c34bec40</t>
  </si>
  <si>
    <t>226046f5</t>
  </si>
  <si>
    <t>R$ 183,42</t>
  </si>
  <si>
    <t>habite-se</t>
  </si>
  <si>
    <t>46ec9f26</t>
  </si>
  <si>
    <t>8c0068e7</t>
  </si>
  <si>
    <t>Superviza Supermercado (31/07/2025) - Frutas e complemento cafe funcionários</t>
  </si>
  <si>
    <t>30f7d435</t>
  </si>
  <si>
    <t>Notas_Images/8c0068e7.Foto.180959.jpg</t>
  </si>
  <si>
    <t>27/06/2026 (Compra de Mercadorias) -  - R$ 183,42</t>
  </si>
  <si>
    <t>Frutas e complemento cafe funcionários</t>
  </si>
  <si>
    <t>R$ 56,61</t>
  </si>
  <si>
    <t>influencer Elianara</t>
  </si>
  <si>
    <t>28/06/2026 (Influencer) -  - R$ 56,61</t>
  </si>
  <si>
    <t>491601f1</t>
  </si>
  <si>
    <t>9f578a99</t>
  </si>
  <si>
    <t>TAXA MOTOBOY REF 28/06/2026</t>
  </si>
  <si>
    <t>RPG - Morango Rafael (01/08/2025) - Morangos</t>
  </si>
  <si>
    <t>0d7aaf74</t>
  </si>
  <si>
    <t>29/06/2026 (Motoboy) -  - R$ 32,00</t>
  </si>
  <si>
    <t>Notas_Images/491601f1.Foto.211228.jpg</t>
  </si>
  <si>
    <t>1d4ceb456</t>
  </si>
  <si>
    <t>R$ 10,19</t>
  </si>
  <si>
    <t>consumo isabele</t>
  </si>
  <si>
    <t>29/06/2026 (Consumo) - Isabeli Grassmann - R$ 10,19</t>
  </si>
  <si>
    <t>c01555a6</t>
  </si>
  <si>
    <t>Fruteira da marta (31/07/2025) - Frutas</t>
  </si>
  <si>
    <t>Notas_Images/c01555a6.Foto.171631.jpg</t>
  </si>
  <si>
    <t>29/06/2026 (Sangria) - Marcelo - R$ 150,00</t>
  </si>
  <si>
    <t>12646cba9</t>
  </si>
  <si>
    <t>29/06/2026 (Motoboy) -  - R$ 9,00</t>
  </si>
  <si>
    <t>33b292e5</t>
  </si>
  <si>
    <t>TAXA DE ENTREGA</t>
  </si>
  <si>
    <t>13bdf0e8e</t>
  </si>
  <si>
    <t>Morango seu kinho (01/08/2025) - Morangos</t>
  </si>
  <si>
    <t>Notas_Images/33b292e5.Foto.172450.jpg</t>
  </si>
  <si>
    <t>657b3ac5</t>
  </si>
  <si>
    <t>30/06/2026 (Motoboy) -  - R$ 21,00</t>
  </si>
  <si>
    <t>b3113bb9</t>
  </si>
  <si>
    <t>0f213d3a</t>
  </si>
  <si>
    <t>30/06/2026 (Sangria) - Marcelo - R$ 550,00</t>
  </si>
  <si>
    <t>SAMAE (03/08/2025) - Fatura de água</t>
  </si>
  <si>
    <t>1d5b34901</t>
  </si>
  <si>
    <t>Notas_Images/b3113bb9.Foto.173233.jpg</t>
  </si>
  <si>
    <t>R$ 57,72</t>
  </si>
  <si>
    <t>Fatura de água</t>
  </si>
  <si>
    <t>6e84e0c7</t>
  </si>
  <si>
    <t>01/07/2026 (Compra de Mercadorias) -  - R$ 57,72</t>
  </si>
  <si>
    <t>eea15258</t>
  </si>
  <si>
    <t>967cd216</t>
  </si>
  <si>
    <t>Free-lancer Willian Fonseca (03/08/2025) - Free-lancer</t>
  </si>
  <si>
    <t>01/07/2026 (Motoboy) -  - R$ 9,00</t>
  </si>
  <si>
    <t>Notas_Images/eea15258.Foto.012522.jpg</t>
  </si>
  <si>
    <t>1f9a34aaa</t>
  </si>
  <si>
    <t>Free-lancer</t>
  </si>
  <si>
    <t>Saida Outros: taxa entrega motoboy</t>
  </si>
  <si>
    <t>02/07/2026 (Motoboy) -  - R$ 12,00</t>
  </si>
  <si>
    <t>6f94c0ec</t>
  </si>
  <si>
    <t>03edd97a</t>
  </si>
  <si>
    <t>Saida Outros: sangria mariane</t>
  </si>
  <si>
    <t>887dc403</t>
  </si>
  <si>
    <t>Gabriel da Silva (03/08/2025) - Free-lancer</t>
  </si>
  <si>
    <t>04/07/2026 (Sangria) - Mariane - R$ 400,00</t>
  </si>
  <si>
    <t>Notas_Images/03edd97a.Foto.012809.jpg</t>
  </si>
  <si>
    <t>R$ 144,75</t>
  </si>
  <si>
    <t>11f73d09c</t>
  </si>
  <si>
    <t>Saida Outros: frutas</t>
  </si>
  <si>
    <t>9bf44ff5</t>
  </si>
  <si>
    <t>05/07/2026 (Compra de Mercadorias) -  - R$ 144,75</t>
  </si>
  <si>
    <t>40c8627f</t>
  </si>
  <si>
    <t>Saida Outros: SANGRIA MARCELO</t>
  </si>
  <si>
    <t>Coper campos (04/08/2025) - Cafe dos funcionários</t>
  </si>
  <si>
    <t>05/07/2026 (Sangria) - Marcelo - R$ 200,00</t>
  </si>
  <si>
    <t>Notas_Images/40c8627f.Foto.211339.jpg</t>
  </si>
  <si>
    <t>Cafe dos funcionários</t>
  </si>
  <si>
    <t>R$ 110,00</t>
  </si>
  <si>
    <t>Saida Outros: PGTO RAFAELA FREE-LANCER</t>
  </si>
  <si>
    <t>12499efaf</t>
  </si>
  <si>
    <t>d93f0f12</t>
  </si>
  <si>
    <t>05/07/2026 (Freelancer) -  - R$ 110,00</t>
  </si>
  <si>
    <t>R$ 217,00</t>
  </si>
  <si>
    <t>3a7105b9</t>
  </si>
  <si>
    <t>Saida Outros: PGTO EMANUELE FREE-LANCER</t>
  </si>
  <si>
    <t>bd14f3db</t>
  </si>
  <si>
    <t>05/07/2026 (Freelancer) -  - R$ 217,00</t>
  </si>
  <si>
    <t>Fruteira da marta (01/08/2025) - frutas</t>
  </si>
  <si>
    <t>Notas_Images/3a7105b9.Foto.222911.jpg</t>
  </si>
  <si>
    <t>R$ 120,00</t>
  </si>
  <si>
    <t>Saida Outros: PGTO MILENA FREE-LANCER</t>
  </si>
  <si>
    <t>175d18ce</t>
  </si>
  <si>
    <t>05/07/2026 (Freelancer) -  - R$ 120,00</t>
  </si>
  <si>
    <t>1423fae89</t>
  </si>
  <si>
    <t>R$ 75,91</t>
  </si>
  <si>
    <t>Saida Outros: cafe funcionarios</t>
  </si>
  <si>
    <t>70fce6a4</t>
  </si>
  <si>
    <t>06/07/2026 (Compra de Mercadorias) -  - R$ 75,91</t>
  </si>
  <si>
    <t>Morango seu kinho (05/08/2025) - Morangos</t>
  </si>
  <si>
    <t>Notas_Images/89047475.Foto.164955.jpg</t>
  </si>
  <si>
    <t>R$ 15,00</t>
  </si>
  <si>
    <t>Saida Outros: uber ida e volta mercado</t>
  </si>
  <si>
    <t>06/07/2026 (Compra de Mercadorias) -  - R$ 15,00</t>
  </si>
  <si>
    <t>1aa00aff7</t>
  </si>
  <si>
    <t>2ab5ad13</t>
  </si>
  <si>
    <t>Saida Outros: consumo isabele</t>
  </si>
  <si>
    <t>Amadelli (04/08/2025) - Estoque seco 75275</t>
  </si>
  <si>
    <t>07/07/2026 (Consumo) - Isabeli Grassmann - R$ 5,00</t>
  </si>
  <si>
    <t>Notas_Images/2ab5ad13.Foto.194421.jpg</t>
  </si>
  <si>
    <t>Estoque seco 75275</t>
  </si>
  <si>
    <t>Saida Outros: sangria marcelo</t>
  </si>
  <si>
    <t>Notas_Images/2ab5ad13.Foto 1.194421.jpg</t>
  </si>
  <si>
    <t>Notas_Images/2ab5ad13.Foto 2.194421.jpg</t>
  </si>
  <si>
    <t>07/07/2026 (Sangria) - Marcelo - R$ 400,00</t>
  </si>
  <si>
    <t>1eb25cd77</t>
  </si>
  <si>
    <t>d32d17cf</t>
  </si>
  <si>
    <t>c8227f44</t>
  </si>
  <si>
    <t>TEK CHAVES (07/08/2025) - Cópias chaves</t>
  </si>
  <si>
    <t>08/07/2026 (Sangria) - Marcelo - R$ 400,00</t>
  </si>
  <si>
    <t>Notas_Images/d32d17cf.Foto.231705.jpg</t>
  </si>
  <si>
    <t>Cópias chaves</t>
  </si>
  <si>
    <t>R$ 8,00</t>
  </si>
  <si>
    <t>Saida Outros: CONSUMO SIANDRA</t>
  </si>
  <si>
    <t>35b8f202</t>
  </si>
  <si>
    <t>08/07/2026 (Consumo) - Siandra Aparecida Varela Gomes - R$ 8,00</t>
  </si>
  <si>
    <t>R$ 11,32</t>
  </si>
  <si>
    <t>91a00361</t>
  </si>
  <si>
    <t>1b5fa4fdc</t>
  </si>
  <si>
    <t>Saida Outros: CONSUMO ISABELI</t>
  </si>
  <si>
    <t>Fruteira da marta (05/08/2025) - Frutas</t>
  </si>
  <si>
    <t>09/07/2026 (Consumo) - Isabeli Grassmann - R$ 11,32</t>
  </si>
  <si>
    <t>Notas_Images/91a00361.Foto.232335.jpg</t>
  </si>
  <si>
    <t>R$ 40,50</t>
  </si>
  <si>
    <t>Saida Outros: FRUTAS</t>
  </si>
  <si>
    <t>a8fbabce</t>
  </si>
  <si>
    <t>09/07/2026 (Compra de Mercadorias) -  - R$ 40,50</t>
  </si>
  <si>
    <t>b6f4aef1</t>
  </si>
  <si>
    <t>13fda7834</t>
  </si>
  <si>
    <t>09/07/2026 (Consumo) - Siandra Aparecida Varela Gomes - R$ 5,00</t>
  </si>
  <si>
    <t>Amadelli (10/08/2025) - Gelados</t>
  </si>
  <si>
    <t>Notas_Images/b6f4aef1.Foto.022024.jpg</t>
  </si>
  <si>
    <t>64599fca</t>
  </si>
  <si>
    <t>Gelados</t>
  </si>
  <si>
    <t>Notas_Images/b6f4aef1.Foto 1.022024.jpg</t>
  </si>
  <si>
    <t>09/07/2026 (Sangria) - Marcelo - R$ 350,00</t>
  </si>
  <si>
    <t>Notas_Images/b6f4aef1.Foto 2.022024.jpg</t>
  </si>
  <si>
    <t>Saida Outros: TAXA DE ENTREGA</t>
  </si>
  <si>
    <t>dc8944c6</t>
  </si>
  <si>
    <t>1217e9a19</t>
  </si>
  <si>
    <t>09/07/2026 (Motoboy) -  - R$ 18,00</t>
  </si>
  <si>
    <t>Amadelli (10/08/2025) - Morango do amor</t>
  </si>
  <si>
    <t>Notas_Images/dc8944c6.Foto.022128.jpg</t>
  </si>
  <si>
    <t>Morango do amor</t>
  </si>
  <si>
    <t>Saida Outros: troco</t>
  </si>
  <si>
    <t>e75dcc8d</t>
  </si>
  <si>
    <t>10/07/2026 (Caixa Troco) -  - R$ 100,00</t>
  </si>
  <si>
    <t>de1965a2</t>
  </si>
  <si>
    <t>10/07/2026 (Sangria) - Marcelo - R$ 350,00</t>
  </si>
  <si>
    <t>Morango seu kinho (08/08/2025) - Morango</t>
  </si>
  <si>
    <t>18982c6a4</t>
  </si>
  <si>
    <t>Notas_Images/de1965a2.Foto.005033.jpg</t>
  </si>
  <si>
    <t>Saida Outros: taxa de motoboy</t>
  </si>
  <si>
    <t>10/07/2026 (Motoboy) -  - R$ 9,00</t>
  </si>
  <si>
    <t>5867e7da</t>
  </si>
  <si>
    <t>Saida Outros: motoboy mercado</t>
  </si>
  <si>
    <t>11/07/2026 (Motoboy) -  - R$ 10,00</t>
  </si>
  <si>
    <t>1b59ef1f2</t>
  </si>
  <si>
    <t>7f35c222</t>
  </si>
  <si>
    <t>Saida Outros: consumo siandra</t>
  </si>
  <si>
    <t>11/07/2026 (Consumo) - Siandra Aparecida Varela Gomes - R$ 5,00</t>
  </si>
  <si>
    <t>FO-BRAN (06/08/2025) - Bebidas</t>
  </si>
  <si>
    <t>Notas_Images/7f35c222.Foto.005813.jpg</t>
  </si>
  <si>
    <t>R$ 94,83</t>
  </si>
  <si>
    <t>Saida Outros: FRUTAS E CAFE FUNCIONARIOS</t>
  </si>
  <si>
    <t>75d1842a</t>
  </si>
  <si>
    <t>11/07/2026 (Compra de Mercadorias) -  - R$ 94,83</t>
  </si>
  <si>
    <t>R$ 1.000,00</t>
  </si>
  <si>
    <t>de970e2f</t>
  </si>
  <si>
    <t>Saida Outros: sangria caixa mari</t>
  </si>
  <si>
    <t>1d76d4e0b</t>
  </si>
  <si>
    <t>Coper campos (08/08/2025) - Frutas</t>
  </si>
  <si>
    <t>12/07/2026 (Sangria) - Mariane - R$ 1.000,00</t>
  </si>
  <si>
    <t>Notas_Images/de970e2f.Foto.010317.jpg</t>
  </si>
  <si>
    <t>13/07/2026 (Consumo) - Siandra Aparecida Varela Gomes - R$ 8,00</t>
  </si>
  <si>
    <t>9e0163cd</t>
  </si>
  <si>
    <t>ddba6ae6</t>
  </si>
  <si>
    <t>13/07/2026 (Sangria) - Marcelo - R$ 400,00</t>
  </si>
  <si>
    <t>142e78f72</t>
  </si>
  <si>
    <t>DIPAR (08/08/2025) - Quadros alvara</t>
  </si>
  <si>
    <t>Notas_Images/9e0163cd.Foto.010550.jpg</t>
  </si>
  <si>
    <t>R$ 340,00</t>
  </si>
  <si>
    <t>Quadros alvara</t>
  </si>
  <si>
    <t>b43dd555</t>
  </si>
  <si>
    <t>14/07/2026 (Sangria) - Marcelo - R$ 340,00</t>
  </si>
  <si>
    <t>9e84410b</t>
  </si>
  <si>
    <t>R$ 28,00</t>
  </si>
  <si>
    <t>e317f4b5</t>
  </si>
  <si>
    <t>14/07/2026 (Motoboy) -  - R$ 28,00</t>
  </si>
  <si>
    <t>Donna Faxina (11/08/2025) - Produtos de limpeza</t>
  </si>
  <si>
    <t>R$ 31,68</t>
  </si>
  <si>
    <t>Notas_Images/e317f4b5.Foto.012715.jpg</t>
  </si>
  <si>
    <t>Saida Outros: ALMOÇO ISABELE</t>
  </si>
  <si>
    <t>e4e1f238</t>
  </si>
  <si>
    <t>14/07/2026 (Compra de Mercadorias) -  - R$ 31,68</t>
  </si>
  <si>
    <t>R$ 281,95</t>
  </si>
  <si>
    <t>f351d372</t>
  </si>
  <si>
    <t>5d3f0571</t>
  </si>
  <si>
    <t>15/07/2026 (Compra de Mercadorias) -  - R$ 281,95</t>
  </si>
  <si>
    <t>Coper campos (12/08/2025) - Café</t>
  </si>
  <si>
    <t>R$ 800,00</t>
  </si>
  <si>
    <t>Notas_Images/f351d372.Foto.174901.jpg</t>
  </si>
  <si>
    <t>Café</t>
  </si>
  <si>
    <t>111367faf</t>
  </si>
  <si>
    <t>15/07/2026 (Sangria) - Marcelo - R$ 800,00</t>
  </si>
  <si>
    <t>Saida Outros: UBER MERCADO</t>
  </si>
  <si>
    <t>a0090265</t>
  </si>
  <si>
    <t>15/07/2026 (Compra de Mercadorias) -  - R$ 10,00</t>
  </si>
  <si>
    <t>e7fba3e6</t>
  </si>
  <si>
    <t>Manutenção loja (12/08/2025) - Tubo de aço para limitar cadeiras afim de nao ter danos na parede</t>
  </si>
  <si>
    <t>Notas_Images/a0090265.Foto.011201.jpg</t>
  </si>
  <si>
    <t>Tubo de aço para limitar cadeiras afim de nao ter danos na parede</t>
  </si>
  <si>
    <t>Saida Outros: TAXA DE ENTREGA MOTOBOY</t>
  </si>
  <si>
    <t>187145d15</t>
  </si>
  <si>
    <t>15/07/2026 (Motoboy) -  - R$ 10,00</t>
  </si>
  <si>
    <t>R$ 112,82</t>
  </si>
  <si>
    <t>Saida Outros: INLFUENCER JUNIOR E FABI</t>
  </si>
  <si>
    <t>f3708880</t>
  </si>
  <si>
    <t>16/07/2026 (Influencer) -  - R$ 112,82</t>
  </si>
  <si>
    <t>778d0820</t>
  </si>
  <si>
    <t>Cafer tintas (13/08/2025) - Manutenção loja</t>
  </si>
  <si>
    <t>Notas_Images/f3708880.Foto.180826.jpg</t>
  </si>
  <si>
    <t>Manutenção loja</t>
  </si>
  <si>
    <t>16/07/2026 (Sangria) - Marcelo - R$ 900,00</t>
  </si>
  <si>
    <t>1c1f3e71b</t>
  </si>
  <si>
    <t>Saida Outros: adiantamento Siandra</t>
  </si>
  <si>
    <t>a47b3548</t>
  </si>
  <si>
    <t>ddb7a82c</t>
  </si>
  <si>
    <t>16/07/2026 (Adiantamento) - Siandra Aparecida Varela Gomes - R$ 150,00</t>
  </si>
  <si>
    <t>1ef31b26</t>
  </si>
  <si>
    <t>f27eb1d3</t>
  </si>
  <si>
    <t>Cópias cia (13/08/2025) - Cópias</t>
  </si>
  <si>
    <t>Entrada Outros: troco</t>
  </si>
  <si>
    <t>Notas_Images/ddb7a82c.Foto.211403.jpg</t>
  </si>
  <si>
    <t>Cópias</t>
  </si>
  <si>
    <t>17/07/2026 (Caixa Troco) -  - R$ 80,00</t>
  </si>
  <si>
    <t>R$ 3,00</t>
  </si>
  <si>
    <t>1849b42b1</t>
  </si>
  <si>
    <t>70f5e346</t>
  </si>
  <si>
    <t>17/07/2026 (Consumo) - Isabeli Grassmann - R$ 3,00</t>
  </si>
  <si>
    <t>90687f04</t>
  </si>
  <si>
    <t>Daiane valeria de Andrade cordeiro LTDA ME (13/08/2025) - Caneta p/ testar dinheiro</t>
  </si>
  <si>
    <t>Notas_Images/70f5e346.Foto.211633.jpg</t>
  </si>
  <si>
    <t>Caneta p/ testar dinheiro</t>
  </si>
  <si>
    <t>17/07/2026 (Sangria) - Marcelo - R$ 900,00</t>
  </si>
  <si>
    <t>R$ 1.200,00</t>
  </si>
  <si>
    <t>Saida Outros: SANGRIA MARIANE</t>
  </si>
  <si>
    <t>18/07/2026 (Sangria) - Mariane - R$ 1.200,00</t>
  </si>
  <si>
    <t>1945f59ed</t>
  </si>
  <si>
    <t>78617d27</t>
  </si>
  <si>
    <t>R$ 322,00</t>
  </si>
  <si>
    <t>Saida Outros: PGTO FREE-LANCER RAFAELA</t>
  </si>
  <si>
    <t>Fruteira da marta (13/08/2025) - FRUTAS</t>
  </si>
  <si>
    <t>Notas_Images/78617d27.Foto.212859.jpg</t>
  </si>
  <si>
    <t>94e88dd4</t>
  </si>
  <si>
    <t>19/07/2026 (Freelancer) -  - R$ 322,00</t>
  </si>
  <si>
    <t>Coper campos (14/08/2025) - Cafe funcionários</t>
  </si>
  <si>
    <t>Saida Outros: PGTO FREE-LANCER EMANUELE</t>
  </si>
  <si>
    <t>Notas_Images/16209004.Foto.214651.jpg</t>
  </si>
  <si>
    <t>9f92314d</t>
  </si>
  <si>
    <t>1233b47e6</t>
  </si>
  <si>
    <t>19/07/2026 (Freelancer) -  - R$ 200,00</t>
  </si>
  <si>
    <t>R$ 1.250,00</t>
  </si>
  <si>
    <t>7306a516</t>
  </si>
  <si>
    <t>Coper campos (15/08/2025) - Frutas e café funcionários</t>
  </si>
  <si>
    <t>19/07/2026 (Sangria) - Marcelo - R$ 1.250,00</t>
  </si>
  <si>
    <t>Notas_Images/7306a516.Foto.012011.jpg</t>
  </si>
  <si>
    <t>Frutas e café funcionários</t>
  </si>
  <si>
    <t>R$ 59,00</t>
  </si>
  <si>
    <t>198bc4385</t>
  </si>
  <si>
    <t>19/07/2026 (Motoboy) -  - R$ 59,00</t>
  </si>
  <si>
    <t>R$ 158,28</t>
  </si>
  <si>
    <t>1fc0832d</t>
  </si>
  <si>
    <t>18742eec</t>
  </si>
  <si>
    <t>5ebf80e8</t>
  </si>
  <si>
    <t>20/07/2026 (Compra de Mercadorias) -  - R$ 158,28</t>
  </si>
  <si>
    <t>Samara Free-lancer (17/08/2025) - PGTO SAMARA</t>
  </si>
  <si>
    <t>Notas_Images/1fc0832d.Foto.021122.jpg</t>
  </si>
  <si>
    <t>PGTO SAMARA</t>
  </si>
  <si>
    <t>R$ 12,08</t>
  </si>
  <si>
    <t>Saida Outros: CONSUMO ISABELE</t>
  </si>
  <si>
    <t>1303a57c6</t>
  </si>
  <si>
    <t>20/07/2026 (Consumo) - Isabeli Grassmann - R$ 12,08</t>
  </si>
  <si>
    <t>R$ 118,00</t>
  </si>
  <si>
    <t>6f1cfa00</t>
  </si>
  <si>
    <t>Saida Outros: INCENTIVO EQUIPE</t>
  </si>
  <si>
    <t>70b6627d</t>
  </si>
  <si>
    <t>Free-lancer Willian Fonseca (17/08/2025) - PGTO WILLIA</t>
  </si>
  <si>
    <t>20/07/2026 (Compra de Mercadorias) -  - R$ 118,00</t>
  </si>
  <si>
    <t>Notas_Images/6f1cfa00.Foto.021225.jpg</t>
  </si>
  <si>
    <t>PGTO WILLIA</t>
  </si>
  <si>
    <t>Entrada Outros: TROCO</t>
  </si>
  <si>
    <t>20/07/2026 (Caixa Troco) -  - R$ 10,00</t>
  </si>
  <si>
    <t>106f1ce61</t>
  </si>
  <si>
    <t>ab21f869</t>
  </si>
  <si>
    <t>90ae43a0</t>
  </si>
  <si>
    <t>20/07/2026 (Consumo) - Isabeli Grassmann - R$ 5,00</t>
  </si>
  <si>
    <t>Freelancer Gabriel (17/08/2025) - PGTO GABRIEL</t>
  </si>
  <si>
    <t>Notas_Images/ab21f869.Foto.021334.jpg</t>
  </si>
  <si>
    <t>PGTO GABRIEL</t>
  </si>
  <si>
    <t>R$ 7,99</t>
  </si>
  <si>
    <t>Saida Outros: UTENSILIO COZINHA</t>
  </si>
  <si>
    <t>04dbe70e</t>
  </si>
  <si>
    <t>20/07/2026 (Compra de Mercadorias) -  - R$ 7,99</t>
  </si>
  <si>
    <t>126162de0</t>
  </si>
  <si>
    <t>e71cd182</t>
  </si>
  <si>
    <t>R$ 8,19</t>
  </si>
  <si>
    <t>Saida Outros: CAFE FUNCIONARIOS</t>
  </si>
  <si>
    <t>4051640b</t>
  </si>
  <si>
    <t>Fruteira da marta (15/08/2025) - FRUTAS</t>
  </si>
  <si>
    <t>a529d1a9</t>
  </si>
  <si>
    <t>20/07/2026 (Compra de Mercadorias) -  - R$ 8,19</t>
  </si>
  <si>
    <t>Notas_Images/e71cd182.Foto.022106.jpg</t>
  </si>
  <si>
    <t>20/07/2026 (Sangria) - Marcelo - R$ 250,00</t>
  </si>
  <si>
    <t>7c4cfbff</t>
  </si>
  <si>
    <t>128fcff06</t>
  </si>
  <si>
    <t>Saida Outros: TROCO</t>
  </si>
  <si>
    <t>Morango seu kinho (17/08/2025) - MORANGO</t>
  </si>
  <si>
    <t>20/07/2026 (Caixa Troco) -  - R$ 550,00</t>
  </si>
  <si>
    <t>Notas_Images/7c4cfbff.Foto.022550.jpg</t>
  </si>
  <si>
    <t>MORANGO</t>
  </si>
  <si>
    <t>21/07/2026 (Sangria) - Marcelo - R$ 300,00</t>
  </si>
  <si>
    <t>3a58f1a5</t>
  </si>
  <si>
    <t>Saida Outros: bobina termica</t>
  </si>
  <si>
    <t>Morango seu kinho (15/08/2025) - Morangos</t>
  </si>
  <si>
    <t>3be3ea93</t>
  </si>
  <si>
    <t>12fa0486b</t>
  </si>
  <si>
    <t>21/07/2026 (Compra de Mercadorias) -  - R$ 22,00</t>
  </si>
  <si>
    <t>Notas_Images/3a58f1a5.Foto.224726.jpg</t>
  </si>
  <si>
    <t>Saida Outros: 2 entregas motoboy ref 21/07/2026</t>
  </si>
  <si>
    <t>22/07/2026 (Motoboy) -  - R$ 18,00</t>
  </si>
  <si>
    <t>98dfacbd</t>
  </si>
  <si>
    <t>R$ 19,00</t>
  </si>
  <si>
    <t>Saida Outros: taxa de entrega motoboy</t>
  </si>
  <si>
    <t>Donna Faxina (15/08/2025) - Produtos de limpeza</t>
  </si>
  <si>
    <t>Notas_Images/98dfacbd.Foto.232345.jpg</t>
  </si>
  <si>
    <t>169b7c381</t>
  </si>
  <si>
    <t>22/07/2026 (Motoboy) -  - R$ 19,00</t>
  </si>
  <si>
    <t>R$ 187,87</t>
  </si>
  <si>
    <t>0b89d9f0</t>
  </si>
  <si>
    <t>f61289b8</t>
  </si>
  <si>
    <t>23/07/2026 (Compra de Mercadorias) -  - R$ 187,87</t>
  </si>
  <si>
    <t>Fruteira da marta (18/08/2025) - Frutas</t>
  </si>
  <si>
    <t>R$ 473,57</t>
  </si>
  <si>
    <t>Notas_Images/0b89d9f0.Foto.232825.jpg</t>
  </si>
  <si>
    <t>12e4d3764</t>
  </si>
  <si>
    <t>23/07/2026 (Compra de Mercadorias) -  - R$ 473,57</t>
  </si>
  <si>
    <t>R$ 37,97</t>
  </si>
  <si>
    <t>Saida Outros: MATERIAIS DE LIMPEZA</t>
  </si>
  <si>
    <t>49c3c2f4</t>
  </si>
  <si>
    <t>bdbeda9b</t>
  </si>
  <si>
    <t>23/07/2026 (Compra de Mercadorias) -  - R$ 37,97</t>
  </si>
  <si>
    <t>FO-BRAN (13/08/2025) - Bebidas</t>
  </si>
  <si>
    <t>Notas_Images/bdbeda9b.Foto.233537.jpg</t>
  </si>
  <si>
    <t>23/07/2026 (Sangria) - Marcelo - R$ 250,00</t>
  </si>
  <si>
    <t>1db8d7f63</t>
  </si>
  <si>
    <t>Notas_Images/bdbeda9b.Foto 1.233537.jpg</t>
  </si>
  <si>
    <t>d2d92342</t>
  </si>
  <si>
    <t>23/07/2026 (Motoboy) -  - R$ 12,00</t>
  </si>
  <si>
    <t>Notas_Images/d2d92342.Foto.013431.jpg</t>
  </si>
  <si>
    <t>11672c3d0</t>
  </si>
  <si>
    <t>99bc49ab</t>
  </si>
  <si>
    <t>24/07/2026 (Caixa Troco) -  - R$ 27,00</t>
  </si>
  <si>
    <t>Coper campos (19/08/2025) - Cafe funcionários</t>
  </si>
  <si>
    <t>Notas_Images/99bc49ab.Foto.211505.jpg</t>
  </si>
  <si>
    <t>Saida Outros: Queijo e Leite Marcelo</t>
  </si>
  <si>
    <t>11de079ee</t>
  </si>
  <si>
    <t>24/07/2026 (Consumo) - Marcelo - R$ 60,00</t>
  </si>
  <si>
    <t>509916b1</t>
  </si>
  <si>
    <t>Coper campos (19/08/2025) - Filtro cafe</t>
  </si>
  <si>
    <t>R$ 90,00</t>
  </si>
  <si>
    <t>Notas_Images/509916b1.Foto.211601.jpg</t>
  </si>
  <si>
    <t>Filtro cafe</t>
  </si>
  <si>
    <t>Saida Outros: 6hrs Freelancer Emanuela</t>
  </si>
  <si>
    <t>24/07/2026 (Freelancer) -  - R$ 90,00</t>
  </si>
  <si>
    <t>1110d5a94</t>
  </si>
  <si>
    <t>e504d8bd</t>
  </si>
  <si>
    <t>Saida Outros: Motoboy</t>
  </si>
  <si>
    <t>24/07/2026 (Motoboy) -  - R$ 10,00</t>
  </si>
  <si>
    <t>Amadelli (18/08/2025) - Estoque seco 78095</t>
  </si>
  <si>
    <t>Notas_Images/e504d8bd.Foto.232546.jpg</t>
  </si>
  <si>
    <t>Estoque seco 78095</t>
  </si>
  <si>
    <t>R$ 34,70</t>
  </si>
  <si>
    <t>Troco</t>
  </si>
  <si>
    <t>Notas_Images/e504d8bd.Foto 1.232545.jpg</t>
  </si>
  <si>
    <t>25/07/2026 (Caixa Troco) -  - R$ 34,70</t>
  </si>
  <si>
    <t>Notas_Images/e504d8bd.Foto 2.232546.jpg</t>
  </si>
  <si>
    <t>Notas_Images/e504d8bd.Foto 3.232551.jpg</t>
  </si>
  <si>
    <t>R$ 57,40</t>
  </si>
  <si>
    <t>15af108ad</t>
  </si>
  <si>
    <t>fe3b87ca</t>
  </si>
  <si>
    <t>25/07/2026 (Caixa Troco) -  - R$ 57,40</t>
  </si>
  <si>
    <t>8706e5b1</t>
  </si>
  <si>
    <t>Opera fund.de inves.em dir cred multímetro (28/07/2025) - Clínica do trabalho laudos SST</t>
  </si>
  <si>
    <t>R$ 56,00</t>
  </si>
  <si>
    <t>dda confirmado</t>
  </si>
  <si>
    <t>Notas_Images/fe3b87ca.Foto.184737.jpg</t>
  </si>
  <si>
    <t>Clínica do trabalho laudos SST</t>
  </si>
  <si>
    <t>25/07/2026 (Caixa Troco) -  - R$ 56,00</t>
  </si>
  <si>
    <t>df8802aa</t>
  </si>
  <si>
    <t>R$ 268,02</t>
  </si>
  <si>
    <t>156fc7260</t>
  </si>
  <si>
    <t>Saida Outros: Morangos</t>
  </si>
  <si>
    <t>Donna Faxina (20/08/2025) - Produtos de limpeza</t>
  </si>
  <si>
    <t>32128d11</t>
  </si>
  <si>
    <t>Notas_Images/df8802aa.Foto.171150.jpg</t>
  </si>
  <si>
    <t>25/07/2026 (Compra de Mercadorias) -  - R$ 268,02</t>
  </si>
  <si>
    <t>Limpeza e Higiene</t>
  </si>
  <si>
    <t>25/07/2026 (Motoboy) -  - R$ 10,00</t>
  </si>
  <si>
    <t>e8bd778a</t>
  </si>
  <si>
    <t>Saida Outros: Consumo Isabella</t>
  </si>
  <si>
    <t>Amadelli (18/08/2025) - Estoque gelado pedido 78031</t>
  </si>
  <si>
    <t>1cb206c00</t>
  </si>
  <si>
    <t>Notas_Images/e8bd778a.Foto.174729.jpg</t>
  </si>
  <si>
    <t>Estoque gelado pedido 78031</t>
  </si>
  <si>
    <t>25/07/2026 (Consumo) - Isabeli Grassmann - R$ 3,00</t>
  </si>
  <si>
    <t>9b50e936</t>
  </si>
  <si>
    <t>Notas_Images/e8bd778a.Foto 1.174729.jpg</t>
  </si>
  <si>
    <t>Julho</t>
  </si>
  <si>
    <t>Notas_Images/e8bd778a.Foto 2.174729.jpg</t>
  </si>
  <si>
    <t>R$ 2.000,00</t>
  </si>
  <si>
    <t>d9429536</t>
  </si>
  <si>
    <t>Saida Outros: Sangria MArcelo</t>
  </si>
  <si>
    <t>87523ec5</t>
  </si>
  <si>
    <t>25/07/2026 (Sangria) - Marcelo - R$ 2.000,00</t>
  </si>
  <si>
    <t>Amadelli (18/08/2025) - Materiais campanha best day</t>
  </si>
  <si>
    <t>R$ 53,55</t>
  </si>
  <si>
    <t>Notas_Images/87523ec5.Foto.175123.jpg</t>
  </si>
  <si>
    <t>Materiais campanha best day</t>
  </si>
  <si>
    <t>14e7d1691</t>
  </si>
  <si>
    <t>26/07/2026 (Caixa Troco) -  - R$ 53,55</t>
  </si>
  <si>
    <t>R$ 35,48</t>
  </si>
  <si>
    <t>8adbf447</t>
  </si>
  <si>
    <t>Saida Outros: Copos por moedas de troco</t>
  </si>
  <si>
    <t>Conta paga pela Aline, ja reembolsada</t>
  </si>
  <si>
    <t>db6cd407</t>
  </si>
  <si>
    <t>26/07/2026 (Cortesias) -  - R$ 35,48</t>
  </si>
  <si>
    <t>dee9ad97</t>
  </si>
  <si>
    <t>R$ 76,00</t>
  </si>
  <si>
    <t>Daiane valeria de Andrade cordeiro LTDA ME (21/08/2025) - Materiais de escritório</t>
  </si>
  <si>
    <t>Saida Outros: Motoboy 8 entregas</t>
  </si>
  <si>
    <t>Notas_Images/dee9ad97.Foto.175602.jpg</t>
  </si>
  <si>
    <t>Materiais de escritório</t>
  </si>
  <si>
    <t>26/07/2026 (Motoboy) -  - R$ 76,00</t>
  </si>
  <si>
    <t>R$ 193,60</t>
  </si>
  <si>
    <t>185acc27f</t>
  </si>
  <si>
    <t>fc7d8336</t>
  </si>
  <si>
    <t>26/07/2026 (Compra de Mercadorias) -  - R$ 193,60</t>
  </si>
  <si>
    <t>Dia 2</t>
  </si>
  <si>
    <t>3a100572</t>
  </si>
  <si>
    <t>R$ 31,60</t>
  </si>
  <si>
    <t>Saida Outros: Café</t>
  </si>
  <si>
    <t>Madeiras e móveis Durli (19/08/2025) - Manutenções loja</t>
  </si>
  <si>
    <t>9171a04c</t>
  </si>
  <si>
    <t>Notas_Images/3a100572.Foto.181129.jpg</t>
  </si>
  <si>
    <t>26/07/2026 (Compra de Mercadorias) -  - R$ 31,60</t>
  </si>
  <si>
    <t>Manutenções loja</t>
  </si>
  <si>
    <t>R$ 225,00</t>
  </si>
  <si>
    <t>Saida Outros: 2 dias Freelancer Emanuela</t>
  </si>
  <si>
    <t>150f03cf9</t>
  </si>
  <si>
    <t>26/07/2026 (Freelancer) -  - R$ 225,00</t>
  </si>
  <si>
    <t>033c23e4</t>
  </si>
  <si>
    <t>Limpeza e higiene</t>
  </si>
  <si>
    <t>Saida Outros: 2 dias Freelancer Renata</t>
  </si>
  <si>
    <t>Coper campos (23/08/2025) - Cafe e frutas</t>
  </si>
  <si>
    <t>Notas_Images/033c23e4.Foto.210538.jpg</t>
  </si>
  <si>
    <t>Cafe e frutas</t>
  </si>
  <si>
    <t>Saida Outros: 2 entregas motoboy</t>
  </si>
  <si>
    <t>26/07/2026 (Motoboy) -  - R$ 20,00</t>
  </si>
  <si>
    <t>R$ 1.300,00</t>
  </si>
  <si>
    <t>a3c6adae</t>
  </si>
  <si>
    <t>Saida Outros: Sangria Marcelo</t>
  </si>
  <si>
    <t>1a792eb38</t>
  </si>
  <si>
    <t>Fruteira da marta (23/08/2025) - Frutas</t>
  </si>
  <si>
    <t>26/07/2026 (Sangria) - Marcelo - R$ 1.300,00</t>
  </si>
  <si>
    <t>Notas_Images/a3c6adae.Foto.210600.jpg</t>
  </si>
  <si>
    <t>mensal</t>
  </si>
  <si>
    <t>b539a5bd</t>
  </si>
  <si>
    <t>Entrada Outros: Sangria Marcelo 26/07</t>
  </si>
  <si>
    <t>27/07/2026 (Sangria) - Marcelo - R$ 1.300,00</t>
  </si>
  <si>
    <t>Saida Outros: Jairo - Adiantamento Siandra</t>
  </si>
  <si>
    <t>7a6bf877</t>
  </si>
  <si>
    <t>127b57ef6</t>
  </si>
  <si>
    <t>27/07/2026 (Adiantamento) - Siandra Aparecida Varela Gomes - R$ 350,00</t>
  </si>
  <si>
    <t>RPG - Morango Rafael (22/08/2025) - Morangos</t>
  </si>
  <si>
    <t>R$ 950,00</t>
  </si>
  <si>
    <t>Notas_Images/7a6bf877.Foto.211211.jpg</t>
  </si>
  <si>
    <t>Saida Outros: Sangria Marcelo 27/07</t>
  </si>
  <si>
    <t>FGTS</t>
  </si>
  <si>
    <t>2e69bdd3</t>
  </si>
  <si>
    <t>27/07/2026 (Sangria) - Marcelo - R$ 950,00</t>
  </si>
  <si>
    <t>R$ 73,00</t>
  </si>
  <si>
    <t>1d223203</t>
  </si>
  <si>
    <t>27/07/2026 (Caixa Troco) -  - R$ 73,00</t>
  </si>
  <si>
    <t>Morango seu kinho (22/08/2025) - Morangos</t>
  </si>
  <si>
    <t>1a6867a94</t>
  </si>
  <si>
    <t>Notas_Images/1d223203.Foto.014110.jpg</t>
  </si>
  <si>
    <t>Saida Outros: 10kg Morangos</t>
  </si>
  <si>
    <t>c28dcd6f</t>
  </si>
  <si>
    <t>27/07/2026 (Compra de Mercadorias) -  - R$ 350,00</t>
  </si>
  <si>
    <t>Simples Nacional</t>
  </si>
  <si>
    <t>9eeec060</t>
  </si>
  <si>
    <t>a43e4df5</t>
  </si>
  <si>
    <t>27/07/2026 (Motoboy) -  - R$ 20,00</t>
  </si>
  <si>
    <t>Morango seu kinho (19/08/2025) - Morangos</t>
  </si>
  <si>
    <t>R$ 850,00</t>
  </si>
  <si>
    <t>Notas_Images/a43e4df5.Foto.015630.jpg</t>
  </si>
  <si>
    <t>124413b2c</t>
  </si>
  <si>
    <t>27/07/2026 (Sangria) - Marcelo - R$ 850,00</t>
  </si>
  <si>
    <t>R$ 89,40</t>
  </si>
  <si>
    <t>Dda confirmado</t>
  </si>
  <si>
    <t>150edb30</t>
  </si>
  <si>
    <t>28/07/2026 (Caixa Troco) -  - R$ 89,40</t>
  </si>
  <si>
    <t>Coper campos (27/08/2025) - Cafe funcionários</t>
  </si>
  <si>
    <t>R$ 52,50</t>
  </si>
  <si>
    <t>Notas_Images/150edb30.Foto.012748.jpg</t>
  </si>
  <si>
    <t>Saida Outros: Freelancer Isabela 3,5hr</t>
  </si>
  <si>
    <t>28/07/2026 (Freelancer) -  - R$ 52,50</t>
  </si>
  <si>
    <t>144cfda43</t>
  </si>
  <si>
    <t>901c6a1e</t>
  </si>
  <si>
    <t>R$ 70,00</t>
  </si>
  <si>
    <t>Saida Outros: Freelacer Emanuele</t>
  </si>
  <si>
    <t>Coper campos (30/08/2025) - Cafe funcionários</t>
  </si>
  <si>
    <t>28/07/2026 (Freelancer) -  - R$ 70,00</t>
  </si>
  <si>
    <t>Notas_Images/901c6a1e.Foto.005239.jpg</t>
  </si>
  <si>
    <t>28/07/2026 (Sangria) - Marcelo - R$ 300,00</t>
  </si>
  <si>
    <t>16b9bc3e6</t>
  </si>
  <si>
    <t>5b92d8d8</t>
  </si>
  <si>
    <t>Entrada Outros: Sangria Marcelo 27/07</t>
  </si>
  <si>
    <t>29/07/2026 (Sangria) - Marcelo - R$ 850,00</t>
  </si>
  <si>
    <t>Manutenção loja (30/08/2025) - Acabamento para cadeira nao encostar na parede</t>
  </si>
  <si>
    <t>Notas_Images/5b92d8d8.Foto.232320.jpg</t>
  </si>
  <si>
    <t>R$ 478,65</t>
  </si>
  <si>
    <t>Acabamento para cadeira nao encostar na parede</t>
  </si>
  <si>
    <t>Saida Outros: Frutas</t>
  </si>
  <si>
    <t>e96f3d6f</t>
  </si>
  <si>
    <t>29/07/2026 (Compra de Mercadorias) -  - R$ 478,65</t>
  </si>
  <si>
    <t>1a12ab81f</t>
  </si>
  <si>
    <t>Saida Outros: Motoboy 3 entregas</t>
  </si>
  <si>
    <t>29/07/2026 (Motoboy) -  - R$ 28,00</t>
  </si>
  <si>
    <t>29/07/2026 (Sangria) - Marcelo - R$ 900,00</t>
  </si>
  <si>
    <t>f3ff3a95</t>
  </si>
  <si>
    <t>R$ 75,67</t>
  </si>
  <si>
    <t>Saida Outros: Lanche Equipe</t>
  </si>
  <si>
    <t>Samara Free-lancer (31/08/2025) - Pgto Samara Free-lancer</t>
  </si>
  <si>
    <t>15998565</t>
  </si>
  <si>
    <t>184aadd71</t>
  </si>
  <si>
    <t>Notas_Images/f3ff3a95.Foto.232557.jpg</t>
  </si>
  <si>
    <t>30/07/2026 (Compra de Mercadorias) -  - R$ 75,67</t>
  </si>
  <si>
    <t>Pgto Samara Free-lancer</t>
  </si>
  <si>
    <t>R$ 1.150,00</t>
  </si>
  <si>
    <t>30/07/2026 (Sangria) - Marcelo - R$ 1.150,00</t>
  </si>
  <si>
    <t>0217ca00</t>
  </si>
  <si>
    <t>R$ 69,98</t>
  </si>
  <si>
    <t>Saida Outros: Spray Desmoldante</t>
  </si>
  <si>
    <t>Ultratelecom Provedora de Internet (31/08/2025) - Multa por cancelamento</t>
  </si>
  <si>
    <t>Notas_Images/0217ca00.Foto.000620.jpg</t>
  </si>
  <si>
    <t>1e1c83bb5</t>
  </si>
  <si>
    <t>311dbb67</t>
  </si>
  <si>
    <t>Multa por cancelamento</t>
  </si>
  <si>
    <t>30/07/2026 (Compra de Mercadorias) -  - R$ 69,98</t>
  </si>
  <si>
    <t>d79b75f2</t>
  </si>
  <si>
    <t>48 waffles</t>
  </si>
  <si>
    <t>1efdcc15</t>
  </si>
  <si>
    <t>fc538305</t>
  </si>
  <si>
    <t>R$ 118,38</t>
  </si>
  <si>
    <t>Saida Outros: Lanche</t>
  </si>
  <si>
    <t>ProFood (20/08/2025) - Embalagens</t>
  </si>
  <si>
    <t>Notas_Images/fc538305.Foto.005320.jpg</t>
  </si>
  <si>
    <t>1512d6d90</t>
  </si>
  <si>
    <t>1bbb5850</t>
  </si>
  <si>
    <t>Notas_Images/fc538305.Foto 1.005320.jpg</t>
  </si>
  <si>
    <t>30/07/2026 (Compra de Mercadorias) -  - R$ 118,38</t>
  </si>
  <si>
    <t>Notas_Images/fc538305.Foto 2.005320.jpg</t>
  </si>
  <si>
    <t>R$ 130,40</t>
  </si>
  <si>
    <t>95bbac08</t>
  </si>
  <si>
    <t>FO-BRAN (27/08/2025) - Bebidas</t>
  </si>
  <si>
    <t>11048c323</t>
  </si>
  <si>
    <t>Notas_Images/95bbac08.Foto.005845.jpg</t>
  </si>
  <si>
    <t>ea84fc9b</t>
  </si>
  <si>
    <t>31/07/2026 (Caixa Troco) -  - R$ 130,40</t>
  </si>
  <si>
    <t>Salario + Spotfy R$22 + Sistema TBA R$10</t>
  </si>
  <si>
    <t>2a26aa23</t>
  </si>
  <si>
    <t>5be8ea61</t>
  </si>
  <si>
    <t>R$ 12,83</t>
  </si>
  <si>
    <t>Fruteira da marta (29/08/2025) - FRUTAS</t>
  </si>
  <si>
    <t>Notas_Images/5be8ea61.Foto.012725.jpg</t>
  </si>
  <si>
    <t>16b106e8a</t>
  </si>
  <si>
    <t>31/07/2026 (Consumo) - Isabeli Grassmann - R$ 12,83</t>
  </si>
  <si>
    <t>92d1ec32</t>
  </si>
  <si>
    <t>Fruteira da marta (30/08/2025) - FRUTAS</t>
  </si>
  <si>
    <t>R$ 48,00</t>
  </si>
  <si>
    <t>Notas_Images/92d1ec32.Foto.012912.jpg</t>
  </si>
  <si>
    <t>13ce882fc</t>
  </si>
  <si>
    <t>d587b39b</t>
  </si>
  <si>
    <t>31/07/2026 (Motoboy) -  - R$ 48,00</t>
  </si>
  <si>
    <t>Fruteira da marta (31/08/2025) - FRUTAS</t>
  </si>
  <si>
    <t>Notas_Images/d587b39b.Foto.013238.jpg</t>
  </si>
  <si>
    <t>14308b5ba</t>
  </si>
  <si>
    <t>a36ea287</t>
  </si>
  <si>
    <t>31/07/2026 (Sangria) - Marcelo - R$ 700,00</t>
  </si>
  <si>
    <t>Morango seu kinho (31/08/2025) - Morangos</t>
  </si>
  <si>
    <t>Notas_Images/a36ea287.Foto.013706.jpg</t>
  </si>
  <si>
    <t>31/07/2026 (Freelancer) -  - R$ 50,00</t>
  </si>
  <si>
    <t>1dff1678b</t>
  </si>
  <si>
    <t>Saida Outros: PGTO EMANUELE - FREE-LANCR</t>
  </si>
  <si>
    <t>a7881184</t>
  </si>
  <si>
    <t>01/08/2026 (Freelancer) -  - R$ 120,00</t>
  </si>
  <si>
    <t>pedido 72621</t>
  </si>
  <si>
    <t>R$ 5,25</t>
  </si>
  <si>
    <t>Free-lancer Willian Fonseca (31/08/2025) - Free-lancer</t>
  </si>
  <si>
    <t>Notas_Images/a7881184.Foto.151723.jpg</t>
  </si>
  <si>
    <t>01/08/2026 (Caixa Troco) -  - R$ 5,25</t>
  </si>
  <si>
    <t>R$ 12,47</t>
  </si>
  <si>
    <t>16034984</t>
  </si>
  <si>
    <t>1ff5ef5f3</t>
  </si>
  <si>
    <t>01/08/2026 (Compra de Mercadorias) -  - R$ 12,47</t>
  </si>
  <si>
    <t>9796aac7</t>
  </si>
  <si>
    <t>Freelancer Gabriel (31/08/2025) - Free-lancer</t>
  </si>
  <si>
    <t>Notas_Images/9796aac7.Foto.151912.jpg</t>
  </si>
  <si>
    <t>63ec816c</t>
  </si>
  <si>
    <t>01/08/2026 (Compra de Mercadorias) -  - R$ 200,00</t>
  </si>
  <si>
    <t>R$ 48,81</t>
  </si>
  <si>
    <t>Saida Outros: Influencer Eleanara</t>
  </si>
  <si>
    <t>01/08/2026 (Influencer) -  - R$ 48,81</t>
  </si>
  <si>
    <t>1727a455b</t>
  </si>
  <si>
    <t>65bf4068</t>
  </si>
  <si>
    <t>R$ 4,00</t>
  </si>
  <si>
    <t>Superviza Supermercado (02/09/2025) - Café funcionários</t>
  </si>
  <si>
    <t>pedido 72587</t>
  </si>
  <si>
    <t>acaa0762</t>
  </si>
  <si>
    <t>Notas_Images/65bf4068.Foto.223425.jpg</t>
  </si>
  <si>
    <t>01/08/2026 (Compra de Mercadorias) -  - R$ 4,00</t>
  </si>
  <si>
    <t>01/08/2026 (Motoboy) -  - R$ 48,00</t>
  </si>
  <si>
    <t>97337ccc</t>
  </si>
  <si>
    <t>13cc95c98</t>
  </si>
  <si>
    <t>R$ 1.760,00</t>
  </si>
  <si>
    <t>SAMAE (02/09/2025) - Fatura de água</t>
  </si>
  <si>
    <t>01/08/2026 (Sangria) - Marcelo - R$ 1.760,00</t>
  </si>
  <si>
    <t>Notas_Images/97337ccc.Foto.234846.jpg</t>
  </si>
  <si>
    <t>Mensal</t>
  </si>
  <si>
    <t>R$ 15,30</t>
  </si>
  <si>
    <t>02/08/2026 (Consumo) - Isabeli Grassmann - R$ 15,30</t>
  </si>
  <si>
    <t>17e589d4a</t>
  </si>
  <si>
    <t>51a98d20</t>
  </si>
  <si>
    <t>R$ 92,00</t>
  </si>
  <si>
    <t>Internet mensal</t>
  </si>
  <si>
    <t>RPG - Morango Rafael (02/09/2025) - Morangos</t>
  </si>
  <si>
    <t>02/08/2026 (Motoboy) -  - R$ 92,00</t>
  </si>
  <si>
    <t>Notas_Images/51a98d20.Foto.235833.jpg</t>
  </si>
  <si>
    <t>R$ 104,29</t>
  </si>
  <si>
    <t>Saida Outros: INFLUENCER JUNIOR E FABI</t>
  </si>
  <si>
    <t>f577f2ae</t>
  </si>
  <si>
    <t>02/08/2026 (Influencer) -  - R$ 104,29</t>
  </si>
  <si>
    <t>Lorizete pão (03/09/2025) - Pão caseiro</t>
  </si>
  <si>
    <t>Notas_Images/f577f2ae.Foto.022714.jpg</t>
  </si>
  <si>
    <t>Pão caseiro</t>
  </si>
  <si>
    <t>R$ 1.640,00</t>
  </si>
  <si>
    <t>1331d7634</t>
  </si>
  <si>
    <t>b647f66b</t>
  </si>
  <si>
    <t>02/08/2026 (Sangria) - Marcelo - R$ 1.640,00</t>
  </si>
  <si>
    <t>Royalties</t>
  </si>
  <si>
    <t>b41d0a24</t>
  </si>
  <si>
    <t>R$ 242,00</t>
  </si>
  <si>
    <t>Coper campos (04/09/2025) - Cafe funcionários</t>
  </si>
  <si>
    <t>Notas_Images/b647f66b.Foto.014803.jpg</t>
  </si>
  <si>
    <t>10d482b7c</t>
  </si>
  <si>
    <t>29e07a4e</t>
  </si>
  <si>
    <t>Marketing</t>
  </si>
  <si>
    <t>05107e6d</t>
  </si>
  <si>
    <t>02/08/2026 (Freelancer) -  - R$ 242,00</t>
  </si>
  <si>
    <t>9d6ddd89</t>
  </si>
  <si>
    <t>Morango seu kinho (04/09/2025) - Morangos</t>
  </si>
  <si>
    <t>R$ 171,00</t>
  </si>
  <si>
    <t>Notas_Images/05107e6d.Foto.175933.jpg</t>
  </si>
  <si>
    <t>77072574</t>
  </si>
  <si>
    <t>13742d2ed</t>
  </si>
  <si>
    <t>02/08/2026 (Freelancer) -  - R$ 171,00</t>
  </si>
  <si>
    <t>Sistema</t>
  </si>
  <si>
    <t>R$ 380,00</t>
  </si>
  <si>
    <t>a52b6943</t>
  </si>
  <si>
    <t>a6e39aae</t>
  </si>
  <si>
    <t>5b48eaef</t>
  </si>
  <si>
    <t>Coper campos (05/09/2025) - Frutas</t>
  </si>
  <si>
    <t>02/08/2026 (Freelancer) -  - R$ 380,00</t>
  </si>
  <si>
    <t>Notas_Images/a6e39aae.Foto.192006.jpg</t>
  </si>
  <si>
    <t>1770f8aa0</t>
  </si>
  <si>
    <t>pedido 75275</t>
  </si>
  <si>
    <t>02/08/2026 (Caixa Troco) -  - R$ 40,00</t>
  </si>
  <si>
    <t>R$ 13,00</t>
  </si>
  <si>
    <t>3f847e97</t>
  </si>
  <si>
    <t>Saida Outros: COPIAS</t>
  </si>
  <si>
    <t>f5fba702</t>
  </si>
  <si>
    <t>89d3d8a3</t>
  </si>
  <si>
    <t>1c55568bd</t>
  </si>
  <si>
    <t>Empórium ker mais (05/09/2025) - Canudos</t>
  </si>
  <si>
    <t>03/08/2026 (Compra de Mercadorias) -  - R$ 13,00</t>
  </si>
  <si>
    <t>Notas_Images/3f847e97.Foto.002106.jpg</t>
  </si>
  <si>
    <t>Canudos</t>
  </si>
  <si>
    <t>pedido 75291</t>
  </si>
  <si>
    <t>R$ 26,97</t>
  </si>
  <si>
    <t>602332b6</t>
  </si>
  <si>
    <t>03/08/2026 (Compra de Mercadorias) -  - R$ 26,97</t>
  </si>
  <si>
    <t>3d3828ae</t>
  </si>
  <si>
    <t>1f49f60d2</t>
  </si>
  <si>
    <t>Coper campos (05/09/2025) - Leite</t>
  </si>
  <si>
    <t>pedido 74551</t>
  </si>
  <si>
    <t>Notas_Images/3d3828ae.Foto.002152.jpg</t>
  </si>
  <si>
    <t>Leite</t>
  </si>
  <si>
    <t>37cc8eb2</t>
  </si>
  <si>
    <t>Amadelli (02/09/2025) - Estoque gelado</t>
  </si>
  <si>
    <t>Notas_Images/37cc8eb2.Foto.004435.jpg</t>
  </si>
  <si>
    <t>Notas_Images/37cc8eb2.Foto 1.004435.jpg</t>
  </si>
  <si>
    <t>Notas_Images/37cc8eb2.Foto 2.004435.jpg</t>
  </si>
  <si>
    <t>2625068b</t>
  </si>
  <si>
    <t>Amadelli (02/09/2025) - Gelado - algodão doce</t>
  </si>
  <si>
    <t>Notas_Images/2625068b.Foto.004939.jpg</t>
  </si>
  <si>
    <t>Gelado - algodão doce</t>
  </si>
  <si>
    <t>160a6d312</t>
  </si>
  <si>
    <t>Produto</t>
  </si>
  <si>
    <t>Quantidade</t>
  </si>
  <si>
    <t>499177c7</t>
  </si>
  <si>
    <t>Aluguel, alimentação, combustível</t>
  </si>
  <si>
    <t>ValorTotal</t>
  </si>
  <si>
    <t>d6fc9dea</t>
  </si>
  <si>
    <t>9c6d9dd0</t>
  </si>
  <si>
    <t>1c1fa45f</t>
  </si>
  <si>
    <t>RPG - Morango Rafael (05/09/2025) - Morangos</t>
  </si>
  <si>
    <t>10f4b7a9</t>
  </si>
  <si>
    <t>Notas_Images/499177c7.Foto.005451.jpg</t>
  </si>
  <si>
    <t>220ca4f2</t>
  </si>
  <si>
    <t>6ff7ce63</t>
  </si>
  <si>
    <t>12539885</t>
  </si>
  <si>
    <t>b6d82f8d</t>
  </si>
  <si>
    <t>88a3e93b</t>
  </si>
  <si>
    <t>1610dd363</t>
  </si>
  <si>
    <t>3560d28d</t>
  </si>
  <si>
    <t>b6d762a5</t>
  </si>
  <si>
    <t>6d51e667</t>
  </si>
  <si>
    <t>feito</t>
  </si>
  <si>
    <t>0ae5808e</t>
  </si>
  <si>
    <t>865a013a</t>
  </si>
  <si>
    <t>6fedeba3</t>
  </si>
  <si>
    <t>Farmácia sagrado coração (06/09/2025) - Máscara descartável</t>
  </si>
  <si>
    <t>8023dd3d</t>
  </si>
  <si>
    <t>Notas_Images/b6d762a5.Foto.174528.jpg</t>
  </si>
  <si>
    <t>acd15a12</t>
  </si>
  <si>
    <t>Máscara descartável</t>
  </si>
  <si>
    <t>f635d386</t>
  </si>
  <si>
    <t>c902fac7</t>
  </si>
  <si>
    <t>1e63084db</t>
  </si>
  <si>
    <t>2a295530</t>
  </si>
  <si>
    <t>262289b5</t>
  </si>
  <si>
    <t>bf80084e</t>
  </si>
  <si>
    <t>Coper campos (07/09/2025) - Frutas</t>
  </si>
  <si>
    <t>pedido 78091</t>
  </si>
  <si>
    <t>Notas_Images/2a295530.Foto.203734.jpg</t>
  </si>
  <si>
    <t>6c02887b</t>
  </si>
  <si>
    <t>97e118ec</t>
  </si>
  <si>
    <t>2f122c31</t>
  </si>
  <si>
    <t>579060a9</t>
  </si>
  <si>
    <t>3485eff8</t>
  </si>
  <si>
    <t>a4e44c17</t>
  </si>
  <si>
    <t>1588f7a6f</t>
  </si>
  <si>
    <t>86b29135</t>
  </si>
  <si>
    <t>45813c75</t>
  </si>
  <si>
    <t>203b2499</t>
  </si>
  <si>
    <t>6e7cba38</t>
  </si>
  <si>
    <t>Marcelo (07/09/2025) - Reembolso ( frutas)</t>
  </si>
  <si>
    <t>Notas_Images/3485eff8.Foto.204006.jpg</t>
  </si>
  <si>
    <t>85c1df35</t>
  </si>
  <si>
    <t>pedido 78095</t>
  </si>
  <si>
    <t>Reembolso ( frutas)</t>
  </si>
  <si>
    <t>b9005504</t>
  </si>
  <si>
    <t>dec6d522</t>
  </si>
  <si>
    <t>35d4ac1e</t>
  </si>
  <si>
    <t>9bbb1009</t>
  </si>
  <si>
    <t>1e01b5e0</t>
  </si>
  <si>
    <t>b043f25c</t>
  </si>
  <si>
    <t>b4b60560</t>
  </si>
  <si>
    <t>1e3cfe855</t>
  </si>
  <si>
    <t>15838b06</t>
  </si>
  <si>
    <t>05465eaf</t>
  </si>
  <si>
    <t>6e9ad404</t>
  </si>
  <si>
    <t>3439a330</t>
  </si>
  <si>
    <t>Coper campos (07/09/2025) - Cafe funcionários</t>
  </si>
  <si>
    <t>Notas_Images/05465eaf.Foto.204421.jpg</t>
  </si>
  <si>
    <t>pedido 77257</t>
  </si>
  <si>
    <t>87c250b0</t>
  </si>
  <si>
    <t>e314c4d2</t>
  </si>
  <si>
    <t>16367609</t>
  </si>
  <si>
    <t>5553dc6f</t>
  </si>
  <si>
    <t>a2a15095</t>
  </si>
  <si>
    <t>1956adec</t>
  </si>
  <si>
    <t>0a8ec09b</t>
  </si>
  <si>
    <t>36250270</t>
  </si>
  <si>
    <t>f22ee7f8</t>
  </si>
  <si>
    <t>71abb565</t>
  </si>
  <si>
    <t>e0e3b054</t>
  </si>
  <si>
    <t>A.D.A comércio de vestuário e acessórios (08/09/2025) - Jarras p/ os cremes</t>
  </si>
  <si>
    <t>Notas_Images/0a8ec09b.Foto.214809.jpg</t>
  </si>
  <si>
    <t>9ce67c1c</t>
  </si>
  <si>
    <t>89805f6e</t>
  </si>
  <si>
    <t>Jarras p/ os cremes</t>
  </si>
  <si>
    <t>3ac8011e</t>
  </si>
  <si>
    <t>aa20ad43</t>
  </si>
  <si>
    <t>6d4f60bb</t>
  </si>
  <si>
    <t>d1637bb1</t>
  </si>
  <si>
    <t>0657bbab</t>
  </si>
  <si>
    <t>b1a3ba77</t>
  </si>
  <si>
    <t>85a9f060</t>
  </si>
  <si>
    <t>ac723019</t>
  </si>
  <si>
    <t>41d3f10b</t>
  </si>
  <si>
    <t>8afe48b0</t>
  </si>
  <si>
    <t>Amadelli (04/09/2025) - Estoque seco 80858</t>
  </si>
  <si>
    <t>10de4096</t>
  </si>
  <si>
    <t>Notas_Images/b1a3ba77.Foto.115608.jpg</t>
  </si>
  <si>
    <t>Estoque seco 80858</t>
  </si>
  <si>
    <t>c549f57b</t>
  </si>
  <si>
    <t>eb17b4e3</t>
  </si>
  <si>
    <t>12a4977d</t>
  </si>
  <si>
    <t>Notas_Images/b1a3ba77.Foto 1.115608.jpg</t>
  </si>
  <si>
    <t>1f542171</t>
  </si>
  <si>
    <t>Notas_Images/b1a3ba77.Foto 2.115609.jpg</t>
  </si>
  <si>
    <t>e1c62dc7</t>
  </si>
  <si>
    <t>50c317c9</t>
  </si>
  <si>
    <t>c74b8f9e</t>
  </si>
  <si>
    <t>a80e8202</t>
  </si>
  <si>
    <t>c830aa6e</t>
  </si>
  <si>
    <t>026c8993</t>
  </si>
  <si>
    <t>Donna Faxina (09/09/2025) - Produtos de limpeza</t>
  </si>
  <si>
    <t>e2b4771c</t>
  </si>
  <si>
    <t>Notas_Images/c74b8f9e.Foto.185038.jpg</t>
  </si>
  <si>
    <t>100a72fd7</t>
  </si>
  <si>
    <t>10d95d4a</t>
  </si>
  <si>
    <t>d0480a26</t>
  </si>
  <si>
    <t>610e5ed5</t>
  </si>
  <si>
    <t>d2169dcf</t>
  </si>
  <si>
    <t>Pedido 68750 Serviço VO: 4.396,00</t>
  </si>
  <si>
    <t>5afac7eb</t>
  </si>
  <si>
    <t>e1483e07</t>
  </si>
  <si>
    <t>fec3adc3</t>
  </si>
  <si>
    <t>93c2274b</t>
  </si>
  <si>
    <t>9ce602f9</t>
  </si>
  <si>
    <t>f3f06698</t>
  </si>
  <si>
    <t>Coper campos (11/09/2025) - Cafe funcionários</t>
  </si>
  <si>
    <t>8b743d0d</t>
  </si>
  <si>
    <t>Notas_Images/fec3adc3.Foto.185318.jpg</t>
  </si>
  <si>
    <t>3f468d45</t>
  </si>
  <si>
    <t>0408549a</t>
  </si>
  <si>
    <t>68a2fb36</t>
  </si>
  <si>
    <t>mensal, fatura zerada pois foi desc. pag feito em duplicidade</t>
  </si>
  <si>
    <t>74cb3aee</t>
  </si>
  <si>
    <t>fd67ef44</t>
  </si>
  <si>
    <t>Coper campos (13/09/2025) - Reembolso (frutas)</t>
  </si>
  <si>
    <t>Notas_Images/74cb3aee.Foto.180634.jpg</t>
  </si>
  <si>
    <t>Reembolso (frutas)</t>
  </si>
  <si>
    <t>6273403f</t>
  </si>
  <si>
    <t>886ab252</t>
  </si>
  <si>
    <t>3bb185f3</t>
  </si>
  <si>
    <t>98186845</t>
  </si>
  <si>
    <t>Fruteira da marta (11/09/2025) - Frutas</t>
  </si>
  <si>
    <t>Notas_Images/3bb185f3.Foto.181521.jpg</t>
  </si>
  <si>
    <t>9f43304d</t>
  </si>
  <si>
    <t>2f36cc31</t>
  </si>
  <si>
    <t>667afbcb</t>
  </si>
  <si>
    <t>agosto</t>
  </si>
  <si>
    <t>Fruteira da marta (13/09/2025) - FRUTAS</t>
  </si>
  <si>
    <t>db73a775</t>
  </si>
  <si>
    <t>Notas_Images/57174004.Foto.005934.jpg</t>
  </si>
  <si>
    <t>efad2c94</t>
  </si>
  <si>
    <t>2096f1f2</t>
  </si>
  <si>
    <t>0e3f4f1d</t>
  </si>
  <si>
    <t>e508d314</t>
  </si>
  <si>
    <t>1cf522a29</t>
  </si>
  <si>
    <t>Morango seu kinho (11/09/2025) - Morangos</t>
  </si>
  <si>
    <t>c9cd5c10</t>
  </si>
  <si>
    <t>Notas_Images/0e3f4f1d.Foto.011005.jpg</t>
  </si>
  <si>
    <t>adc3604b</t>
  </si>
  <si>
    <t>880afcaf</t>
  </si>
  <si>
    <t>50798a18</t>
  </si>
  <si>
    <t>Samara Free-lancer (15/09/2025) - PGTO FREEZER</t>
  </si>
  <si>
    <t>1fefaf7e5</t>
  </si>
  <si>
    <t>Notas_Images/880afcaf.Foto.233626.jpg</t>
  </si>
  <si>
    <t>PGTO FREEZER</t>
  </si>
  <si>
    <t>b03ab864</t>
  </si>
  <si>
    <t>735e6b82</t>
  </si>
  <si>
    <t>e5904894</t>
  </si>
  <si>
    <t>Coper campos (15/09/2025) - Café funcionários</t>
  </si>
  <si>
    <t>Notas_Images/735e6b82.Foto.235922.jpg</t>
  </si>
  <si>
    <t>e38da88c</t>
  </si>
  <si>
    <t>1918b7aec</t>
  </si>
  <si>
    <t>ba3727fc</t>
  </si>
  <si>
    <t>e073fedf</t>
  </si>
  <si>
    <t>b5a6b53a</t>
  </si>
  <si>
    <t>6cf4b777</t>
  </si>
  <si>
    <t>79111b43</t>
  </si>
  <si>
    <t>afce9f73</t>
  </si>
  <si>
    <t>Freelancer Gabriel (15/09/2025) - Freelancer gabriel</t>
  </si>
  <si>
    <t>f01dc7d5</t>
  </si>
  <si>
    <t>Notas_Images/6cf4b777.Foto.000208.jpg</t>
  </si>
  <si>
    <t>1bb45df3</t>
  </si>
  <si>
    <t>Freelancer gabriel</t>
  </si>
  <si>
    <t>dce28b9a</t>
  </si>
  <si>
    <t>e148573b</t>
  </si>
  <si>
    <t>f1086cc7</t>
  </si>
  <si>
    <t>0936ae75</t>
  </si>
  <si>
    <t>e9d04c0b</t>
  </si>
  <si>
    <t>d0aba398</t>
  </si>
  <si>
    <t>64c14a86</t>
  </si>
  <si>
    <t>75375964</t>
  </si>
  <si>
    <t>Free-lancer Willian Fonseca (15/09/2025) - PGTO freelancer</t>
  </si>
  <si>
    <t>700e74cf</t>
  </si>
  <si>
    <t>b59bc6fe</t>
  </si>
  <si>
    <t>Notas_Images/e9d04c0b.Foto.014648.jpg</t>
  </si>
  <si>
    <t>PGTO freelancer</t>
  </si>
  <si>
    <t>02d55ba4</t>
  </si>
  <si>
    <t>4a937fbe</t>
  </si>
  <si>
    <t>a3f51d16</t>
  </si>
  <si>
    <t>ce4d2a4e</t>
  </si>
  <si>
    <t>fa6ed143</t>
  </si>
  <si>
    <t>d66a3a65</t>
  </si>
  <si>
    <t>a66d52bc</t>
  </si>
  <si>
    <t>652010c5</t>
  </si>
  <si>
    <t>Freelancer Gabriel (16/09/2025) - PGTO freelancer</t>
  </si>
  <si>
    <t>0b6fc910</t>
  </si>
  <si>
    <t>Notas_Images/a66d52bc.Foto.195104.jpg</t>
  </si>
  <si>
    <t>ae89ff2a</t>
  </si>
  <si>
    <t>1ed6cfdd</t>
  </si>
  <si>
    <t>93df1d29</t>
  </si>
  <si>
    <t>8cdffa06</t>
  </si>
  <si>
    <t>d9cb9c9c</t>
  </si>
  <si>
    <t>06b8a550</t>
  </si>
  <si>
    <t>03a6e161</t>
  </si>
  <si>
    <t>2c422992</t>
  </si>
  <si>
    <t>ProFood (11/09/2025) - Embalagens</t>
  </si>
  <si>
    <t>f530ad25</t>
  </si>
  <si>
    <t>1a8c52ce</t>
  </si>
  <si>
    <t>Notas_Images/d9cb9c9c.Foto.205048.jpg</t>
  </si>
  <si>
    <t>04e6807c</t>
  </si>
  <si>
    <t>e079107c</t>
  </si>
  <si>
    <t>f0f3deba</t>
  </si>
  <si>
    <t>Notas_Images/d9cb9c9c.Foto 1.205048.jpg</t>
  </si>
  <si>
    <t>3ef1804a</t>
  </si>
  <si>
    <t>Notas_Images/d9cb9c9c.Foto 2.205048.jpg</t>
  </si>
  <si>
    <t>Notas_Images/d9cb9c9c.Foto 3.205052.jpg</t>
  </si>
  <si>
    <t>6f300e48</t>
  </si>
  <si>
    <t>37c9fbe0</t>
  </si>
  <si>
    <t>6531cab1</t>
  </si>
  <si>
    <t>FO-BRAN (16/09/2025) - Bebidas</t>
  </si>
  <si>
    <t>4a85a134</t>
  </si>
  <si>
    <t>3b43b654</t>
  </si>
  <si>
    <t>Notas_Images/95833444.Foto.230339.jpg</t>
  </si>
  <si>
    <t>98ceec1b</t>
  </si>
  <si>
    <t>42ddd733</t>
  </si>
  <si>
    <t>cde8e0d6</t>
  </si>
  <si>
    <t>3bcc5da0</t>
  </si>
  <si>
    <t>d30d43e9</t>
  </si>
  <si>
    <t>9c3865ac</t>
  </si>
  <si>
    <t>9e8d58ce</t>
  </si>
  <si>
    <t>RPG - Morango Rafael (16/09/2025) - Morangos</t>
  </si>
  <si>
    <t>96a33d4c</t>
  </si>
  <si>
    <t>1759ac8f</t>
  </si>
  <si>
    <t>Notas_Images/9c3865ac.Foto.231352.jpg</t>
  </si>
  <si>
    <t>3ad0cb61</t>
  </si>
  <si>
    <t>12e3545d</t>
  </si>
  <si>
    <t>a25fc9b6</t>
  </si>
  <si>
    <t>80ae08b6</t>
  </si>
  <si>
    <t>Morango seu kinho (18/09/2025) - Morangos</t>
  </si>
  <si>
    <t>797f3d04</t>
  </si>
  <si>
    <t>1f9f1fe09</t>
  </si>
  <si>
    <t>Notas_Images/a25fc9b6.Foto.231509.jpg</t>
  </si>
  <si>
    <t>ab0cdf99</t>
  </si>
  <si>
    <t>Pedido 80849 Nota de serviço</t>
  </si>
  <si>
    <t>4b33fcd8</t>
  </si>
  <si>
    <t>f41b1882</t>
  </si>
  <si>
    <t>b7c3c531</t>
  </si>
  <si>
    <t>Coper campos (18/09/2025) - Frutas</t>
  </si>
  <si>
    <t>Notas_Images/f41b1882.Foto.232644.jpg</t>
  </si>
  <si>
    <t>8ff24809</t>
  </si>
  <si>
    <t>10f9cdc28</t>
  </si>
  <si>
    <t>2a2f9751</t>
  </si>
  <si>
    <t>Pedido 78963 Nota de serviço</t>
  </si>
  <si>
    <t>b6d4f68c</t>
  </si>
  <si>
    <t>7377225a</t>
  </si>
  <si>
    <t>0c089b76</t>
  </si>
  <si>
    <t>Amadelli (16/09/2025) - Marketing</t>
  </si>
  <si>
    <t>bcb9f5bf</t>
  </si>
  <si>
    <t>3176367f</t>
  </si>
  <si>
    <t>3b878097</t>
  </si>
  <si>
    <t>Notas_Images/7377225a.Foto.232313.jpg</t>
  </si>
  <si>
    <t>d2092440</t>
  </si>
  <si>
    <t>af4fbbd2</t>
  </si>
  <si>
    <t>53f7a7c8</t>
  </si>
  <si>
    <t>113a244ab</t>
  </si>
  <si>
    <t>Amadelli (16/09/2025) - Estoque gelado</t>
  </si>
  <si>
    <t>Notas_Images/53f7a7c8.Foto.233127.jpg</t>
  </si>
  <si>
    <t>Pedido 80858 Nota de serviço</t>
  </si>
  <si>
    <t>fba7e4cd</t>
  </si>
  <si>
    <t>Notas_Images/53f7a7c8.Foto 1.233127.jpg</t>
  </si>
  <si>
    <t>3cadd9c8</t>
  </si>
  <si>
    <t>Notas_Images/53f7a7c8.Foto 2.233127.jpg</t>
  </si>
  <si>
    <t>1b2c9d9d</t>
  </si>
  <si>
    <t>b8e91fd7</t>
  </si>
  <si>
    <t>52a73af3</t>
  </si>
  <si>
    <t>e1ccc31c</t>
  </si>
  <si>
    <t>Fruteira da marta (20/09/2025) - Frutas</t>
  </si>
  <si>
    <t>d71b8bc4</t>
  </si>
  <si>
    <t>Notas_Images/b8e91fd7.Foto.172637.jpg</t>
  </si>
  <si>
    <t>7803e5e0</t>
  </si>
  <si>
    <t>14b1695c</t>
  </si>
  <si>
    <t>775d1fe7</t>
  </si>
  <si>
    <t>ccf7166d</t>
  </si>
  <si>
    <t>a52b2d0b</t>
  </si>
  <si>
    <t>6d898ec1</t>
  </si>
  <si>
    <t>Coper campos (20/09/2025) - Cafe e frutas</t>
  </si>
  <si>
    <t>44471c6b</t>
  </si>
  <si>
    <t>Notas_Images/a52b2d0b.Foto.181926.jpg</t>
  </si>
  <si>
    <t>b5d85ae6</t>
  </si>
  <si>
    <t>b1a96248</t>
  </si>
  <si>
    <t>e13c3833</t>
  </si>
  <si>
    <t>cae7cf4a</t>
  </si>
  <si>
    <t>54583bfd</t>
  </si>
  <si>
    <t>Daiane valeria de Andrade cordeiro LTDA ME (20/09/2025) - Canudos</t>
  </si>
  <si>
    <t>Notas_Images/cae7cf4a.Foto.185141.jpg</t>
  </si>
  <si>
    <t>f6eadc68</t>
  </si>
  <si>
    <t>121a393b</t>
  </si>
  <si>
    <t>cd6d6bdf</t>
  </si>
  <si>
    <t>c31f2802</t>
  </si>
  <si>
    <t>16d5c0cd5</t>
  </si>
  <si>
    <t>1b084221</t>
  </si>
  <si>
    <t>8d04a29f</t>
  </si>
  <si>
    <t>d2403afe</t>
  </si>
  <si>
    <t>(Desconto 46,00) Pedido 83348 nota de serviço, o desc não foi concedido</t>
  </si>
  <si>
    <t>97146e7a</t>
  </si>
  <si>
    <t>50f4786a</t>
  </si>
  <si>
    <t>12509caf</t>
  </si>
  <si>
    <t>Freelancer Natan (20/09/2025) - Freelancer</t>
  </si>
  <si>
    <t>Notas_Images/d2403afe.Foto.014358.jpg</t>
  </si>
  <si>
    <t>Freelancer</t>
  </si>
  <si>
    <t>d8e917e2</t>
  </si>
  <si>
    <t>ca68c586</t>
  </si>
  <si>
    <t>45167b26</t>
  </si>
  <si>
    <t>1e594fe44</t>
  </si>
  <si>
    <t>59c4cdab</t>
  </si>
  <si>
    <t>201197b4</t>
  </si>
  <si>
    <t>753669f6</t>
  </si>
  <si>
    <t>f9118849</t>
  </si>
  <si>
    <t>Pedido 82175 nota de serviço</t>
  </si>
  <si>
    <t>Farmácia (21/09/2025) - Toucas desc branca c/100</t>
  </si>
  <si>
    <t>793c2e7a</t>
  </si>
  <si>
    <t>Notas_Images/201197b4.Foto.004854.jpg</t>
  </si>
  <si>
    <t>6eadaaff</t>
  </si>
  <si>
    <t>Toucas desc branca c/100</t>
  </si>
  <si>
    <t>d9bbc491</t>
  </si>
  <si>
    <t>ed1ce47f</t>
  </si>
  <si>
    <t>fce8d834</t>
  </si>
  <si>
    <t>fc2c5701</t>
  </si>
  <si>
    <t>6300c20b</t>
  </si>
  <si>
    <t>cf150c33</t>
  </si>
  <si>
    <t>cc1ee271</t>
  </si>
  <si>
    <t>175ba1c20</t>
  </si>
  <si>
    <t>720feabe</t>
  </si>
  <si>
    <t>Freelancer Gabriel (21/09/2025) - PGTO Free-lancer Gabriel</t>
  </si>
  <si>
    <t>0a82095b</t>
  </si>
  <si>
    <t>Notas_Images/cf150c33.Foto.010723.jpg</t>
  </si>
  <si>
    <t>Pedido 83379 nota de serviço</t>
  </si>
  <si>
    <t>312faff7</t>
  </si>
  <si>
    <t>PGTO Free-lancer Gabriel</t>
  </si>
  <si>
    <t>7290724d</t>
  </si>
  <si>
    <t>9bb06df2</t>
  </si>
  <si>
    <t>920422da</t>
  </si>
  <si>
    <t>07a74c2a</t>
  </si>
  <si>
    <t>78592e9f</t>
  </si>
  <si>
    <t>Free-lancer Willian Fonseca (21/09/2025) - PGTO Free-lancer Willian</t>
  </si>
  <si>
    <t>Notas_Images/920422da.Foto.010813.jpg</t>
  </si>
  <si>
    <t>648ab94e</t>
  </si>
  <si>
    <t>PGTO Free-lancer Willian</t>
  </si>
  <si>
    <t>fa675a55</t>
  </si>
  <si>
    <t>350b75ac</t>
  </si>
  <si>
    <t>3eb98f5f</t>
  </si>
  <si>
    <t>017db0aa</t>
  </si>
  <si>
    <t>67618ca7</t>
  </si>
  <si>
    <t>42007260</t>
  </si>
  <si>
    <t>a6373b27</t>
  </si>
  <si>
    <t>23d1c3d6</t>
  </si>
  <si>
    <t>Notas_Images/67618ca7.Foto.030801.jpg</t>
  </si>
  <si>
    <t>5da1e6c1</t>
  </si>
  <si>
    <t>Funcionários</t>
  </si>
  <si>
    <t>bd12b7b4</t>
  </si>
  <si>
    <t>181dae75</t>
  </si>
  <si>
    <t>870d6566</t>
  </si>
  <si>
    <t>ce6866ed</t>
  </si>
  <si>
    <t>e05fa904</t>
  </si>
  <si>
    <t>b0ad54f6</t>
  </si>
  <si>
    <t>1e3788b8</t>
  </si>
  <si>
    <t>Amadelli (17/09/2025) - Estoque seco 83379</t>
  </si>
  <si>
    <t>Consumos e Adiantamentos</t>
  </si>
  <si>
    <t>Notas_Images/ce6866ed.Foto.031759.jpg</t>
  </si>
  <si>
    <t>4d67c751</t>
  </si>
  <si>
    <t>Estoque seco 83379</t>
  </si>
  <si>
    <t>7702a31e</t>
  </si>
  <si>
    <t>a838a991</t>
  </si>
  <si>
    <t>Notas_Images/ce6866ed.Foto 1.031759.jpg</t>
  </si>
  <si>
    <t>Cadastro</t>
  </si>
  <si>
    <t>Notas_Images/ce6866ed.Foto 2.031800.jpg</t>
  </si>
  <si>
    <t>b1d2bc4e</t>
  </si>
  <si>
    <t>16b106e8a1-A</t>
  </si>
  <si>
    <t>03abc249</t>
  </si>
  <si>
    <t>16b106e8a1</t>
  </si>
  <si>
    <t>1cf522a291-A</t>
  </si>
  <si>
    <t>Notas_Images/03abc249.Foto.213402.jpg</t>
  </si>
  <si>
    <t>1cf522a291</t>
  </si>
  <si>
    <t>1918b7aec1-A</t>
  </si>
  <si>
    <t>1918b7aec1</t>
  </si>
  <si>
    <t>fda745cd</t>
  </si>
  <si>
    <t>1faf8f1141-A</t>
  </si>
  <si>
    <t>1faf8f1141</t>
  </si>
  <si>
    <t>144cfda431-A</t>
  </si>
  <si>
    <t>RPG - Morango Rafael (18/09/2025) - Morangos</t>
  </si>
  <si>
    <t>144cfda431</t>
  </si>
  <si>
    <t>Notas_Images/fda745cd.Foto.213555.jpg</t>
  </si>
  <si>
    <t>13cc95c981-A</t>
  </si>
  <si>
    <t>13cc95c981</t>
  </si>
  <si>
    <t>17e589d4a19-A</t>
  </si>
  <si>
    <t>17e589d4a19</t>
  </si>
  <si>
    <t>1109a8379-A</t>
  </si>
  <si>
    <t>1109a8379</t>
  </si>
  <si>
    <t>08e0451f</t>
  </si>
  <si>
    <t>1d5e898fd-A</t>
  </si>
  <si>
    <t>1d5e898fd</t>
  </si>
  <si>
    <t>1331d76341-A</t>
  </si>
  <si>
    <t>LM comércio e distribuidora de utilidades Ltda (22/09/2025) - Recibo</t>
  </si>
  <si>
    <t>1331d76341</t>
  </si>
  <si>
    <t>Notas_Images/08e0451f.Foto.213833.jpg</t>
  </si>
  <si>
    <t>Recibo</t>
  </si>
  <si>
    <t>10d482b7c1-A</t>
  </si>
  <si>
    <t>10d482b7c1</t>
  </si>
  <si>
    <t>13742d2ed1-A</t>
  </si>
  <si>
    <t>13742d2ed1</t>
  </si>
  <si>
    <t>1c3469679-A</t>
  </si>
  <si>
    <t>1c3469679</t>
  </si>
  <si>
    <t>1e05300a</t>
  </si>
  <si>
    <t>1a792eb381-A</t>
  </si>
  <si>
    <t>1a792eb381</t>
  </si>
  <si>
    <t>e4d1bbb3</t>
  </si>
  <si>
    <t>FO-BRAN BEBIDAS (20/09/2025) - Bebidas</t>
  </si>
  <si>
    <t>Notas_Images/1e05300a.Foto.223618.jpg</t>
  </si>
  <si>
    <t>1290-A</t>
  </si>
  <si>
    <t>1291-A</t>
  </si>
  <si>
    <t>e8cf5164</t>
  </si>
  <si>
    <t xml:space="preserve">Marcelo </t>
  </si>
  <si>
    <t>1a6248f86-A</t>
  </si>
  <si>
    <t>1dd04ced</t>
  </si>
  <si>
    <t>1a6248f86</t>
  </si>
  <si>
    <t>58813a7c</t>
  </si>
  <si>
    <t>Vendedor ambulante (23/09/2025) - Pano de prato</t>
  </si>
  <si>
    <t>Adiantamento</t>
  </si>
  <si>
    <t>164db7cbb-A</t>
  </si>
  <si>
    <t>Notas_Images/e8cf5164.Foto.191800.jpg</t>
  </si>
  <si>
    <t>164db7cbb</t>
  </si>
  <si>
    <t>Pano de prato</t>
  </si>
  <si>
    <t>1303-A</t>
  </si>
  <si>
    <t>1304-A</t>
  </si>
  <si>
    <t>1f4f2d018-A</t>
  </si>
  <si>
    <t>1f4f2d018</t>
  </si>
  <si>
    <t>8e4c0aa0</t>
  </si>
  <si>
    <t>183161497-A</t>
  </si>
  <si>
    <t>Superviza Supermercado (24/09/2025) - Frutas e café</t>
  </si>
  <si>
    <t>1dcd93d0b-A</t>
  </si>
  <si>
    <t>Notas_Images/8e4c0aa0.Foto.201942.jpg</t>
  </si>
  <si>
    <t>1dcd93d0b</t>
  </si>
  <si>
    <t>Frutas e café</t>
  </si>
  <si>
    <t>1311-A</t>
  </si>
  <si>
    <t>1312-A</t>
  </si>
  <si>
    <t>25b59ef0</t>
  </si>
  <si>
    <t>1313-A</t>
  </si>
  <si>
    <t>Donna Faxina (24/09/2025) - Produtos de limpeza</t>
  </si>
  <si>
    <t>1314-A</t>
  </si>
  <si>
    <t>Notas_Images/25b59ef0.Foto.164119.jpg</t>
  </si>
  <si>
    <t>1315-A</t>
  </si>
  <si>
    <t>1316-A</t>
  </si>
  <si>
    <t>1189ac00e-A</t>
  </si>
  <si>
    <t>1189ac00e</t>
  </si>
  <si>
    <t>1fc2bcdc</t>
  </si>
  <si>
    <t>1323-A</t>
  </si>
  <si>
    <t>Fruteira da marta (23/09/2025) - frutas</t>
  </si>
  <si>
    <t>1332-A</t>
  </si>
  <si>
    <t>Notas_Images/1fc2bcdc.Foto.164658.jpg</t>
  </si>
  <si>
    <t>1335-A</t>
  </si>
  <si>
    <t>1333-A</t>
  </si>
  <si>
    <t>1f5abb552-A</t>
  </si>
  <si>
    <t>1f5abb552</t>
  </si>
  <si>
    <t>21ff8937</t>
  </si>
  <si>
    <t>144eae63f-A</t>
  </si>
  <si>
    <t>144eae63f</t>
  </si>
  <si>
    <t>RPG - Morango Rafael (26/09/2025) - Morangos</t>
  </si>
  <si>
    <t>18531c8ba-A</t>
  </si>
  <si>
    <t>18531c8ba</t>
  </si>
  <si>
    <t>Notas_Images/21ff8937.Foto.193510.jpg</t>
  </si>
  <si>
    <t>1342-A</t>
  </si>
  <si>
    <t>Notas_Images/21ff8937.Foto 1.193510.jpg</t>
  </si>
  <si>
    <t>1343-A</t>
  </si>
  <si>
    <t>1344-A</t>
  </si>
  <si>
    <t>9bd7d736</t>
  </si>
  <si>
    <t>13164ebc7-A</t>
  </si>
  <si>
    <t>13164ebc7</t>
  </si>
  <si>
    <t>6d6a9402</t>
  </si>
  <si>
    <t>Morango seu kinho (25/09/2025) - Morangos</t>
  </si>
  <si>
    <t>1349-A</t>
  </si>
  <si>
    <t>Notas_Images/9bd7d736.Foto.194820.jpg</t>
  </si>
  <si>
    <t>1352-A</t>
  </si>
  <si>
    <t>1353-A</t>
  </si>
  <si>
    <t>18c71c85d-A</t>
  </si>
  <si>
    <t>18c71c85d</t>
  </si>
  <si>
    <t>001790fb</t>
  </si>
  <si>
    <t>132935365-A</t>
  </si>
  <si>
    <t>1367-A</t>
  </si>
  <si>
    <t>Coper campos (26/09/2025) - Frutas e café</t>
  </si>
  <si>
    <t>Notas_Images/001790fb.Foto.011545.jpg</t>
  </si>
  <si>
    <t>1368-A</t>
  </si>
  <si>
    <t>1d255ab22-A</t>
  </si>
  <si>
    <t>1d255ab22</t>
  </si>
  <si>
    <t>56effe33</t>
  </si>
  <si>
    <t>13094b2d3-A</t>
  </si>
  <si>
    <t>13094b2d3</t>
  </si>
  <si>
    <t>1f91d0ce0-A</t>
  </si>
  <si>
    <t>1f91d0ce0</t>
  </si>
  <si>
    <t>808a3a99</t>
  </si>
  <si>
    <t>902a5e1e</t>
  </si>
  <si>
    <t>1cd3a331f-A</t>
  </si>
  <si>
    <t>1cd3a331f</t>
  </si>
  <si>
    <t>Fruteira da marta (27/09/2025) - FRUTAS</t>
  </si>
  <si>
    <t>872d2a3a</t>
  </si>
  <si>
    <t>Notas_Images/808a3a99.Foto.004811.jpg</t>
  </si>
  <si>
    <t>1b96fa66a-A</t>
  </si>
  <si>
    <t>1b96fa66a</t>
  </si>
  <si>
    <t>1532a14e2-A</t>
  </si>
  <si>
    <t>1532a14e2</t>
  </si>
  <si>
    <t>1f959cce6-A</t>
  </si>
  <si>
    <t>1f959cce6</t>
  </si>
  <si>
    <t>e8a6812d</t>
  </si>
  <si>
    <t>12fb6310f-A</t>
  </si>
  <si>
    <t>12fb6310f</t>
  </si>
  <si>
    <t>1ebcea865-A</t>
  </si>
  <si>
    <t>Freelancer Gabriel (28/09/2025) - Free-lancer Gabriel</t>
  </si>
  <si>
    <t>1ebcea865</t>
  </si>
  <si>
    <t>Notas_Images/e8a6812d.Foto.011947.jpg</t>
  </si>
  <si>
    <t>1a8daed66-A</t>
  </si>
  <si>
    <t>Free-lancer Gabriel</t>
  </si>
  <si>
    <t>1a8daed66</t>
  </si>
  <si>
    <t>1ea236397-A</t>
  </si>
  <si>
    <t>1ea236397</t>
  </si>
  <si>
    <t>120540566-A</t>
  </si>
  <si>
    <t>190c180e7-A</t>
  </si>
  <si>
    <t>3f4bb61c</t>
  </si>
  <si>
    <t>190c180e7</t>
  </si>
  <si>
    <t>173ce6c6d-A</t>
  </si>
  <si>
    <t>27be7703</t>
  </si>
  <si>
    <t>173ce6c6d</t>
  </si>
  <si>
    <t>Diele Aparecida Free-lancer (28/09/2025) - PGTO Free-lancer</t>
  </si>
  <si>
    <t>Notas_Images/3f4bb61c.Foto.012156.jpg</t>
  </si>
  <si>
    <t>12c039a9a-A</t>
  </si>
  <si>
    <t>12c039a9a</t>
  </si>
  <si>
    <t>PGTO Free-lancer</t>
  </si>
  <si>
    <t>1387-A</t>
  </si>
  <si>
    <t>1388-A</t>
  </si>
  <si>
    <t>1390-A</t>
  </si>
  <si>
    <t>8a41e8ae</t>
  </si>
  <si>
    <t>1391-A</t>
  </si>
  <si>
    <t>Free-lancer Willian Fonseca (28/09/2025) - PGTO Free-lancer willian</t>
  </si>
  <si>
    <t>1392-A</t>
  </si>
  <si>
    <t>Notas_Images/8a41e8ae.Foto.012245.jpg</t>
  </si>
  <si>
    <t>PGTO Free-lancer willian</t>
  </si>
  <si>
    <t>1393-A</t>
  </si>
  <si>
    <t>Mariane</t>
  </si>
  <si>
    <t>Consumo</t>
  </si>
  <si>
    <t>17b6f5c35-A</t>
  </si>
  <si>
    <t>17b6f5c35</t>
  </si>
  <si>
    <t>3562e5ae</t>
  </si>
  <si>
    <t>743563d8</t>
  </si>
  <si>
    <t>1403-A</t>
  </si>
  <si>
    <t>3f362219</t>
  </si>
  <si>
    <t>Alexandre pintor (29/09/2025) - Pintura porta do banheiro que foi trocada</t>
  </si>
  <si>
    <t>12a2da27b-A</t>
  </si>
  <si>
    <t>Notas_Images/743563d8.Foto.003435.jpg</t>
  </si>
  <si>
    <t>12a2da27b</t>
  </si>
  <si>
    <t>Pintura porta do banheiro que foi trocada</t>
  </si>
  <si>
    <t>3e2da999</t>
  </si>
  <si>
    <t>10557b64d-A</t>
  </si>
  <si>
    <t>10557b64d</t>
  </si>
  <si>
    <t>b6dde331</t>
  </si>
  <si>
    <t>0ec3a28c</t>
  </si>
  <si>
    <t>120191d8d-A</t>
  </si>
  <si>
    <t>120191d8d</t>
  </si>
  <si>
    <t>15a852194-A</t>
  </si>
  <si>
    <t>Freelancer Gabriel (29/09/2025) - Free-lancer Gabriel apoio</t>
  </si>
  <si>
    <t>15a852194</t>
  </si>
  <si>
    <t>Notas_Images/0ec3a28c.Foto.003548.jpg</t>
  </si>
  <si>
    <t>1ad8e4474-A</t>
  </si>
  <si>
    <t>Free-lancer Gabriel apoio</t>
  </si>
  <si>
    <t>1ad8e4474</t>
  </si>
  <si>
    <t>1415-A</t>
  </si>
  <si>
    <t>1416-A</t>
  </si>
  <si>
    <t>1418-A</t>
  </si>
  <si>
    <t>4ad2f38b</t>
  </si>
  <si>
    <t>1a7200245-A</t>
  </si>
  <si>
    <t>1a7200245</t>
  </si>
  <si>
    <t>Coper campos (30/09/2025) - Frutas e café funcionários</t>
  </si>
  <si>
    <t>Notas_Images/4ad2f38b.Foto.214800.jpg</t>
  </si>
  <si>
    <t>125ea8f0a-A</t>
  </si>
  <si>
    <t>125ea8f0a</t>
  </si>
  <si>
    <t>1441-A</t>
  </si>
  <si>
    <t>0b46b4c1</t>
  </si>
  <si>
    <t>1442-A</t>
  </si>
  <si>
    <t>Coper campos (30/09/2025) - Suco abx p/ fuffet e Açúcar</t>
  </si>
  <si>
    <t>Notas_Images/0b46b4c1.Foto.214940.jpg</t>
  </si>
  <si>
    <t>Suco abx p/ fuffet e Açúcar</t>
  </si>
  <si>
    <t>1443-A</t>
  </si>
  <si>
    <t>1445-A</t>
  </si>
  <si>
    <t>de2dbe40</t>
  </si>
  <si>
    <t>13c01fd27-A</t>
  </si>
  <si>
    <t>13c01fd27</t>
  </si>
  <si>
    <t>4fcb9b72</t>
  </si>
  <si>
    <t>470cf8c8</t>
  </si>
  <si>
    <t>1449-A</t>
  </si>
  <si>
    <t>Campos novos embalagens ltda (30/09/2025) - Canudos para Milk shake</t>
  </si>
  <si>
    <t>Notas_Images/de2dbe40.Foto.215158.jpg</t>
  </si>
  <si>
    <t>Canudos para Milk shake</t>
  </si>
  <si>
    <t>1450-A</t>
  </si>
  <si>
    <t>1209fb7b3-A</t>
  </si>
  <si>
    <t>1209fb7b3</t>
  </si>
  <si>
    <t>17de1900d-A</t>
  </si>
  <si>
    <t>17de1900d</t>
  </si>
  <si>
    <t>9ac788fb</t>
  </si>
  <si>
    <t>Isabeli Grassmann</t>
  </si>
  <si>
    <t>Consumo Líquido</t>
  </si>
  <si>
    <t>Amadelli (29/09/2025) - Estoque gelado</t>
  </si>
  <si>
    <t>Notas_Images/9ac788fb.Foto.164442.jpg</t>
  </si>
  <si>
    <t>171151cae-A</t>
  </si>
  <si>
    <t>Notas_Images/9ac788fb.Foto 1.164442.jpg</t>
  </si>
  <si>
    <t>Notas_Images/9ac788fb.Foto 2.164442.jpg</t>
  </si>
  <si>
    <t>171151cae</t>
  </si>
  <si>
    <t>0dcdaadc</t>
  </si>
  <si>
    <t>1c5db304d-A</t>
  </si>
  <si>
    <t>1c5db304d</t>
  </si>
  <si>
    <t>d5b0f7f5</t>
  </si>
  <si>
    <t>SAMAE (01/10/2025) - Fatura de água</t>
  </si>
  <si>
    <t>1c141e83d-A</t>
  </si>
  <si>
    <t>Notas_Images/0dcdaadc.Foto.164916.jpg</t>
  </si>
  <si>
    <t>1c141e83d</t>
  </si>
  <si>
    <t>172d5bae9-A</t>
  </si>
  <si>
    <t>172d5bae9</t>
  </si>
  <si>
    <t>1466-A</t>
  </si>
  <si>
    <t>781003bf</t>
  </si>
  <si>
    <t>Morango seu kinho (30/09/2025) - Morangos</t>
  </si>
  <si>
    <t>Notas_Images/781003bf.Foto.172400.jpg</t>
  </si>
  <si>
    <t>1467-A</t>
  </si>
  <si>
    <t>186e40d58-A</t>
  </si>
  <si>
    <t>186e40d58</t>
  </si>
  <si>
    <t>1480-A</t>
  </si>
  <si>
    <t>66c88c47</t>
  </si>
  <si>
    <t>1481-A</t>
  </si>
  <si>
    <t>Morango seu kinho (02/10/2025) - Morangos</t>
  </si>
  <si>
    <t>1482-A</t>
  </si>
  <si>
    <t>Notas_Images/66c88c47.Foto.172516.jpg</t>
  </si>
  <si>
    <t>1483-A</t>
  </si>
  <si>
    <t>1484-A</t>
  </si>
  <si>
    <t>1485-A</t>
  </si>
  <si>
    <t>52ac1509</t>
  </si>
  <si>
    <t>10845132c-A</t>
  </si>
  <si>
    <t>10845132c</t>
  </si>
  <si>
    <t>1491-A</t>
  </si>
  <si>
    <t>RPG - Morango Rafael (03/10/2025) - Morangos</t>
  </si>
  <si>
    <t>Helena Cardoso</t>
  </si>
  <si>
    <t>Notas_Images/52ac1509.Foto.180020.jpg</t>
  </si>
  <si>
    <t>10d9ac3ae-A</t>
  </si>
  <si>
    <t>10d9ac3ae</t>
  </si>
  <si>
    <t>Empréstimo</t>
  </si>
  <si>
    <t>1137a4fcd-A</t>
  </si>
  <si>
    <t>1137a4fcd</t>
  </si>
  <si>
    <t>18e6e8ea2-A</t>
  </si>
  <si>
    <t>18e6e8ea2</t>
  </si>
  <si>
    <t>1dbb70a34-A</t>
  </si>
  <si>
    <t>04a159ff</t>
  </si>
  <si>
    <t>1dbb70a34</t>
  </si>
  <si>
    <t>1503-A</t>
  </si>
  <si>
    <t>Coper campos (02/10/2025) - Frutas</t>
  </si>
  <si>
    <t>1504-A</t>
  </si>
  <si>
    <t>Notas_Images/04a159ff.Foto.014631.jpg</t>
  </si>
  <si>
    <t>1506-A</t>
  </si>
  <si>
    <t>1511-A</t>
  </si>
  <si>
    <t>1512-A</t>
  </si>
  <si>
    <t>834c3f1a</t>
  </si>
  <si>
    <t>1513-A</t>
  </si>
  <si>
    <t>Coper campos (05/10/2025) - FRUTAS</t>
  </si>
  <si>
    <t>Notas_Images/834c3f1a.Foto.015606.jpg</t>
  </si>
  <si>
    <t>127e753c9-A</t>
  </si>
  <si>
    <t>127e753c9</t>
  </si>
  <si>
    <t>1518-A</t>
  </si>
  <si>
    <t>4931eceb</t>
  </si>
  <si>
    <t>1efb34eda-A</t>
  </si>
  <si>
    <t>1efb34eda</t>
  </si>
  <si>
    <t>Parcela</t>
  </si>
  <si>
    <t>1037ade96-A</t>
  </si>
  <si>
    <t>1037ade96</t>
  </si>
  <si>
    <t>Free-lancer Willian Fonseca (05/10/2025) - Free-lancer Willian</t>
  </si>
  <si>
    <t>f01ad73b</t>
  </si>
  <si>
    <t>Notas_Images/4931eceb.Foto.015815.jpg</t>
  </si>
  <si>
    <t>1528-A</t>
  </si>
  <si>
    <t>Free-lancer Willian</t>
  </si>
  <si>
    <t>1529-A</t>
  </si>
  <si>
    <t>154c25861-A</t>
  </si>
  <si>
    <t>154c25861</t>
  </si>
  <si>
    <t>176bd9990-A</t>
  </si>
  <si>
    <t>f1c2654f</t>
  </si>
  <si>
    <t>176bd9990</t>
  </si>
  <si>
    <t>1dceeebeb-A</t>
  </si>
  <si>
    <t>1dceeebeb</t>
  </si>
  <si>
    <t>Gabriel da Silva (05/10/2025) - Free-lancer Gabriel</t>
  </si>
  <si>
    <t>Notas_Images/f1c2654f.Foto.015909.jpg</t>
  </si>
  <si>
    <t>1542-A</t>
  </si>
  <si>
    <t>1543-A</t>
  </si>
  <si>
    <t>1549-A</t>
  </si>
  <si>
    <t>1550-A</t>
  </si>
  <si>
    <t>199c93be</t>
  </si>
  <si>
    <t>1551-A</t>
  </si>
  <si>
    <t>Diele Aparecida Free-lancer (05/10/2025) - Free-lancer diele</t>
  </si>
  <si>
    <t>1552-A</t>
  </si>
  <si>
    <t>Notas_Images/199c93be.Foto.020003.jpg</t>
  </si>
  <si>
    <t>Free-lancer diele</t>
  </si>
  <si>
    <t>1553-A</t>
  </si>
  <si>
    <t>1554-A</t>
  </si>
  <si>
    <t>1564-A</t>
  </si>
  <si>
    <t>1ee5e3e1d-A</t>
  </si>
  <si>
    <t>178ffa9b</t>
  </si>
  <si>
    <t>1ee5e3e1d</t>
  </si>
  <si>
    <t>Coper campos (04/10/2025) - Cafe funcionários</t>
  </si>
  <si>
    <t>Notas_Images/178ffa9b.Foto.173354.jpg</t>
  </si>
  <si>
    <t>122bccd87-A</t>
  </si>
  <si>
    <t>122bccd87</t>
  </si>
  <si>
    <t>ac7d4885</t>
  </si>
  <si>
    <t>112b40329-A</t>
  </si>
  <si>
    <t>112b40329</t>
  </si>
  <si>
    <t>96c0b32c</t>
  </si>
  <si>
    <t>RPG - Morango Rafael (06/10/2025) - Morangos</t>
  </si>
  <si>
    <t>1569-A</t>
  </si>
  <si>
    <t>1570-A</t>
  </si>
  <si>
    <t>Notas_Images/96c0b32c.Foto.173546.jpg</t>
  </si>
  <si>
    <t>1572-A</t>
  </si>
  <si>
    <t>1cad4428c-A</t>
  </si>
  <si>
    <t>1cad4428c</t>
  </si>
  <si>
    <t>0e668c8c</t>
  </si>
  <si>
    <t>c1060fa5</t>
  </si>
  <si>
    <t>1588-A</t>
  </si>
  <si>
    <t>ProFood (03/10/2025) - Embalagens</t>
  </si>
  <si>
    <t>1589-A</t>
  </si>
  <si>
    <t>Notas_Images/0e668c8c.Foto.192208.jpg</t>
  </si>
  <si>
    <t>1590-A</t>
  </si>
  <si>
    <t>Notas_Images/0e668c8c.Foto 1.192208.jpg</t>
  </si>
  <si>
    <t>Notas_Images/0e668c8c.Foto 2.192208.jpg</t>
  </si>
  <si>
    <t>1591-A</t>
  </si>
  <si>
    <t>413ed8db</t>
  </si>
  <si>
    <t>5d0deccf</t>
  </si>
  <si>
    <t>1595-A</t>
  </si>
  <si>
    <t>Donna Faxina (02/10/2025) - Produtos de limpeza</t>
  </si>
  <si>
    <t>1ce4df054-A</t>
  </si>
  <si>
    <t>1ce4df054</t>
  </si>
  <si>
    <t>Notas_Images/5d0deccf.Foto.194234.jpg</t>
  </si>
  <si>
    <t>1600-A</t>
  </si>
  <si>
    <t>1601-A</t>
  </si>
  <si>
    <t>19d127575-A</t>
  </si>
  <si>
    <t>19d127575</t>
  </si>
  <si>
    <t>8e1b43b4</t>
  </si>
  <si>
    <t>12cb9eb2a-A</t>
  </si>
  <si>
    <t>12cb9eb2a</t>
  </si>
  <si>
    <t>FO-BRAN (06/10/2025) - Bebidas</t>
  </si>
  <si>
    <t>1c53ad0ed-A</t>
  </si>
  <si>
    <t>1c53ad0ed</t>
  </si>
  <si>
    <t>Notas_Images/8e1b43b4.Foto.194529.jpg</t>
  </si>
  <si>
    <t>1a07f2db9-A</t>
  </si>
  <si>
    <t>1a07f2db9</t>
  </si>
  <si>
    <t>1612-A</t>
  </si>
  <si>
    <t>1617-A</t>
  </si>
  <si>
    <t>7f34bf30</t>
  </si>
  <si>
    <t>1618-A</t>
  </si>
  <si>
    <t>1619-A</t>
  </si>
  <si>
    <t>Amadelli (01/10/2025) - Estoque seco</t>
  </si>
  <si>
    <t>Notas_Images/7f34bf30.Foto.224447.jpg</t>
  </si>
  <si>
    <t>1620-A</t>
  </si>
  <si>
    <t>1621-A</t>
  </si>
  <si>
    <t>Notas_Images/7f34bf30.Foto 1.224610.jpg</t>
  </si>
  <si>
    <t>1622-A</t>
  </si>
  <si>
    <t>1628-A</t>
  </si>
  <si>
    <t>78864be8</t>
  </si>
  <si>
    <t>170a24793-A</t>
  </si>
  <si>
    <t>170a24793</t>
  </si>
  <si>
    <t>Coper campos (07/10/2025) - Cafe funcionários</t>
  </si>
  <si>
    <t>145c777af-A</t>
  </si>
  <si>
    <t>145c777af</t>
  </si>
  <si>
    <t>Notas_Images/78864be8.Foto.014235.jpg</t>
  </si>
  <si>
    <t>12e6de191-A</t>
  </si>
  <si>
    <t>12e6de191</t>
  </si>
  <si>
    <t>1ec674cd6-A</t>
  </si>
  <si>
    <t>1ec674cd6</t>
  </si>
  <si>
    <t>1994271a8-A</t>
  </si>
  <si>
    <t>1994271a8</t>
  </si>
  <si>
    <t>cb7515f7</t>
  </si>
  <si>
    <t>191949b2a-A</t>
  </si>
  <si>
    <t>191949b2a</t>
  </si>
  <si>
    <t>5ebbfe8a</t>
  </si>
  <si>
    <t>1cf56eece-A</t>
  </si>
  <si>
    <t>Cliente estorno (08/10/2025) - Patricia Tainá ribeiro pagou</t>
  </si>
  <si>
    <t>1cf56eece</t>
  </si>
  <si>
    <t>Notas_Images/cb7515f7.Foto.161931.jpg</t>
  </si>
  <si>
    <t>Patricia Tainá ribeiro pagou</t>
  </si>
  <si>
    <t>1a5a7cfd0-A</t>
  </si>
  <si>
    <t>1a5a7cfd0</t>
  </si>
  <si>
    <t>65c6a7cf</t>
  </si>
  <si>
    <t>1644-A</t>
  </si>
  <si>
    <t>1645-A</t>
  </si>
  <si>
    <t>3d7022fe</t>
  </si>
  <si>
    <t>1647-A</t>
  </si>
  <si>
    <t>1b76b1516-A</t>
  </si>
  <si>
    <t>Fruteira da marta (08/10/2025) - Frutas</t>
  </si>
  <si>
    <t>1b76b1516</t>
  </si>
  <si>
    <t>Notas_Images/3d7022fe.Foto.021852.jpg</t>
  </si>
  <si>
    <t>17a34c8d9-A</t>
  </si>
  <si>
    <t>17a34c8d9</t>
  </si>
  <si>
    <t>15f2a3450-A</t>
  </si>
  <si>
    <t>15f2a3450</t>
  </si>
  <si>
    <t>f9a4ff8b</t>
  </si>
  <si>
    <t>18ac043d1-A</t>
  </si>
  <si>
    <t>18ac043d1</t>
  </si>
  <si>
    <t>SUPERMERCADO CASTANHEL LTDA (08/10/2025) - Frutas</t>
  </si>
  <si>
    <t>Notas_Images/12119368.Foto.215501.jpg</t>
  </si>
  <si>
    <t>120901fc3-A</t>
  </si>
  <si>
    <t>120901fc3</t>
  </si>
  <si>
    <t>165c22400-A</t>
  </si>
  <si>
    <t>165c22400</t>
  </si>
  <si>
    <t>1655-A</t>
  </si>
  <si>
    <t>1656-A</t>
  </si>
  <si>
    <t>69e488c2</t>
  </si>
  <si>
    <t>1657-A</t>
  </si>
  <si>
    <t>CN comércio de utilidades (09/10/2025) - Termômetro</t>
  </si>
  <si>
    <t>1658-A</t>
  </si>
  <si>
    <t>Notas_Images/69e488c2.Foto.221011.jpg</t>
  </si>
  <si>
    <t>Termômetro</t>
  </si>
  <si>
    <t>102edad41-A</t>
  </si>
  <si>
    <t>102edad41</t>
  </si>
  <si>
    <t>1671-A</t>
  </si>
  <si>
    <t>1ade0d21c-A</t>
  </si>
  <si>
    <t>1ade0d21c</t>
  </si>
  <si>
    <t>fe06bc83</t>
  </si>
  <si>
    <t>668cb798</t>
  </si>
  <si>
    <t>1682-A</t>
  </si>
  <si>
    <t>Coper campos (10/10/2025) - Frutas cafe</t>
  </si>
  <si>
    <t>1683-A</t>
  </si>
  <si>
    <t>Notas_Images/fe06bc83.Foto.211856.jpg</t>
  </si>
  <si>
    <t>Frutas cafe</t>
  </si>
  <si>
    <t>18c359090-A</t>
  </si>
  <si>
    <t>18c359090</t>
  </si>
  <si>
    <t>18b59c6db-A</t>
  </si>
  <si>
    <t>18b59c6db</t>
  </si>
  <si>
    <t>17a5a8d87-A</t>
  </si>
  <si>
    <t>17a5a8d87</t>
  </si>
  <si>
    <t>6632957f</t>
  </si>
  <si>
    <t>11d3918ce-A</t>
  </si>
  <si>
    <t>11d3918ce</t>
  </si>
  <si>
    <t>Morango seu kinho (09/10/2025) - Morangos</t>
  </si>
  <si>
    <t>1ccc5d109-A</t>
  </si>
  <si>
    <t>1ccc5d109</t>
  </si>
  <si>
    <t>Notas_Images/6632957f.Foto.212905.jpg</t>
  </si>
  <si>
    <t>1696-A</t>
  </si>
  <si>
    <t>19efe6aa9-A</t>
  </si>
  <si>
    <t>19efe6aa9</t>
  </si>
  <si>
    <t>8109682d</t>
  </si>
  <si>
    <t>1c45d9f3c-A</t>
  </si>
  <si>
    <t>1c45d9f3c</t>
  </si>
  <si>
    <t>1709-A</t>
  </si>
  <si>
    <t>RPG - Morango Rafael (10/10/2025) - Morangos</t>
  </si>
  <si>
    <t>Notas_Images/8109682d.Foto.213048.jpg</t>
  </si>
  <si>
    <t>1710-A</t>
  </si>
  <si>
    <t>1711-A</t>
  </si>
  <si>
    <t>3af10ad5</t>
  </si>
  <si>
    <t>1712-A</t>
  </si>
  <si>
    <t>1714-A</t>
  </si>
  <si>
    <t>Donna Faxina (14/10/2025) - Produtos de limpeza</t>
  </si>
  <si>
    <t>1ff0cc668-A</t>
  </si>
  <si>
    <t>Notas_Images/3af10ad5.Foto.000209.jpg</t>
  </si>
  <si>
    <t>1ff0cc668</t>
  </si>
  <si>
    <t>1719-A</t>
  </si>
  <si>
    <t>1cfafb72a-A</t>
  </si>
  <si>
    <t>1cfafb72a</t>
  </si>
  <si>
    <t>b1151d85</t>
  </si>
  <si>
    <t>1727-A</t>
  </si>
  <si>
    <t>0355890b</t>
  </si>
  <si>
    <t>1728-A</t>
  </si>
  <si>
    <t>Donna Faxina (13/10/2025) - Produtos de limpeza</t>
  </si>
  <si>
    <t>1fbcc7d0c-A</t>
  </si>
  <si>
    <t>Notas_Images/0355890b.Foto.000519.jpg</t>
  </si>
  <si>
    <t>1fbcc7d0c</t>
  </si>
  <si>
    <t>e6a1b25f</t>
  </si>
  <si>
    <t>1c26f5a72-A</t>
  </si>
  <si>
    <t>1c26f5a72</t>
  </si>
  <si>
    <t>16cde3968-A</t>
  </si>
  <si>
    <t>16cde3968</t>
  </si>
  <si>
    <t>185640e4f-A</t>
  </si>
  <si>
    <t>185640e4f</t>
  </si>
  <si>
    <t>d4d66621</t>
  </si>
  <si>
    <t>1743-A</t>
  </si>
  <si>
    <t>FO-BRAN BEBIDAS (14/10/2025) - Bebidas</t>
  </si>
  <si>
    <t>1744-A</t>
  </si>
  <si>
    <t>Notas_Images/d4d66621.Foto.000903.jpg</t>
  </si>
  <si>
    <t>1745-A</t>
  </si>
  <si>
    <t>1746-A</t>
  </si>
  <si>
    <t>5b29231f</t>
  </si>
  <si>
    <t>1748-A</t>
  </si>
  <si>
    <t>Coper campos (13/10/2025) - Frutas e café funcionários</t>
  </si>
  <si>
    <t>Notas_Images/5b29231f.Foto.001137.jpg</t>
  </si>
  <si>
    <t>15f0b55ac-A</t>
  </si>
  <si>
    <t>15f0b55ac</t>
  </si>
  <si>
    <t>16091fcfe-A</t>
  </si>
  <si>
    <t>16091fcfe</t>
  </si>
  <si>
    <t>1dc33cab2-A</t>
  </si>
  <si>
    <t>1dc33cab2</t>
  </si>
  <si>
    <t>1ee726e00-A</t>
  </si>
  <si>
    <t>1ee726e00</t>
  </si>
  <si>
    <t>c5bcec4d</t>
  </si>
  <si>
    <t>1753-A</t>
  </si>
  <si>
    <t>DIPAR (14/10/2025) - Bobina térmica</t>
  </si>
  <si>
    <t>1754-A</t>
  </si>
  <si>
    <t>Notas_Images/c5bcec4d.Foto.001434.jpg</t>
  </si>
  <si>
    <t>Bobina térmica</t>
  </si>
  <si>
    <t>1a7e9822e-A</t>
  </si>
  <si>
    <t>1a7e9822e</t>
  </si>
  <si>
    <t>18108bcec-A</t>
  </si>
  <si>
    <t>18108bcec</t>
  </si>
  <si>
    <t>18e21a6d6-A</t>
  </si>
  <si>
    <t>18e21a6d6</t>
  </si>
  <si>
    <t>0d713218</t>
  </si>
  <si>
    <t>1eebf9506-A</t>
  </si>
  <si>
    <t>1eebf9506</t>
  </si>
  <si>
    <t>1769-A</t>
  </si>
  <si>
    <t>Morango seu kinho (20/10/2025) - Morangos</t>
  </si>
  <si>
    <t>Notas_Images/0d713218.Foto.001855.jpg</t>
  </si>
  <si>
    <t>17980461f-A</t>
  </si>
  <si>
    <t>17980461f</t>
  </si>
  <si>
    <t>16cd522c9-A</t>
  </si>
  <si>
    <t>16cd522c9</t>
  </si>
  <si>
    <t>1335affd0-A</t>
  </si>
  <si>
    <t>1335affd0</t>
  </si>
  <si>
    <t>1ad34ff41-A</t>
  </si>
  <si>
    <t>1ad34ff41</t>
  </si>
  <si>
    <t>605dbc4b</t>
  </si>
  <si>
    <t>1779-A</t>
  </si>
  <si>
    <t>RPG - Morango Rafael (14/10/2025) - Morangos</t>
  </si>
  <si>
    <t>Notas_Images/605dbc4b.Foto.002038.jpg</t>
  </si>
  <si>
    <t>1780-A</t>
  </si>
  <si>
    <t>1781-A</t>
  </si>
  <si>
    <t>Caixas</t>
  </si>
  <si>
    <t>1782-A</t>
  </si>
  <si>
    <t>1783-A</t>
  </si>
  <si>
    <t>709ef941</t>
  </si>
  <si>
    <t>Custos</t>
  </si>
  <si>
    <t>1784-A</t>
  </si>
  <si>
    <t>Fruteira da marta (13/10/2025) - FRUTAS</t>
  </si>
  <si>
    <t>Aplicativos</t>
  </si>
  <si>
    <t>155bda809-A</t>
  </si>
  <si>
    <t>Notas_Images/709ef941.Foto.003913.jpg</t>
  </si>
  <si>
    <t>155bda809</t>
  </si>
  <si>
    <t>1788-A</t>
  </si>
  <si>
    <t>1791-A</t>
  </si>
  <si>
    <t>1792-A</t>
  </si>
  <si>
    <t>7b1d1436</t>
  </si>
  <si>
    <t>1794-A</t>
  </si>
  <si>
    <t>Free-lancer Willian Fonseca (14/10/2025) - Willian Free-lancer</t>
  </si>
  <si>
    <t>Notas_Images/7b1d1436.Foto.004458.jpg</t>
  </si>
  <si>
    <t>1ebb1efae-A</t>
  </si>
  <si>
    <t>Willian Free-lancer</t>
  </si>
  <si>
    <t>1ebb1efae</t>
  </si>
  <si>
    <t>170e9f7d1-A</t>
  </si>
  <si>
    <t>Caixa Sangrias</t>
  </si>
  <si>
    <t>170e9f7d1</t>
  </si>
  <si>
    <t>ab3a00a1</t>
  </si>
  <si>
    <t>1636c7aa6-A</t>
  </si>
  <si>
    <t>1636c7aa6</t>
  </si>
  <si>
    <t>Diele Aparecida Free-lancer (14/10/2025) - Diele Free-lancer</t>
  </si>
  <si>
    <t>19b22c83c-A</t>
  </si>
  <si>
    <t>19b22c83c</t>
  </si>
  <si>
    <t>Notas_Images/ab3a00a1.Foto.004620.jpg</t>
  </si>
  <si>
    <t>Diele Free-lancer</t>
  </si>
  <si>
    <t>14aa7f2ff-A</t>
  </si>
  <si>
    <t>Compra Moedas</t>
  </si>
  <si>
    <t>14aa7f2ff</t>
  </si>
  <si>
    <t>Cortesias</t>
  </si>
  <si>
    <t>1806-A</t>
  </si>
  <si>
    <t>Incentivos</t>
  </si>
  <si>
    <t>b0fa6887</t>
  </si>
  <si>
    <t>1807-A</t>
  </si>
  <si>
    <t>Freelancer Gabriel (14/10/2025) - Gabriel Free-lancer</t>
  </si>
  <si>
    <t>Notas_Images/b0fa6887.Foto.004743.jpg</t>
  </si>
  <si>
    <t>Gabriel Free-lancer</t>
  </si>
  <si>
    <t>1808-A</t>
  </si>
  <si>
    <t>1809-A</t>
  </si>
  <si>
    <t>cd78028f</t>
  </si>
  <si>
    <t>1813-A</t>
  </si>
  <si>
    <t>Confeitaria Bom bocado (16/10/2025) - Cafe funcionários</t>
  </si>
  <si>
    <t>Notas_Images/cd78028f.Foto.202054.jpg</t>
  </si>
  <si>
    <t>1814-A</t>
  </si>
  <si>
    <t>1815-A</t>
  </si>
  <si>
    <t>14eb34e7e-A</t>
  </si>
  <si>
    <t>14eb34e7e</t>
  </si>
  <si>
    <t>1dfaf93f2-A</t>
  </si>
  <si>
    <t>d856c35b</t>
  </si>
  <si>
    <t>1dfaf93f2</t>
  </si>
  <si>
    <t>16877839f-A</t>
  </si>
  <si>
    <t>16877839f</t>
  </si>
  <si>
    <t>Coper campos (17/10/2025) - Frutas e café funcionários</t>
  </si>
  <si>
    <t>Notas_Images/d856c35b.Foto.215255.jpg</t>
  </si>
  <si>
    <t>123daf225-A</t>
  </si>
  <si>
    <t>123daf225</t>
  </si>
  <si>
    <t>16ec357c1-A</t>
  </si>
  <si>
    <t>16ec357c1</t>
  </si>
  <si>
    <t>15e3bbbcd-A</t>
  </si>
  <si>
    <t>15e3bbbcd</t>
  </si>
  <si>
    <t>1b7f7800d-A</t>
  </si>
  <si>
    <t>1b7f7800d</t>
  </si>
  <si>
    <t>f18d6555</t>
  </si>
  <si>
    <t>1facf1f1b-A</t>
  </si>
  <si>
    <t>Início</t>
  </si>
  <si>
    <t>1facf1f1b</t>
  </si>
  <si>
    <t>401360f4</t>
  </si>
  <si>
    <t>PATRICIA DECORAÇÃO CN (17/10/2025) - Decoracao dias das crianças</t>
  </si>
  <si>
    <t>1834-A</t>
  </si>
  <si>
    <t>Notas_Images/f18d6555.Foto.221151.jpg</t>
  </si>
  <si>
    <t>Decoracao dias das crianças</t>
  </si>
  <si>
    <t>1ea41d8ee-A</t>
  </si>
  <si>
    <t>1ea41d8ee</t>
  </si>
  <si>
    <t>19cbc3a15-A</t>
  </si>
  <si>
    <t>19cbc3a15</t>
  </si>
  <si>
    <t>1841-A</t>
  </si>
  <si>
    <t>baa6ef9d</t>
  </si>
  <si>
    <t>1842-A</t>
  </si>
  <si>
    <t>Morango seu kinho (16/10/2025) - Morangos</t>
  </si>
  <si>
    <t>1843-A</t>
  </si>
  <si>
    <t>Notas_Images/baa6ef9d.Foto.235516.jpg</t>
  </si>
  <si>
    <t>1844-A</t>
  </si>
  <si>
    <t>Ifood</t>
  </si>
  <si>
    <t>1846-A</t>
  </si>
  <si>
    <t>1847-A</t>
  </si>
  <si>
    <t>7ee51177</t>
  </si>
  <si>
    <t>8c70ed0f</t>
  </si>
  <si>
    <t>1035dc8ed-A</t>
  </si>
  <si>
    <t>1035dc8ed</t>
  </si>
  <si>
    <t>1719eee77-A</t>
  </si>
  <si>
    <t>RPG - Morango Rafael (16/10/2025) - Morangos</t>
  </si>
  <si>
    <t>1719eee77</t>
  </si>
  <si>
    <t>Notas_Images/8c70ed0f.Foto.235808.jpg</t>
  </si>
  <si>
    <t>1852-A</t>
  </si>
  <si>
    <t>1857-A</t>
  </si>
  <si>
    <t>1858-A</t>
  </si>
  <si>
    <t>2cca21d8</t>
  </si>
  <si>
    <t>1860-A</t>
  </si>
  <si>
    <t>1d6d882a2-A</t>
  </si>
  <si>
    <t>Amadelli (14/10/2025) - Estoque gelado</t>
  </si>
  <si>
    <t>1d6d882a2</t>
  </si>
  <si>
    <t>Notas_Images/2cca21d8.Foto.182021.jpg</t>
  </si>
  <si>
    <t>12a4779ee-A</t>
  </si>
  <si>
    <t>12a4779ee</t>
  </si>
  <si>
    <t>1864-A</t>
  </si>
  <si>
    <t>Notas_Images/2cca21d8.Foto 1.182021.jpg</t>
  </si>
  <si>
    <t>Notas_Images/2cca21d8.Foto 2.182021.jpg</t>
  </si>
  <si>
    <t>1865-A</t>
  </si>
  <si>
    <t>1866-A</t>
  </si>
  <si>
    <t>6bb73b08</t>
  </si>
  <si>
    <t>1867-A</t>
  </si>
  <si>
    <t>Amadelli (15/10/2025) - Estoque seco</t>
  </si>
  <si>
    <t>Notas_Images/6bb73b08.Foto.183201.jpg</t>
  </si>
  <si>
    <t>Entradas</t>
  </si>
  <si>
    <t>1868-A</t>
  </si>
  <si>
    <t>16c9cf851-A</t>
  </si>
  <si>
    <t>16c9cf851</t>
  </si>
  <si>
    <t>59a5d96b</t>
  </si>
  <si>
    <t>26983b8c</t>
  </si>
  <si>
    <t>1872-A</t>
  </si>
  <si>
    <t>Notas_Images/26983b8c.Foto.191511.jpg</t>
  </si>
  <si>
    <t>Aiqfome</t>
  </si>
  <si>
    <t>1873-A</t>
  </si>
  <si>
    <t>1052398de-A</t>
  </si>
  <si>
    <t>Notas_Images/26983b8c.Foto 1.191511.jpg</t>
  </si>
  <si>
    <t>1052398de</t>
  </si>
  <si>
    <t>Notas_Images/26983b8c.Foto 2.191511.jpg</t>
  </si>
  <si>
    <t>1fd1a20da-A</t>
  </si>
  <si>
    <t>1fd1a20da</t>
  </si>
  <si>
    <t>1a9c286e0-A</t>
  </si>
  <si>
    <t>5666323e</t>
  </si>
  <si>
    <t>1a9c286e0</t>
  </si>
  <si>
    <t>1882-A</t>
  </si>
  <si>
    <t>Fruteira da marta (18/10/2025) - Frutas</t>
  </si>
  <si>
    <t>1ee27f6b6-A</t>
  </si>
  <si>
    <t>Notas_Images/5666323e.Foto.193102.jpg</t>
  </si>
  <si>
    <t>1ee27f6b6</t>
  </si>
  <si>
    <t>7cacd2d3</t>
  </si>
  <si>
    <t>1886-A</t>
  </si>
  <si>
    <t>1887-A</t>
  </si>
  <si>
    <t>1888-A</t>
  </si>
  <si>
    <t>3703ed88</t>
  </si>
  <si>
    <t>Saídas</t>
  </si>
  <si>
    <t>Confeitaria Bom bocado (20/10/2025) - Café funcionários</t>
  </si>
  <si>
    <t>Notas_Images/3703ed88.Foto.014517.jpg</t>
  </si>
  <si>
    <t>1889-A</t>
  </si>
  <si>
    <t>1890-A</t>
  </si>
  <si>
    <t>Outros Pagamentos</t>
  </si>
  <si>
    <t>1891-A</t>
  </si>
  <si>
    <t>fc2524cd</t>
  </si>
  <si>
    <t>Delivery Much</t>
  </si>
  <si>
    <t>Coper campos (20/10/2025) - Café funcionários</t>
  </si>
  <si>
    <t>1892-A</t>
  </si>
  <si>
    <t>Notas_Images/fc2524cd.Foto.014637.jpg</t>
  </si>
  <si>
    <t>1ecdea430-A</t>
  </si>
  <si>
    <t>1ecdea430</t>
  </si>
  <si>
    <t>3910a988</t>
  </si>
  <si>
    <t>65c6af7a</t>
  </si>
  <si>
    <t>396c0e89</t>
  </si>
  <si>
    <t>LM comércio e distribuidora de utilidades Ltda (21/10/2025) - Manutenção loja</t>
  </si>
  <si>
    <t>Notas_Images/3910a988.Foto.222754.jpg</t>
  </si>
  <si>
    <t>3b479ed6</t>
  </si>
  <si>
    <t>Movientações das Sangrias</t>
  </si>
  <si>
    <t>9e63877c</t>
  </si>
  <si>
    <t>53b212b9</t>
  </si>
  <si>
    <t>61a54da0</t>
  </si>
  <si>
    <t>Freelancer Gabriel (19/10/2025) - Free-lancer Gabriel</t>
  </si>
  <si>
    <t>Notas_Images/9e63877c.Foto.224947.jpg</t>
  </si>
  <si>
    <t>217e373f</t>
  </si>
  <si>
    <t>Aiboo</t>
  </si>
  <si>
    <t>3c666f1d</t>
  </si>
  <si>
    <t>9300e5e3</t>
  </si>
  <si>
    <t>06a64d91</t>
  </si>
  <si>
    <t>Free-lancer Willian Fonseca (19/10/2025) - Free-lancer Willian</t>
  </si>
  <si>
    <t>6980a2ca</t>
  </si>
  <si>
    <t>Notas_Images/06a64d91.Foto.225111.jpg</t>
  </si>
  <si>
    <t>8411e6ea</t>
  </si>
  <si>
    <t>ba91e7ed</t>
  </si>
  <si>
    <t>Caixa Atendimento</t>
  </si>
  <si>
    <t>0789b120</t>
  </si>
  <si>
    <t>3a86e9bd</t>
  </si>
  <si>
    <t>Donna Faxina (23/10/2025) - Produtos de limpeza</t>
  </si>
  <si>
    <t>Notas_Images/0789b120.Foto.002159.jpg</t>
  </si>
  <si>
    <t>59f2a184</t>
  </si>
  <si>
    <t>Inadimplência</t>
  </si>
  <si>
    <t>Pedidos 10</t>
  </si>
  <si>
    <t>90ac3653</t>
  </si>
  <si>
    <t>75ebbdd5</t>
  </si>
  <si>
    <t>Coper campos (24/10/2025) - Frutas e café funcionários</t>
  </si>
  <si>
    <t>Notas_Images/75ebbdd5.Foto.021331.jpg</t>
  </si>
  <si>
    <t>fdd6ca92</t>
  </si>
  <si>
    <t>Depositada</t>
  </si>
  <si>
    <t>a34ac907</t>
  </si>
  <si>
    <t>be9f2b04</t>
  </si>
  <si>
    <t>Daiane valeria de Andrade cordeiro LTDA ME (24/10/2025) - Balde</t>
  </si>
  <si>
    <t>Notas_Images/be9f2b04.Foto.021420.jpg</t>
  </si>
  <si>
    <t>Balde</t>
  </si>
  <si>
    <t>721d8d13</t>
  </si>
  <si>
    <t>8e88bd6d</t>
  </si>
  <si>
    <t>6990fd59</t>
  </si>
  <si>
    <t>d0468c45</t>
  </si>
  <si>
    <t>LM comércio e distribuidora de utilidades Ltda (24/10/2025) - Mop limpa vidros</t>
  </si>
  <si>
    <t>66400da2</t>
  </si>
  <si>
    <t>74f7a97f</t>
  </si>
  <si>
    <t>Notas_Images/d0468c45.Foto.021523.jpg</t>
  </si>
  <si>
    <t>Mop limpa vidros</t>
  </si>
  <si>
    <t>3ca38286</t>
  </si>
  <si>
    <t>c17ca4d6</t>
  </si>
  <si>
    <t>8e09bdb6</t>
  </si>
  <si>
    <t>0316fd83</t>
  </si>
  <si>
    <t>68065bfc</t>
  </si>
  <si>
    <t>Morango seu kinho (24/10/2025) - Morangos</t>
  </si>
  <si>
    <t>734c3072</t>
  </si>
  <si>
    <t>Notas_Images/0316fd83.Foto.021851.jpg</t>
  </si>
  <si>
    <t>b9d50946</t>
  </si>
  <si>
    <t>926c51a3</t>
  </si>
  <si>
    <t>c3409baf</t>
  </si>
  <si>
    <t>c06fa44a</t>
  </si>
  <si>
    <t>16a7ce7e</t>
  </si>
  <si>
    <t>Zat (25/10/2025) - Leite em po</t>
  </si>
  <si>
    <t>Notas_Images/c3409baf.Foto.012431.jpg</t>
  </si>
  <si>
    <t>Leite em po</t>
  </si>
  <si>
    <t>Movimentações de Caixa</t>
  </si>
  <si>
    <t>76e69ddd</t>
  </si>
  <si>
    <t>509df36c</t>
  </si>
  <si>
    <t>485b3b24</t>
  </si>
  <si>
    <t>c88cff89</t>
  </si>
  <si>
    <t>8f0e67dd</t>
  </si>
  <si>
    <t>Fruteira da marta (25/10/2025) - Frutas</t>
  </si>
  <si>
    <t>Notas_Images/c88cff89.Foto.012633.jpg</t>
  </si>
  <si>
    <t>9831887a</t>
  </si>
  <si>
    <t>d3e4f7ea</t>
  </si>
  <si>
    <t>fb4f2cae</t>
  </si>
  <si>
    <t>2d746e8e</t>
  </si>
  <si>
    <t>ba7becea</t>
  </si>
  <si>
    <t>CN comércio de utilidades (27/10/2025) - Natal</t>
  </si>
  <si>
    <t>7f3be3e4</t>
  </si>
  <si>
    <t>Notas_Images/fb4f2cae.Foto.002821.jpg</t>
  </si>
  <si>
    <t>Local da Sangria</t>
  </si>
  <si>
    <t>Natal</t>
  </si>
  <si>
    <t>013f3f46</t>
  </si>
  <si>
    <t>5f15fd4c</t>
  </si>
  <si>
    <t>4b4f5213</t>
  </si>
  <si>
    <t>2aedbf3d</t>
  </si>
  <si>
    <t>a0b5fa06</t>
  </si>
  <si>
    <t>LM comércio e distribuidora de utilidades Ltda (27/10/2025) - Materiais de limpeza</t>
  </si>
  <si>
    <t>Notas_Images/2aedbf3d.Foto.002953.jpg</t>
  </si>
  <si>
    <t>ff759548</t>
  </si>
  <si>
    <t>Materiais de limpeza</t>
  </si>
  <si>
    <t>f64b0bb9</t>
  </si>
  <si>
    <t>fd22b20a</t>
  </si>
  <si>
    <t>c03dc3cf</t>
  </si>
  <si>
    <t>notas de 50</t>
  </si>
  <si>
    <t>ab031e81</t>
  </si>
  <si>
    <t>bf98583c</t>
  </si>
  <si>
    <t>e813c9be</t>
  </si>
  <si>
    <t>Coper campos (26/10/2025) - Frutas</t>
  </si>
  <si>
    <t>0956d61b</t>
  </si>
  <si>
    <t>Notas_Images/bf98583c.Foto.003352.jpg</t>
  </si>
  <si>
    <t>0690de1a</t>
  </si>
  <si>
    <t>Caixa Troco</t>
  </si>
  <si>
    <t>c8aa2c1d</t>
  </si>
  <si>
    <t>4475ccba</t>
  </si>
  <si>
    <t>b098ae83</t>
  </si>
  <si>
    <t>04d88914</t>
  </si>
  <si>
    <t>4b005477</t>
  </si>
  <si>
    <t>9b7880a7</t>
  </si>
  <si>
    <t>Motoboy (27/10/2025) - Motoboy ref 27/10/25</t>
  </si>
  <si>
    <t>Notas_Images/04d88914.Foto.003727.jpg</t>
  </si>
  <si>
    <t>0703e5af</t>
  </si>
  <si>
    <t>edc66211</t>
  </si>
  <si>
    <t>Motoboy ref 27/10/25</t>
  </si>
  <si>
    <t>03bda2b7</t>
  </si>
  <si>
    <t>f83a6003</t>
  </si>
  <si>
    <t>218346a5</t>
  </si>
  <si>
    <t>d4295a71</t>
  </si>
  <si>
    <t>62dd8df4</t>
  </si>
  <si>
    <t>9e427bd8</t>
  </si>
  <si>
    <t>cbc5b2d1</t>
  </si>
  <si>
    <t>ProFood (24/10/2025) - Embalagens</t>
  </si>
  <si>
    <t>26d5915a</t>
  </si>
  <si>
    <t>Notas_Images/62dd8df4.Foto.004829.jpg</t>
  </si>
  <si>
    <t>6a9bb8ec</t>
  </si>
  <si>
    <t>Notas_Images/62dd8df4.Foto 1.004829.jpg</t>
  </si>
  <si>
    <t>c0c2efc5</t>
  </si>
  <si>
    <t>2c5aae0a</t>
  </si>
  <si>
    <t>b20e34e3</t>
  </si>
  <si>
    <t>7b6193b0</t>
  </si>
  <si>
    <t>8232202d</t>
  </si>
  <si>
    <t>08d453d5</t>
  </si>
  <si>
    <t>714a3c8f</t>
  </si>
  <si>
    <t>Freelancer Gabriel (27/10/2025) - Pgto Free-lancer Gabriel</t>
  </si>
  <si>
    <t>Notas_Images/08d453d5.Foto.013026.jpg</t>
  </si>
  <si>
    <t>0f5e89d3</t>
  </si>
  <si>
    <t>Pgto Free-lancer Gabriel</t>
  </si>
  <si>
    <t>e0c9dbb7</t>
  </si>
  <si>
    <t>e5ce80aa</t>
  </si>
  <si>
    <t>96aaef74</t>
  </si>
  <si>
    <t>03ed8794</t>
  </si>
  <si>
    <t>75b1cf7f</t>
  </si>
  <si>
    <t>e03f9bcc</t>
  </si>
  <si>
    <t>ca43c074</t>
  </si>
  <si>
    <t>c77cdf2a</t>
  </si>
  <si>
    <t>e190e6f8</t>
  </si>
  <si>
    <t>LM comércio e distribuidora de utilidades Ltda (28/10/2025) - Efeito natal</t>
  </si>
  <si>
    <t>f33e7330</t>
  </si>
  <si>
    <t>Notas_Images/e03f9bcc.Foto.012307.jpg</t>
  </si>
  <si>
    <t>Efeito natal</t>
  </si>
  <si>
    <t>459483a4</t>
  </si>
  <si>
    <t>14fcdb2c</t>
  </si>
  <si>
    <t>27d77b38</t>
  </si>
  <si>
    <t>24e0d710</t>
  </si>
  <si>
    <t>63a5d75f</t>
  </si>
  <si>
    <t>810f3e83</t>
  </si>
  <si>
    <t>843e63cd</t>
  </si>
  <si>
    <t>db97cd2d</t>
  </si>
  <si>
    <t>CN comércio de utilidades (28/10/2025) - Enfeite de natal</t>
  </si>
  <si>
    <t>Notas_Images/63a5d75f.Foto.012505.jpg</t>
  </si>
  <si>
    <t>Enfeite de natal</t>
  </si>
  <si>
    <t>87408269</t>
  </si>
  <si>
    <t>d2a680fb</t>
  </si>
  <si>
    <t>R$ 1.600,00</t>
  </si>
  <si>
    <t>584e43ba</t>
  </si>
  <si>
    <t>JAIRO</t>
  </si>
  <si>
    <t>8856eae5</t>
  </si>
  <si>
    <t>24cc45db</t>
  </si>
  <si>
    <t>Sangria</t>
  </si>
  <si>
    <t>8ea15658</t>
  </si>
  <si>
    <t>720bf64a</t>
  </si>
  <si>
    <t>Reembolso (29/10/2025) - enfeites de natal</t>
  </si>
  <si>
    <t>23731a71</t>
  </si>
  <si>
    <t>Notas_Images/8856eae5.Foto.183354.jpg</t>
  </si>
  <si>
    <t>enfeites de natal</t>
  </si>
  <si>
    <t>3c3ff246</t>
  </si>
  <si>
    <t>Notas_Images/8856eae5.Foto 1.183354.jpg</t>
  </si>
  <si>
    <t>Notas_Images/8856eae5.Foto 2.183354.jpg</t>
  </si>
  <si>
    <t>Notas_Images/8856eae5.Foto 3.183358.jpg</t>
  </si>
  <si>
    <t>c1f58f15</t>
  </si>
  <si>
    <t>4659d9bc</t>
  </si>
  <si>
    <t>faf0297f</t>
  </si>
  <si>
    <t>5b853932</t>
  </si>
  <si>
    <t>62c45dce</t>
  </si>
  <si>
    <t>Coper campos (29/10/2025) - Café funcionários + suco para o buffet banana</t>
  </si>
  <si>
    <t>Notas_Images/faf0297f.Foto.012009.jpg</t>
  </si>
  <si>
    <t>Café funcionários + suco para o buffet banana</t>
  </si>
  <si>
    <t>5b99f358</t>
  </si>
  <si>
    <t>4892d190</t>
  </si>
  <si>
    <t>Sangria Jairo</t>
  </si>
  <si>
    <t>1bdb978b</t>
  </si>
  <si>
    <t>d316f4f2</t>
  </si>
  <si>
    <t>881cd58f</t>
  </si>
  <si>
    <t>bb1100e5</t>
  </si>
  <si>
    <t>7780b947</t>
  </si>
  <si>
    <t>2115efe8</t>
  </si>
  <si>
    <t>Reembolso (30/10/2025) - enfeites de natal</t>
  </si>
  <si>
    <t>Notas_Images/7780b947.Foto.175936.jpg</t>
  </si>
  <si>
    <t>dddae270</t>
  </si>
  <si>
    <t>06b12e38</t>
  </si>
  <si>
    <t>0e73bd0b</t>
  </si>
  <si>
    <t>b93e887f</t>
  </si>
  <si>
    <t>88c6f7f7</t>
  </si>
  <si>
    <t>13fbe104</t>
  </si>
  <si>
    <t>Coper campos (31/10/2025) - Cafe funcionários e frutas</t>
  </si>
  <si>
    <t>20abae10</t>
  </si>
  <si>
    <t>Notas_Images/88c6f7f7.Foto.022009.jpg</t>
  </si>
  <si>
    <t>Cafe funcionários e frutas</t>
  </si>
  <si>
    <t>a1adb469</t>
  </si>
  <si>
    <t>416f5299</t>
  </si>
  <si>
    <t>edc4f8cd</t>
  </si>
  <si>
    <t>b4cc27f6</t>
  </si>
  <si>
    <t>37cca40d</t>
  </si>
  <si>
    <t>Donna Faxina (31/10/2025) - Materiais de limpeza</t>
  </si>
  <si>
    <t>18841eb7</t>
  </si>
  <si>
    <t>Notas_Images/b4cc27f6.Foto.022236.jpg</t>
  </si>
  <si>
    <t>3c5c096f</t>
  </si>
  <si>
    <t>848a358d</t>
  </si>
  <si>
    <t>bd130f92</t>
  </si>
  <si>
    <t>721ffade</t>
  </si>
  <si>
    <t>38695dfb</t>
  </si>
  <si>
    <t>cffe8d4f</t>
  </si>
  <si>
    <t>Donna Faxina (31/10/2025) - Matérias de limpeza</t>
  </si>
  <si>
    <t>26517b4b</t>
  </si>
  <si>
    <t>Notas_Images/721ffade.Foto.022440.jpg</t>
  </si>
  <si>
    <t>Matérias de limpeza</t>
  </si>
  <si>
    <t>R$ 42,85</t>
  </si>
  <si>
    <t>Notas_Images/721ffade.Foto 1.022440.jpg</t>
  </si>
  <si>
    <t>d59849a2</t>
  </si>
  <si>
    <t>Presente ao cliente</t>
  </si>
  <si>
    <t>41036bee</t>
  </si>
  <si>
    <t>f6c757df</t>
  </si>
  <si>
    <t>73a69dec</t>
  </si>
  <si>
    <t>Amadelli (28/10/2025) - Matériais de campanha</t>
  </si>
  <si>
    <t>Notas_Images/73a69dec.Foto.022844.jpg</t>
  </si>
  <si>
    <t>8d581d85</t>
  </si>
  <si>
    <t>Matériais de campanha</t>
  </si>
  <si>
    <t>e0493492</t>
  </si>
  <si>
    <t>7eae40b1</t>
  </si>
  <si>
    <t>a0b18397</t>
  </si>
  <si>
    <t>38926dac</t>
  </si>
  <si>
    <t>72688c5e</t>
  </si>
  <si>
    <t>d3e050a2</t>
  </si>
  <si>
    <t>59292d5b</t>
  </si>
  <si>
    <t>3c043147</t>
  </si>
  <si>
    <t>Amadelli (28/10/2025) - Estoque gelado</t>
  </si>
  <si>
    <t>edc777a7</t>
  </si>
  <si>
    <t>Notas_Images/d3e050a2.Foto.023148.jpg</t>
  </si>
  <si>
    <t>3e95d805</t>
  </si>
  <si>
    <t>Notas_Images/d3e050a2.Foto 1.023148.jpg</t>
  </si>
  <si>
    <t>cc4f4028</t>
  </si>
  <si>
    <t>R$ 111,00</t>
  </si>
  <si>
    <t>189b2a8b</t>
  </si>
  <si>
    <t>Frelancer</t>
  </si>
  <si>
    <t>109f2841</t>
  </si>
  <si>
    <t>5aea59a5</t>
  </si>
  <si>
    <t>169904ae</t>
  </si>
  <si>
    <t>Amadelli (29/10/2025) - Estoque seco</t>
  </si>
  <si>
    <t>715c9dcb</t>
  </si>
  <si>
    <t>Notas_Images/109f2841.Foto.023759.jpg</t>
  </si>
  <si>
    <t>fed99fbf</t>
  </si>
  <si>
    <t>1fa05c79</t>
  </si>
  <si>
    <t>Notas_Images/109f2841.Foto 1.023759.jpg</t>
  </si>
  <si>
    <t>6e4228c8</t>
  </si>
  <si>
    <t>Notas_Images/109f2841.Foto 2.023759.jpg</t>
  </si>
  <si>
    <t>92b2ad61</t>
  </si>
  <si>
    <t>f6a1d326</t>
  </si>
  <si>
    <t>R$ 78,00</t>
  </si>
  <si>
    <t>a5907472</t>
  </si>
  <si>
    <t>76eb6d56</t>
  </si>
  <si>
    <t>c53df351</t>
  </si>
  <si>
    <t>Freelancer 1</t>
  </si>
  <si>
    <t>9947565a</t>
  </si>
  <si>
    <t>4ac67600</t>
  </si>
  <si>
    <t>4093abd4</t>
  </si>
  <si>
    <t>Ester de Jesus Free-lancer (01/11/2025) - Pgto Ester Free-lancer</t>
  </si>
  <si>
    <t>Notas_Images/a5907472.Foto.003011.jpg</t>
  </si>
  <si>
    <t>6f8a4e4d</t>
  </si>
  <si>
    <t>aab242af</t>
  </si>
  <si>
    <t>Pgto Ester Free-lancer</t>
  </si>
  <si>
    <t>c27b7465</t>
  </si>
  <si>
    <t>c584347b</t>
  </si>
  <si>
    <t>55d29fa2</t>
  </si>
  <si>
    <t>c2fc18aa</t>
  </si>
  <si>
    <t>40bf5f99</t>
  </si>
  <si>
    <t>e49a9e1f</t>
  </si>
  <si>
    <t>e4317ece</t>
  </si>
  <si>
    <t>5be51b45</t>
  </si>
  <si>
    <t>87b576e4</t>
  </si>
  <si>
    <t>11a54112</t>
  </si>
  <si>
    <t>dad2b370</t>
  </si>
  <si>
    <t>Karollayne Free-lancer (01/11/2025) - Pgto karollayne Free-lancer</t>
  </si>
  <si>
    <t>Notas_Images/e4317ece.Foto.003755.jpg</t>
  </si>
  <si>
    <t>Freeelancer 2</t>
  </si>
  <si>
    <t>Pgto karollayne Free-lancer</t>
  </si>
  <si>
    <t>81b07b90</t>
  </si>
  <si>
    <t>01ee9a67</t>
  </si>
  <si>
    <t>e095ca14</t>
  </si>
  <si>
    <t>896edb2d</t>
  </si>
  <si>
    <t>cd0e709e</t>
  </si>
  <si>
    <t>5959dda2</t>
  </si>
  <si>
    <t>FO-BRAN BEBIDAS (01/11/2025) - Bebidas</t>
  </si>
  <si>
    <t>6c640b03</t>
  </si>
  <si>
    <t>Notas_Images/cd0e709e.Foto.004230.jpg</t>
  </si>
  <si>
    <t>9713b040</t>
  </si>
  <si>
    <t>e9e07dc2</t>
  </si>
  <si>
    <t>8d3f1de1</t>
  </si>
  <si>
    <t>RPG - Morango Rafael (30/10/2025) - Morangos</t>
  </si>
  <si>
    <t>Notas_Images/e9e07dc2.Foto.004537.jpg</t>
  </si>
  <si>
    <t>cc204f36</t>
  </si>
  <si>
    <t>R$ 29,00</t>
  </si>
  <si>
    <t>d3b39204</t>
  </si>
  <si>
    <t>3678fb0d</t>
  </si>
  <si>
    <t>dfca1c08</t>
  </si>
  <si>
    <t>Voucher</t>
  </si>
  <si>
    <t>Morango seu kinho (30/10/2025) - Morangos</t>
  </si>
  <si>
    <t>Notas_Images/3678fb0d.Foto.004734.jpg</t>
  </si>
  <si>
    <t>c757e970</t>
  </si>
  <si>
    <t>4213f209</t>
  </si>
  <si>
    <t>97856987</t>
  </si>
  <si>
    <t>9de37aba</t>
  </si>
  <si>
    <t>a3a9c0ce</t>
  </si>
  <si>
    <t>9bbe9f5f</t>
  </si>
  <si>
    <t>Fruteira da marta (31/10/2025) - Frutas</t>
  </si>
  <si>
    <t>Notas_Images/a3a9c0ce.Foto.005018.jpg</t>
  </si>
  <si>
    <t>30bab0b7</t>
  </si>
  <si>
    <t>11595267</t>
  </si>
  <si>
    <t>a07410d6</t>
  </si>
  <si>
    <t>838747ef</t>
  </si>
  <si>
    <t>2dd92aba</t>
  </si>
  <si>
    <t>Samanta Free-lancer (02/11/2025) - Free-lancer samanta</t>
  </si>
  <si>
    <t>006ffd8e</t>
  </si>
  <si>
    <t>Notas_Images/a07410d6.Foto.014749.jpg</t>
  </si>
  <si>
    <t>R$ 2.300,00</t>
  </si>
  <si>
    <t>Free-lancer samanta</t>
  </si>
  <si>
    <t>SANGRIA JAIRO</t>
  </si>
  <si>
    <t>4418f448</t>
  </si>
  <si>
    <t>efc28d18</t>
  </si>
  <si>
    <t>3e25310f</t>
  </si>
  <si>
    <t>Karollayne Free-lancer (02/11/2025) - Free-lancer karollayne</t>
  </si>
  <si>
    <t>a71ace30</t>
  </si>
  <si>
    <t>6f030208</t>
  </si>
  <si>
    <t>Notas_Images/efc28d18.Foto.015048.jpg</t>
  </si>
  <si>
    <t>Free-lancer karollayne</t>
  </si>
  <si>
    <t>cce83960</t>
  </si>
  <si>
    <t>ba783ce9</t>
  </si>
  <si>
    <t>184c30bd</t>
  </si>
  <si>
    <t>aec0b321</t>
  </si>
  <si>
    <t>b3df2dc1</t>
  </si>
  <si>
    <t>Freelancer Gabriel (02/11/2025) - Free-lancer Gabriel</t>
  </si>
  <si>
    <t>Notas_Images/aec0b321.Foto.015311.jpg</t>
  </si>
  <si>
    <t>21bff478</t>
  </si>
  <si>
    <t>cfc8c157</t>
  </si>
  <si>
    <t>86a76cce</t>
  </si>
  <si>
    <t>6c7df218</t>
  </si>
  <si>
    <t>6ba2aa8d</t>
  </si>
  <si>
    <t>41513fbe</t>
  </si>
  <si>
    <t>sangria jairo</t>
  </si>
  <si>
    <t>SAMAE (01/10/2025) - FATURA DE AGUA</t>
  </si>
  <si>
    <t>f04c3479</t>
  </si>
  <si>
    <t>Notas_Images/6ba2aa8d.Foto.210638.jpg</t>
  </si>
  <si>
    <t>57c14cb8</t>
  </si>
  <si>
    <t>FATURA DE AGUA</t>
  </si>
  <si>
    <t>8db976c9</t>
  </si>
  <si>
    <t>1944d8bb</t>
  </si>
  <si>
    <t>e9a93aae</t>
  </si>
  <si>
    <t>1d205205</t>
  </si>
  <si>
    <t>57fa1097</t>
  </si>
  <si>
    <t>Confeitaria Bom bocado (05/11/2025) - Cafe funcionários</t>
  </si>
  <si>
    <t>Notas_Images/e9a93aae.Foto.000827.jpg</t>
  </si>
  <si>
    <t>1d491a7e</t>
  </si>
  <si>
    <t>R$ 122,00</t>
  </si>
  <si>
    <t>freelancer Helena Cardoso</t>
  </si>
  <si>
    <t>c322f526</t>
  </si>
  <si>
    <t>b824b75a</t>
  </si>
  <si>
    <t>5fc55ed4</t>
  </si>
  <si>
    <t>CN comércio de utilidades (05/11/2025) - Matérias escritorio e luz natal</t>
  </si>
  <si>
    <t>Notas_Images/b824b75a.Foto.000952.jpg</t>
  </si>
  <si>
    <t>3bbdfe7d</t>
  </si>
  <si>
    <t>Matérias escritorio e luz natal</t>
  </si>
  <si>
    <t>103ec527</t>
  </si>
  <si>
    <t>4a0aa96e</t>
  </si>
  <si>
    <t>R$ 121,00</t>
  </si>
  <si>
    <t>5c669962</t>
  </si>
  <si>
    <t>bace012b</t>
  </si>
  <si>
    <t>Freelancer Kauane Sutil</t>
  </si>
  <si>
    <t>3f16b625</t>
  </si>
  <si>
    <t>88c99727</t>
  </si>
  <si>
    <t>FO-BRAN BEBIDAS (04/11/2025) - Bebidas</t>
  </si>
  <si>
    <t>Notas_Images/3f16b625.Foto.001354.jpg</t>
  </si>
  <si>
    <t>330f778a</t>
  </si>
  <si>
    <t>becc34bf</t>
  </si>
  <si>
    <t>7670309d</t>
  </si>
  <si>
    <t>a95db03b</t>
  </si>
  <si>
    <t>21ed966c</t>
  </si>
  <si>
    <t>Fruteira da marta (04/11/2025) - Frutas</t>
  </si>
  <si>
    <t>Notas_Images/a95db03b.Foto.011001.jpg</t>
  </si>
  <si>
    <t>d19c7553</t>
  </si>
  <si>
    <t>63c49556</t>
  </si>
  <si>
    <t>a34ecc1e</t>
  </si>
  <si>
    <t>a22b5f31</t>
  </si>
  <si>
    <t>13bac235</t>
  </si>
  <si>
    <t>b4578c8f</t>
  </si>
  <si>
    <t>387dfce9</t>
  </si>
  <si>
    <t>Freelancer Gabriel (06/11/2025) - Free-lancer Gabriel</t>
  </si>
  <si>
    <t>Notas_Images/13bac235.Foto.011120.jpg</t>
  </si>
  <si>
    <t>95592489</t>
  </si>
  <si>
    <t>1030174b</t>
  </si>
  <si>
    <t>R$ 38,62</t>
  </si>
  <si>
    <t>58edda0d</t>
  </si>
  <si>
    <t>5e5be6e6</t>
  </si>
  <si>
    <t>5d806910</t>
  </si>
  <si>
    <t>Morango seu kinho (04/11/2025) - Morangos</t>
  </si>
  <si>
    <t>42b3be27</t>
  </si>
  <si>
    <t>Notas_Images/5d806910.Foto.011324.jpg</t>
  </si>
  <si>
    <t>8a506b4a</t>
  </si>
  <si>
    <t>d8629330</t>
  </si>
  <si>
    <t>8d21acd5</t>
  </si>
  <si>
    <t>ec7d7978</t>
  </si>
  <si>
    <t>3f5e4753</t>
  </si>
  <si>
    <t>7e58d681</t>
  </si>
  <si>
    <t>ca2cbc2d</t>
  </si>
  <si>
    <t>Coper campos (04/11/2025) - Frutas</t>
  </si>
  <si>
    <t>Notas_Images/3f5e4753.Foto.011650.jpg</t>
  </si>
  <si>
    <t>fb788701</t>
  </si>
  <si>
    <t>8bcd98ae</t>
  </si>
  <si>
    <t>27f2f999</t>
  </si>
  <si>
    <t>f1243210</t>
  </si>
  <si>
    <t>Confeitaria Bom bocado (06/11/2025) - Cafe funcionários</t>
  </si>
  <si>
    <t>f60953c3</t>
  </si>
  <si>
    <t>Notas_Images/27f2f999.Foto.012008.jpg</t>
  </si>
  <si>
    <t>8c6c8eb1</t>
  </si>
  <si>
    <t>f9af4215</t>
  </si>
  <si>
    <t>000a818a</t>
  </si>
  <si>
    <t>c96c5d65</t>
  </si>
  <si>
    <t>b5a370f3</t>
  </si>
  <si>
    <t>777ff895</t>
  </si>
  <si>
    <t>6c1fb0c6</t>
  </si>
  <si>
    <t>Vidraceiro Anderson (07/11/2025) - Teoca 2 fechadura</t>
  </si>
  <si>
    <t>Notas_Images/c96c5d65.Foto.210929.jpg</t>
  </si>
  <si>
    <t>Teoca 2 fechadura</t>
  </si>
  <si>
    <t>f601bfb6</t>
  </si>
  <si>
    <t>f7beba72</t>
  </si>
  <si>
    <t>669aacf5</t>
  </si>
  <si>
    <t>a9b11968</t>
  </si>
  <si>
    <t>Freelancer Samara</t>
  </si>
  <si>
    <t>Morango seu kinho (07/11/2025) - Morangos</t>
  </si>
  <si>
    <t>ad6e63bb</t>
  </si>
  <si>
    <t>Notas_Images/a9b11968.Foto.211315.jpg</t>
  </si>
  <si>
    <t>5ce871b7</t>
  </si>
  <si>
    <t>d79438c9</t>
  </si>
  <si>
    <t>e1e7fc3f</t>
  </si>
  <si>
    <t>af3ce8dd</t>
  </si>
  <si>
    <t>bfb7fd6f</t>
  </si>
  <si>
    <t>RPG - Morango Rafael (07/11/2025) - Morangos</t>
  </si>
  <si>
    <t>Notas_Images/e1e7fc3f.Foto.211725.jpg</t>
  </si>
  <si>
    <t>331b4368</t>
  </si>
  <si>
    <t>c4634e80</t>
  </si>
  <si>
    <t>54611c31</t>
  </si>
  <si>
    <t>03ea3d70</t>
  </si>
  <si>
    <t>235f1697</t>
  </si>
  <si>
    <t>7837548a</t>
  </si>
  <si>
    <t>c0c9f159</t>
  </si>
  <si>
    <t>04bcb436</t>
  </si>
  <si>
    <t>Coper campos (07/11/2025) - Frutas e café funcionários</t>
  </si>
  <si>
    <t>2ff8232b</t>
  </si>
  <si>
    <t>Notas_Images/c0c9f159.Foto.213919.jpg</t>
  </si>
  <si>
    <t>7462496b</t>
  </si>
  <si>
    <t>b5479d5a</t>
  </si>
  <si>
    <t>65dc96e4</t>
  </si>
  <si>
    <t>Fruteira da marta (07/11/2025) - FRUTAS</t>
  </si>
  <si>
    <t>Notas_Images/b5479d5a.Foto.214512.jpg</t>
  </si>
  <si>
    <t>80e1fd93</t>
  </si>
  <si>
    <t>b8ba7661</t>
  </si>
  <si>
    <t>68f46598</t>
  </si>
  <si>
    <t>R$ 16,00</t>
  </si>
  <si>
    <t>Daiane valeria de Andrade cordeiro LTDA ME (22/11/2025) - Prendedor de roupas</t>
  </si>
  <si>
    <t>Notas_Images/b8ba7661.Foto.135148.jpg</t>
  </si>
  <si>
    <t>e31af6e7</t>
  </si>
  <si>
    <t>Prendedor de roupas</t>
  </si>
  <si>
    <t>cc84fae4</t>
  </si>
  <si>
    <t>90314fe2</t>
  </si>
  <si>
    <t>09f1bad0</t>
  </si>
  <si>
    <t>Coper campos (12/11/2025) - Cafe funcionários</t>
  </si>
  <si>
    <t>8f2abc76</t>
  </si>
  <si>
    <t>77b50a0d</t>
  </si>
  <si>
    <t>Notas_Images/09f1bad0.Foto.135420.jpg</t>
  </si>
  <si>
    <t>52b2844b</t>
  </si>
  <si>
    <t>cd39b420</t>
  </si>
  <si>
    <t>e3cb309d</t>
  </si>
  <si>
    <t>c2b6511f</t>
  </si>
  <si>
    <t>7cec6ee5</t>
  </si>
  <si>
    <t>d5f2eded</t>
  </si>
  <si>
    <t>Free-lancer Rayane (11/11/2025) - Free-lancer Rayane</t>
  </si>
  <si>
    <t>Notas_Images/c2b6511f.Foto.140307.jpg</t>
  </si>
  <si>
    <t>Free-lancer Rayane</t>
  </si>
  <si>
    <t>f5c50030</t>
  </si>
  <si>
    <t>d5582f21</t>
  </si>
  <si>
    <t>8ffa457c</t>
  </si>
  <si>
    <t>5bd99860</t>
  </si>
  <si>
    <t>8e45bce8</t>
  </si>
  <si>
    <t>Morango seu kinho (14/11/2025) - Morangos</t>
  </si>
  <si>
    <t>c05e70f0</t>
  </si>
  <si>
    <t>Notas_Images/8e45bce8.Foto.141322.jpg</t>
  </si>
  <si>
    <t>1bbacc74</t>
  </si>
  <si>
    <t>R$ 1.630,00</t>
  </si>
  <si>
    <t>sangria</t>
  </si>
  <si>
    <t>4c6cf18b</t>
  </si>
  <si>
    <t>bb3d2d80</t>
  </si>
  <si>
    <t>d8c5834b</t>
  </si>
  <si>
    <t>Morango seu kinho (13/11/2025) - Morangos</t>
  </si>
  <si>
    <t>cc1f29d2</t>
  </si>
  <si>
    <t>Notas_Images/bb3d2d80.Foto.141548.jpg</t>
  </si>
  <si>
    <t>b1084e93</t>
  </si>
  <si>
    <t>bdd0abd3</t>
  </si>
  <si>
    <t>7ac4dceb</t>
  </si>
  <si>
    <t>c7cc4c34</t>
  </si>
  <si>
    <t>R$ 87,50</t>
  </si>
  <si>
    <t>RPG - Morango Rafael (13/11/2025) - Morangos</t>
  </si>
  <si>
    <t>f98096cf</t>
  </si>
  <si>
    <t>Notas_Images/7ac4dceb.Foto.141824.jpg</t>
  </si>
  <si>
    <t>2907f433</t>
  </si>
  <si>
    <t>100c042c</t>
  </si>
  <si>
    <t>ba227306</t>
  </si>
  <si>
    <t>296bc856</t>
  </si>
  <si>
    <t>5d9a3416</t>
  </si>
  <si>
    <t>28c96602</t>
  </si>
  <si>
    <t>5dbd7c93</t>
  </si>
  <si>
    <t>fe29d25d</t>
  </si>
  <si>
    <t>84208242</t>
  </si>
  <si>
    <t>Donna Faxina (10/11/2025) - Produtos de limpeza</t>
  </si>
  <si>
    <t>49ef8a3f</t>
  </si>
  <si>
    <t>Notas_Images/5dbd7c93.Foto.142803.jpg</t>
  </si>
  <si>
    <t>cba35f87</t>
  </si>
  <si>
    <t>5567b6f6</t>
  </si>
  <si>
    <t>8d385e31</t>
  </si>
  <si>
    <t>d46f852c</t>
  </si>
  <si>
    <t>sangria Marcelo</t>
  </si>
  <si>
    <t>9ce9e9c3</t>
  </si>
  <si>
    <t>d15568cc</t>
  </si>
  <si>
    <t>7b4ccd79</t>
  </si>
  <si>
    <t>2835ef9b</t>
  </si>
  <si>
    <t>ProFood (10/11/2025) - Embalagens</t>
  </si>
  <si>
    <t>Notas_Images/d15568cc.Foto.143206.jpg</t>
  </si>
  <si>
    <t>4333800c</t>
  </si>
  <si>
    <t>91524923</t>
  </si>
  <si>
    <t>7278dd2b</t>
  </si>
  <si>
    <t>Notas_Images/d15568cc.Foto 1.143206.jpg</t>
  </si>
  <si>
    <t>bc6377a4</t>
  </si>
  <si>
    <t>1818280e</t>
  </si>
  <si>
    <t>5041889f</t>
  </si>
  <si>
    <t>2268ae5c</t>
  </si>
  <si>
    <t>ff1b1c19</t>
  </si>
  <si>
    <t>0dde4e3c</t>
  </si>
  <si>
    <t>Amadelli (11/11/2025) - Estoque gelado campanha</t>
  </si>
  <si>
    <t>9ef0e872</t>
  </si>
  <si>
    <t>Notas_Images/ff1b1c19.Foto.143803.jpg</t>
  </si>
  <si>
    <t>Estoque gelado campanha</t>
  </si>
  <si>
    <t>3a455bd6</t>
  </si>
  <si>
    <t>R$ 117,78</t>
  </si>
  <si>
    <t>2c34f125</t>
  </si>
  <si>
    <t>e583188f</t>
  </si>
  <si>
    <t>pgto horista teste 10/06 e 11/06 9,06h</t>
  </si>
  <si>
    <t>cf7ad6af</t>
  </si>
  <si>
    <t>3f59a0ba</t>
  </si>
  <si>
    <t>8d876068</t>
  </si>
  <si>
    <t>3f923d53</t>
  </si>
  <si>
    <t>89c1af0b</t>
  </si>
  <si>
    <t>8291ae57</t>
  </si>
  <si>
    <t>2ef4952f</t>
  </si>
  <si>
    <t>Amadelli (11/11/2025) - Estoque gelado</t>
  </si>
  <si>
    <t>Notas_Images/89c1af0b.Foto.151235.jpg</t>
  </si>
  <si>
    <t>Notas_Images/89c1af0b.Foto 1.151235.jpg</t>
  </si>
  <si>
    <t>Notas_Images/89c1af0b.Foto 2.151235.jpg</t>
  </si>
  <si>
    <t>c3aadba3</t>
  </si>
  <si>
    <t>ae46fdec</t>
  </si>
  <si>
    <t>26ab5ff2</t>
  </si>
  <si>
    <t>c96b8710</t>
  </si>
  <si>
    <t>Amadelli (12/11/2025) - Estoque seco</t>
  </si>
  <si>
    <t>R$ 60,44</t>
  </si>
  <si>
    <t>Notas_Images/ae46fdec.Foto.151647.jpg</t>
  </si>
  <si>
    <t>2748bef8</t>
  </si>
  <si>
    <t>cafe, açucar</t>
  </si>
  <si>
    <t>4d9b0ac6</t>
  </si>
  <si>
    <t>Compra de Mercadorias</t>
  </si>
  <si>
    <t>Notas_Images/ae46fdec.Foto 1.151647.jpg</t>
  </si>
  <si>
    <t>6dcf4690</t>
  </si>
  <si>
    <t>936000ca</t>
  </si>
  <si>
    <t>1d71056f</t>
  </si>
  <si>
    <t>41a5c9f8</t>
  </si>
  <si>
    <t>Amadelli (12/11/2025) - Materiais de cozinha</t>
  </si>
  <si>
    <t>fbfaff32</t>
  </si>
  <si>
    <t>Notas_Images/936000ca.Foto.152300.jpg</t>
  </si>
  <si>
    <t>Materiais de cozinha</t>
  </si>
  <si>
    <t>e50d1a49</t>
  </si>
  <si>
    <t>Notas_Images/936000ca.Foto 1.152300.jpg</t>
  </si>
  <si>
    <t>a5e4af22</t>
  </si>
  <si>
    <t>1ce392c5</t>
  </si>
  <si>
    <t>R$ 19,10</t>
  </si>
  <si>
    <t>cafe equipe</t>
  </si>
  <si>
    <t>ProFood (11/11/2025) - Embalagens campanha fatia de panetone</t>
  </si>
  <si>
    <t>Notas_Images/a5e4af22.Foto.152850.jpg</t>
  </si>
  <si>
    <t>aea43b29</t>
  </si>
  <si>
    <t>Embalagens campanha fatia de panetone</t>
  </si>
  <si>
    <t>Notas_Images/a5e4af22.Foto 1.152850.jpg</t>
  </si>
  <si>
    <t>8e04769c</t>
  </si>
  <si>
    <t>8c9bc590</t>
  </si>
  <si>
    <t>299821ba</t>
  </si>
  <si>
    <t>4f08ae2d</t>
  </si>
  <si>
    <t>Free-lancer Emanuele Gonçalves (16/11/2025) - Pgto Free-lancer</t>
  </si>
  <si>
    <t>Notas_Images/8c9bc590.Foto.211819.jpg</t>
  </si>
  <si>
    <t>Pgto Free-lancer</t>
  </si>
  <si>
    <t>85af40b6</t>
  </si>
  <si>
    <t>12933b06</t>
  </si>
  <si>
    <t>R$ 50,07</t>
  </si>
  <si>
    <t>b3b8df73</t>
  </si>
  <si>
    <t>cafe tarde funcionarios</t>
  </si>
  <si>
    <t>0e7dd1aa</t>
  </si>
  <si>
    <t>bd64d8a9</t>
  </si>
  <si>
    <t>47cbcb20</t>
  </si>
  <si>
    <t>Freelancer Gabriel (16/11/2025) - Pgto Free-lancer Gabriel</t>
  </si>
  <si>
    <t>Notas_Images/bd64d8a9.Foto.224931.jpg</t>
  </si>
  <si>
    <t>abb1d9c5</t>
  </si>
  <si>
    <t>58b40c83</t>
  </si>
  <si>
    <t>5cd9a9a0</t>
  </si>
  <si>
    <t>0bba3ef9</t>
  </si>
  <si>
    <t>110f9924</t>
  </si>
  <si>
    <t>75f53efe</t>
  </si>
  <si>
    <t>66188c1c</t>
  </si>
  <si>
    <t>0c7e5068</t>
  </si>
  <si>
    <t>Notas_Images/110f9924.Foto.225548.jpg</t>
  </si>
  <si>
    <t>802514d6</t>
  </si>
  <si>
    <t>0fb6981f</t>
  </si>
  <si>
    <t>32d752a7</t>
  </si>
  <si>
    <t>54400126</t>
  </si>
  <si>
    <t>f7bcc563</t>
  </si>
  <si>
    <t>865df16d</t>
  </si>
  <si>
    <t>a10adca8</t>
  </si>
  <si>
    <t>f715e5f3</t>
  </si>
  <si>
    <t>Free-lancer Willian Fonseca (16/11/2025) - Pgto Free-lancer Willian</t>
  </si>
  <si>
    <t>Notas_Images/f7bcc563.Foto.013210.jpg</t>
  </si>
  <si>
    <t>ac76fcd5</t>
  </si>
  <si>
    <t>Pgto Free-lancer Willian</t>
  </si>
  <si>
    <t>486c4441</t>
  </si>
  <si>
    <t>644a38fa</t>
  </si>
  <si>
    <t>1245ef6c</t>
  </si>
  <si>
    <t>c1f8230e</t>
  </si>
  <si>
    <t>9d5b002d</t>
  </si>
  <si>
    <t>db66bc7d</t>
  </si>
  <si>
    <t>d29b3627</t>
  </si>
  <si>
    <t>Fruteira da marta (16/11/2025) - Frutas</t>
  </si>
  <si>
    <t>14f686b8</t>
  </si>
  <si>
    <t>Notas_Images/9d5b002d.Foto.015716.jpg</t>
  </si>
  <si>
    <t>f6a2d5c0</t>
  </si>
  <si>
    <t>403130dd</t>
  </si>
  <si>
    <t>91424381</t>
  </si>
  <si>
    <t>6c4316d2</t>
  </si>
  <si>
    <t>ff2a01b1</t>
  </si>
  <si>
    <t>7bf1ac90</t>
  </si>
  <si>
    <t>4c1e4959</t>
  </si>
  <si>
    <t>Fruteira da marta (12/11/2025) - Frutas</t>
  </si>
  <si>
    <t>336afa93</t>
  </si>
  <si>
    <t>eebdcd34</t>
  </si>
  <si>
    <t>c1f6b1e7</t>
  </si>
  <si>
    <t>Notas_Images/7bf1ac90.Foto.112359.jpg</t>
  </si>
  <si>
    <t>ca27fd77</t>
  </si>
  <si>
    <t>eb4a488d</t>
  </si>
  <si>
    <t>2aaec129</t>
  </si>
  <si>
    <t>a9a714d9</t>
  </si>
  <si>
    <t>dd589972</t>
  </si>
  <si>
    <t>deca50f8</t>
  </si>
  <si>
    <t>Confeitaria Bom bocado (17/11/2025) - Café funcionários</t>
  </si>
  <si>
    <t>Notas_Images/dd589972.Foto.013114.jpg</t>
  </si>
  <si>
    <t>7432c0bd</t>
  </si>
  <si>
    <t>R$ 45,50</t>
  </si>
  <si>
    <t>7fbe83de</t>
  </si>
  <si>
    <t>pgto freelancer Kauane Sutil</t>
  </si>
  <si>
    <t>0e923d17</t>
  </si>
  <si>
    <t>3446305e</t>
  </si>
  <si>
    <t>92c2feb7</t>
  </si>
  <si>
    <t>01372a83</t>
  </si>
  <si>
    <t>091025c0</t>
  </si>
  <si>
    <t>2f38d0de</t>
  </si>
  <si>
    <t>0de1449a</t>
  </si>
  <si>
    <t>The Best açaí Mafra (15/11/2025) - Reembolso</t>
  </si>
  <si>
    <t>97168c87</t>
  </si>
  <si>
    <t>Notas_Images/091025c0.Foto.155055.jpg</t>
  </si>
  <si>
    <t>7a57e82d</t>
  </si>
  <si>
    <t>97ac3f22</t>
  </si>
  <si>
    <t>cda012f3</t>
  </si>
  <si>
    <t>ad0703f7</t>
  </si>
  <si>
    <t>da3637ed</t>
  </si>
  <si>
    <t>Multi (18/11/2025) - Materiais de cozinha</t>
  </si>
  <si>
    <t>Notas_Images/cda012f3.Foto.004421.jpg</t>
  </si>
  <si>
    <t>b9d02733</t>
  </si>
  <si>
    <t>7c222d03</t>
  </si>
  <si>
    <t>05d596dc</t>
  </si>
  <si>
    <t>Superviza Supermercado (19/11/2025) - Embalagens</t>
  </si>
  <si>
    <t>Notas_Images/82824857.Foto.005451.jpg</t>
  </si>
  <si>
    <t>822596b7</t>
  </si>
  <si>
    <t>b0657aa0</t>
  </si>
  <si>
    <t>abc9e270</t>
  </si>
  <si>
    <t>2acb4330</t>
  </si>
  <si>
    <t>9db9d6bc</t>
  </si>
  <si>
    <t>bf3788d6</t>
  </si>
  <si>
    <t>LM comércio e distribuidora de utilidades Ltda (20/11/2025) - Enfeite de natal</t>
  </si>
  <si>
    <t>Notas_Images/9db9d6bc.Foto.221404.jpg</t>
  </si>
  <si>
    <t>47f5450a</t>
  </si>
  <si>
    <t>09c5c4e8</t>
  </si>
  <si>
    <t>fa9c6e86</t>
  </si>
  <si>
    <t>71bc64b5</t>
  </si>
  <si>
    <t>Superviza Supermercado (20/11/2025) - Frutas</t>
  </si>
  <si>
    <t>Notas_Images/71bc64b5.Foto.221851.jpg</t>
  </si>
  <si>
    <t>2928865d</t>
  </si>
  <si>
    <t>478964c3</t>
  </si>
  <si>
    <t>78eb7436</t>
  </si>
  <si>
    <t>7fd5653e</t>
  </si>
  <si>
    <t>Morango seu kinho (20/11/2025) - Morangos</t>
  </si>
  <si>
    <t>590f144d</t>
  </si>
  <si>
    <t>Notas_Images/7fd5653e.Foto.014902.jpg</t>
  </si>
  <si>
    <t>a99873b1</t>
  </si>
  <si>
    <t>c2e7e0c7</t>
  </si>
  <si>
    <t>797b26ec</t>
  </si>
  <si>
    <t>e4018a08</t>
  </si>
  <si>
    <t>R$ 108,06</t>
  </si>
  <si>
    <t>RPG - Morango Rafael (20/11/2025) - Morangos</t>
  </si>
  <si>
    <t>98ee7084</t>
  </si>
  <si>
    <t>Notas_Images/e4018a08.Foto.015407.jpg</t>
  </si>
  <si>
    <t>Influencer João (casal)</t>
  </si>
  <si>
    <t>f55e54b7</t>
  </si>
  <si>
    <t>a8fd640d</t>
  </si>
  <si>
    <t>ff1dc807</t>
  </si>
  <si>
    <t>8b1ae0a4</t>
  </si>
  <si>
    <t>dd98509b</t>
  </si>
  <si>
    <t>a1467317</t>
  </si>
  <si>
    <t>958d8f54</t>
  </si>
  <si>
    <t>9833d536</t>
  </si>
  <si>
    <t>RPG - Morango Rafael (18/11/2025) - Morangos</t>
  </si>
  <si>
    <t>Notas_Images/dd98509b.Foto.015921.jpg</t>
  </si>
  <si>
    <t>26ebe5fb</t>
  </si>
  <si>
    <t>a9530f1b</t>
  </si>
  <si>
    <t>3aded4d2</t>
  </si>
  <si>
    <t>d48072c3</t>
  </si>
  <si>
    <t>4e841fd8</t>
  </si>
  <si>
    <t>664b60d3</t>
  </si>
  <si>
    <t>freelancer Kauana 8:45h</t>
  </si>
  <si>
    <t>d73b1ef0</t>
  </si>
  <si>
    <t>f4fea2e9</t>
  </si>
  <si>
    <t>9315edf2</t>
  </si>
  <si>
    <t>1084d494</t>
  </si>
  <si>
    <t>Free-lancer Emanuele Gonçalves (20/11/2025) - Free-lancer Emanuele</t>
  </si>
  <si>
    <t>d0a73ac0</t>
  </si>
  <si>
    <t>Notas_Images/d73b1ef0.Foto.020221.jpg</t>
  </si>
  <si>
    <t>Free-lancer Emanuele</t>
  </si>
  <si>
    <t>8de21899</t>
  </si>
  <si>
    <t>7cf90259</t>
  </si>
  <si>
    <t>d66656c3</t>
  </si>
  <si>
    <t>2532a53d</t>
  </si>
  <si>
    <t>02b7a65c</t>
  </si>
  <si>
    <t>d18177d5</t>
  </si>
  <si>
    <t>0d2dfe4f</t>
  </si>
  <si>
    <t>b2721c88</t>
  </si>
  <si>
    <t>5e7251ab</t>
  </si>
  <si>
    <t>Daiane valeria de Andrade cordeiro LTDA ME (19/11/2025) - Embalagens</t>
  </si>
  <si>
    <t>f3770f85</t>
  </si>
  <si>
    <t>Notas_Images/d18177d5.Foto.020729.jpg</t>
  </si>
  <si>
    <t>435dd5ff</t>
  </si>
  <si>
    <t>R$ 204,00</t>
  </si>
  <si>
    <t>fa27a8cd</t>
  </si>
  <si>
    <t>6d1e7cbc</t>
  </si>
  <si>
    <t>77050ce1</t>
  </si>
  <si>
    <t>869d909d</t>
  </si>
  <si>
    <t>dcfcc673</t>
  </si>
  <si>
    <t>bb7fb088</t>
  </si>
  <si>
    <t>DIPAR (19/11/2025) - Decoracao natal</t>
  </si>
  <si>
    <t>Notas_Images/dcfcc673.Foto.020857.jpg</t>
  </si>
  <si>
    <t>6e0ceff5</t>
  </si>
  <si>
    <t>Decoracao natal</t>
  </si>
  <si>
    <t>2ce4a3a8</t>
  </si>
  <si>
    <t>6ac9be0c</t>
  </si>
  <si>
    <t>3c0e6d3c</t>
  </si>
  <si>
    <t>62c17710</t>
  </si>
  <si>
    <t>63c13db3</t>
  </si>
  <si>
    <t>e7cfd84a</t>
  </si>
  <si>
    <t>a000ac65</t>
  </si>
  <si>
    <t>LM comércio e distribuidora de utilidades Ltda (19/11/2025) - Decoracao de natal</t>
  </si>
  <si>
    <t>c98d1efc</t>
  </si>
  <si>
    <t>Notas_Images/62c17710.Foto.021021.jpg</t>
  </si>
  <si>
    <t>Decoracao de natal</t>
  </si>
  <si>
    <t>7d5b295c</t>
  </si>
  <si>
    <t>8812bca1</t>
  </si>
  <si>
    <t>86080364</t>
  </si>
  <si>
    <t>0f60f254</t>
  </si>
  <si>
    <t>e64bbda5</t>
  </si>
  <si>
    <t>1103e5be</t>
  </si>
  <si>
    <t>R$ 2.150,00</t>
  </si>
  <si>
    <t>5c435ff8</t>
  </si>
  <si>
    <t>f4457c44</t>
  </si>
  <si>
    <t>FO-BRAN BEBIDAS (19/11/2025) - Bebidas</t>
  </si>
  <si>
    <t>Notas_Images/5c435ff8.Foto.022333.jpg</t>
  </si>
  <si>
    <t>70254cd9</t>
  </si>
  <si>
    <t>7bbbae65</t>
  </si>
  <si>
    <t>2a0a4f46</t>
  </si>
  <si>
    <t>1eb59ff4</t>
  </si>
  <si>
    <t>878f045f</t>
  </si>
  <si>
    <t>Motoboy marcelo (22/11/2025) - Motoboy</t>
  </si>
  <si>
    <t>718561d4</t>
  </si>
  <si>
    <t>Notas_Images/1eb59ff4.Foto.200520.jpg</t>
  </si>
  <si>
    <t>Motoboy</t>
  </si>
  <si>
    <t>c3d36be8</t>
  </si>
  <si>
    <t>6542aab6</t>
  </si>
  <si>
    <t>1894-A</t>
  </si>
  <si>
    <t>a34ed63e</t>
  </si>
  <si>
    <t>Free-lancer Helena (22/11/2025) - Pgto Free-lancer</t>
  </si>
  <si>
    <t>Notas_Images/6542aab6.Foto.200912.jpg</t>
  </si>
  <si>
    <t>ebbe6743</t>
  </si>
  <si>
    <t>b4c0def4</t>
  </si>
  <si>
    <t>R$ 51,00</t>
  </si>
  <si>
    <t>d501bcee</t>
  </si>
  <si>
    <t>065d37df</t>
  </si>
  <si>
    <t>b10ee8f5</t>
  </si>
  <si>
    <t>Reembolso (22/11/2025) - reembolso Marcelo</t>
  </si>
  <si>
    <t>1e8d8b94</t>
  </si>
  <si>
    <t>Notas_Images/b10ee8f5.Foto.233318.jpg</t>
  </si>
  <si>
    <t>reembolso Marcelo</t>
  </si>
  <si>
    <t>Notas_Images/b10ee8f5.Foto 1.233318.jpg</t>
  </si>
  <si>
    <t>Notas_Images/b10ee8f5.Foto 2.233318.jpg</t>
  </si>
  <si>
    <t>86d818ed</t>
  </si>
  <si>
    <t>Notas_Images/b10ee8f5.Foto 3.233321.jpg</t>
  </si>
  <si>
    <t>8174e02a</t>
  </si>
  <si>
    <t>554db6a5</t>
  </si>
  <si>
    <t>b3d1676d</t>
  </si>
  <si>
    <t>9e3ed83e</t>
  </si>
  <si>
    <t>RPG - Morango Rafael (22/11/2025) - Morangos</t>
  </si>
  <si>
    <t>Notas_Images/554db6a5.Foto.233821.jpg</t>
  </si>
  <si>
    <t>86c10f09</t>
  </si>
  <si>
    <t>65522662</t>
  </si>
  <si>
    <t>R$ 70,20</t>
  </si>
  <si>
    <t>ff54683c</t>
  </si>
  <si>
    <t>ab87fd9f</t>
  </si>
  <si>
    <t>freelancer Bruna 5h40min dia 12/06</t>
  </si>
  <si>
    <t>7ac29cca</t>
  </si>
  <si>
    <t>Fruteira da marta (19/11/2025) - FRUTAS</t>
  </si>
  <si>
    <t>Notas_Images/ff54683c.Foto.013403.jpg</t>
  </si>
  <si>
    <t>08ad6ace</t>
  </si>
  <si>
    <t>5543e79a</t>
  </si>
  <si>
    <t>0c9a8429</t>
  </si>
  <si>
    <t>f305041d</t>
  </si>
  <si>
    <t>3eacf24a</t>
  </si>
  <si>
    <t>Fruteira da marta (22/11/2025) - FRUTAS</t>
  </si>
  <si>
    <t>b4f6c9aa</t>
  </si>
  <si>
    <t>Notas_Images/f305041d.Foto.013528.jpg</t>
  </si>
  <si>
    <t>R$ 1.800,00</t>
  </si>
  <si>
    <t>64a20a45</t>
  </si>
  <si>
    <t>851b4317</t>
  </si>
  <si>
    <t>e6a61889</t>
  </si>
  <si>
    <t>Free-lancer Emanuele Gonçalves (24/11/2025) - PGTO freelancer Emanuele</t>
  </si>
  <si>
    <t>Notas_Images/20746303.Foto.223540.jpg</t>
  </si>
  <si>
    <t>PGTO freelancer Emanuele</t>
  </si>
  <si>
    <t>bc667fb6</t>
  </si>
  <si>
    <t>cf6a3075</t>
  </si>
  <si>
    <t>b6328eec</t>
  </si>
  <si>
    <t>FO-BRAN BEBIDAS (25/11/2025) - Bebidas</t>
  </si>
  <si>
    <t>Notas_Images/b6328eec.Foto.223459.jpg</t>
  </si>
  <si>
    <t>683fa461</t>
  </si>
  <si>
    <t>3ea665c5</t>
  </si>
  <si>
    <t>0330de8d</t>
  </si>
  <si>
    <t>cb63b1d0</t>
  </si>
  <si>
    <t>727c66fa</t>
  </si>
  <si>
    <t>a72dbf98</t>
  </si>
  <si>
    <t>Notas_Images/cb63b1d0.Foto.223844.jpg</t>
  </si>
  <si>
    <t>7b0058d3</t>
  </si>
  <si>
    <t>1be042a7</t>
  </si>
  <si>
    <t>Notas_Images/cb63b1d0.Foto 1.223844.jpg</t>
  </si>
  <si>
    <t>Notas_Images/cb63b1d0.Foto 2.223844.jpg</t>
  </si>
  <si>
    <t>R$ 589,82</t>
  </si>
  <si>
    <t>4a63708f</t>
  </si>
  <si>
    <t>2634c0c5</t>
  </si>
  <si>
    <t>453a8013</t>
  </si>
  <si>
    <t>Daiane valeria de Andrade cordeiro LTDA ME (25/11/2025) - Manutenção loja</t>
  </si>
  <si>
    <t>Notas_Images/2634c0c5.Foto.224526.jpg</t>
  </si>
  <si>
    <t>eee79ad0</t>
  </si>
  <si>
    <t>828680a5</t>
  </si>
  <si>
    <t>dd2a4dd1</t>
  </si>
  <si>
    <t>35233473</t>
  </si>
  <si>
    <t>d4ba757a</t>
  </si>
  <si>
    <t>f877be5d</t>
  </si>
  <si>
    <t>ce4cf753</t>
  </si>
  <si>
    <t>17c145a0</t>
  </si>
  <si>
    <t>405d7c3d</t>
  </si>
  <si>
    <t>60ce823b</t>
  </si>
  <si>
    <t>Cópias cia (25/11/2025) - Matérias de escritório</t>
  </si>
  <si>
    <t>Notas_Images/17c145a0.Foto.224738.jpg</t>
  </si>
  <si>
    <t>ec4b6838</t>
  </si>
  <si>
    <t>Matérias de escritório</t>
  </si>
  <si>
    <t>226412ca</t>
  </si>
  <si>
    <t>352c515d</t>
  </si>
  <si>
    <t>db14f35b</t>
  </si>
  <si>
    <t>6466403a</t>
  </si>
  <si>
    <t>594f764c</t>
  </si>
  <si>
    <t>d95e9344</t>
  </si>
  <si>
    <t>d4bd6821</t>
  </si>
  <si>
    <t>45b2d976</t>
  </si>
  <si>
    <t>bbba3257</t>
  </si>
  <si>
    <t>Confeitaria Bom bocado (25/11/2025) - Café funcionários</t>
  </si>
  <si>
    <t>2c48fdfb</t>
  </si>
  <si>
    <t>Notas_Images/594f764c.Foto.225629.jpg</t>
  </si>
  <si>
    <t>ac0e5e9e</t>
  </si>
  <si>
    <t>76c84b0b</t>
  </si>
  <si>
    <t>e29da52a</t>
  </si>
  <si>
    <t>71dd0024</t>
  </si>
  <si>
    <t>edc18e36</t>
  </si>
  <si>
    <t>e7fa1836</t>
  </si>
  <si>
    <t>a95f96dc</t>
  </si>
  <si>
    <t>8050ee9b</t>
  </si>
  <si>
    <t>c001bd81</t>
  </si>
  <si>
    <t>CN comércio de utilidades (23/11/2025) - Enfeite de natal</t>
  </si>
  <si>
    <t>Notas_Images/a95f96dc.Foto.210345.jpg</t>
  </si>
  <si>
    <t>4d9b2309</t>
  </si>
  <si>
    <t>R$ 500,00</t>
  </si>
  <si>
    <t>468c407b</t>
  </si>
  <si>
    <t>04a65f85</t>
  </si>
  <si>
    <t>7cf66100</t>
  </si>
  <si>
    <t>Donna Faxina (26/11/2025) - Produtos de limpeza</t>
  </si>
  <si>
    <t>0832aaa0</t>
  </si>
  <si>
    <t>Notas_Images/7cf66100.Foto.224538.jpg</t>
  </si>
  <si>
    <t>9d52c93d</t>
  </si>
  <si>
    <t>7f4e24b3</t>
  </si>
  <si>
    <t>e6226777</t>
  </si>
  <si>
    <t>5a405386</t>
  </si>
  <si>
    <t>65cad2f1</t>
  </si>
  <si>
    <t>Amadelli (21/11/2025) - Panetone campanha natal</t>
  </si>
  <si>
    <t>R$ 107,55</t>
  </si>
  <si>
    <t>fa9bc9d9</t>
  </si>
  <si>
    <t>Notas_Images/e6226777.Foto.230826.jpg</t>
  </si>
  <si>
    <t>Panetone campanha natal</t>
  </si>
  <si>
    <t>f7e1c36a</t>
  </si>
  <si>
    <t>Notas_Images/e6226777.Foto 1.230826.jpg</t>
  </si>
  <si>
    <t>Notas_Images/e6226777.Foto 2.230826.jpg</t>
  </si>
  <si>
    <t>aa715226</t>
  </si>
  <si>
    <t>Cafer tintas (26/11/2025) - Manutenção</t>
  </si>
  <si>
    <t>Notas_Images/85746667.Foto.232549.jpg</t>
  </si>
  <si>
    <t>Manutenção</t>
  </si>
  <si>
    <t>0e434fbd</t>
  </si>
  <si>
    <t>e545515e</t>
  </si>
  <si>
    <t>ad931f4b</t>
  </si>
  <si>
    <t>89abd80c</t>
  </si>
  <si>
    <t>842453ee</t>
  </si>
  <si>
    <t>R$ 240,00</t>
  </si>
  <si>
    <t>d08e8958</t>
  </si>
  <si>
    <t>Notas_Images/89abd80c.Foto.232710.jpg</t>
  </si>
  <si>
    <t>freelancer Samara 14 e 15/06</t>
  </si>
  <si>
    <t>9a6a4088</t>
  </si>
  <si>
    <t>3b82c42e</t>
  </si>
  <si>
    <t>freelancer</t>
  </si>
  <si>
    <t>5bd3630e</t>
  </si>
  <si>
    <t>0e973f8b</t>
  </si>
  <si>
    <t>Coper campos (26/11/2025) - Cafe funcionários e frutas</t>
  </si>
  <si>
    <t>Notas_Images/5bd3630e.Foto.232828.jpg</t>
  </si>
  <si>
    <t>79ee9c78</t>
  </si>
  <si>
    <t>002097cf</t>
  </si>
  <si>
    <t>865f2b81</t>
  </si>
  <si>
    <t>7c0a5660</t>
  </si>
  <si>
    <t>Coper campos (27/11/2025) - Cafe funcionários</t>
  </si>
  <si>
    <t>Notas_Images/865f2b81.Foto.161632.jpg</t>
  </si>
  <si>
    <t>bb9f9229</t>
  </si>
  <si>
    <t>dda69b94</t>
  </si>
  <si>
    <t>R$ 132,60</t>
  </si>
  <si>
    <t>85eb1c97</t>
  </si>
  <si>
    <t>70dbabbf</t>
  </si>
  <si>
    <t>a3f543a1</t>
  </si>
  <si>
    <t>decoração</t>
  </si>
  <si>
    <t>Morango seu kinho (27/11/2025) - Morangos</t>
  </si>
  <si>
    <t>Notas_Images/85eb1c97.Foto.162059.jpg</t>
  </si>
  <si>
    <t>eeb8f89b</t>
  </si>
  <si>
    <t>8d87fd3b</t>
  </si>
  <si>
    <t>dd17b89d</t>
  </si>
  <si>
    <t>RPG - Morango Rafael (27/11/2025) - Morangos</t>
  </si>
  <si>
    <t>Notas_Images/8d87fd3b.Foto.162325.jpg</t>
  </si>
  <si>
    <t>8ae8d921</t>
  </si>
  <si>
    <t>cd2bf8e8</t>
  </si>
  <si>
    <t>ae8fce2f</t>
  </si>
  <si>
    <t>impressao</t>
  </si>
  <si>
    <t>443bf5ca</t>
  </si>
  <si>
    <t>Amadelli (26/11/2025) - Estoque seco</t>
  </si>
  <si>
    <t>c639795b</t>
  </si>
  <si>
    <t>Notas_Images/85418504.Foto.173611.jpg</t>
  </si>
  <si>
    <t>Notas_Images/85418504.Foto 1.173611.jpg</t>
  </si>
  <si>
    <t>f3cc7183</t>
  </si>
  <si>
    <t>Notas_Images/85418504.Foto 2.173611.jpg</t>
  </si>
  <si>
    <t>a52746d8</t>
  </si>
  <si>
    <t>Notas_Images/85418504.Foto 3.173615.jpg</t>
  </si>
  <si>
    <t>69b63480</t>
  </si>
  <si>
    <t>b7671a03</t>
  </si>
  <si>
    <t>0ee7b7bc</t>
  </si>
  <si>
    <t>37ab3e2c</t>
  </si>
  <si>
    <t>9bcb6ab8</t>
  </si>
  <si>
    <t>Amadelli (25/11/2025) - Campanha panetone gotas de chocolate</t>
  </si>
  <si>
    <t>8844e4fb</t>
  </si>
  <si>
    <t>Notas_Images/0ee7b7bc.Foto.190145.jpg</t>
  </si>
  <si>
    <t>R$ 64,71</t>
  </si>
  <si>
    <t>Campanha panetone gotas de chocolate</t>
  </si>
  <si>
    <t>313ec26e</t>
  </si>
  <si>
    <t>ingredientes fondue</t>
  </si>
  <si>
    <t>50bf27ea</t>
  </si>
  <si>
    <t>6a799214</t>
  </si>
  <si>
    <t>b6d7910a</t>
  </si>
  <si>
    <t>4e5dd7f8</t>
  </si>
  <si>
    <t>a5d938d6</t>
  </si>
  <si>
    <t>b440a7cc</t>
  </si>
  <si>
    <t>2b161ddd</t>
  </si>
  <si>
    <t>Free-lancer Willian Fonseca (30/11/2025) - Pgto Free-lancer  Willian</t>
  </si>
  <si>
    <t>1d1641d2</t>
  </si>
  <si>
    <t>7009a169</t>
  </si>
  <si>
    <t>Notas_Images/a5d938d6.Foto.021407.jpg</t>
  </si>
  <si>
    <t>Pgto Free-lancer  Willian</t>
  </si>
  <si>
    <t>8b991257</t>
  </si>
  <si>
    <t>6a882f0b</t>
  </si>
  <si>
    <t>7afa3de7</t>
  </si>
  <si>
    <t>1125bb4d</t>
  </si>
  <si>
    <t>sangria mariane</t>
  </si>
  <si>
    <t>d9cfce60</t>
  </si>
  <si>
    <t>e483b809</t>
  </si>
  <si>
    <t>Free-lancer Emanuele Gonçalves (30/11/2025) - Pgto Free-lancer Emanuele</t>
  </si>
  <si>
    <t>e668e1a8</t>
  </si>
  <si>
    <t>Notas_Images/d9cfce60.Foto.021544.jpg</t>
  </si>
  <si>
    <t>Pgto Free-lancer Emanuele</t>
  </si>
  <si>
    <t>77809a0b</t>
  </si>
  <si>
    <t>a08f0194</t>
  </si>
  <si>
    <t>0e9e7913</t>
  </si>
  <si>
    <t>f5d29d70</t>
  </si>
  <si>
    <t>Freelancer Gabriel (30/11/2025) - Pgto Free-lancer Gabriel</t>
  </si>
  <si>
    <t>b61d60c4</t>
  </si>
  <si>
    <t>R$ 62,88</t>
  </si>
  <si>
    <t>Notas_Images/21301857.Foto.021748.jpg</t>
  </si>
  <si>
    <t>5ee7c4e2</t>
  </si>
  <si>
    <t>sorteio Renata numero 36</t>
  </si>
  <si>
    <t>eaafa4f7</t>
  </si>
  <si>
    <t>3eb17a45</t>
  </si>
  <si>
    <t>c038ab08</t>
  </si>
  <si>
    <t>5ffffeb5</t>
  </si>
  <si>
    <t>d6cf7fd6</t>
  </si>
  <si>
    <t>4a1e0a7c</t>
  </si>
  <si>
    <t>54248bea</t>
  </si>
  <si>
    <t>Fruteira da marta (26/11/2025) - frutas</t>
  </si>
  <si>
    <t>Notas_Images/d6cf7fd6.Foto.023511.jpg</t>
  </si>
  <si>
    <t>cda77c7f</t>
  </si>
  <si>
    <t>bf9e3033</t>
  </si>
  <si>
    <t>ee02eb33</t>
  </si>
  <si>
    <t>R$ 75,23</t>
  </si>
  <si>
    <t>64d5b05c</t>
  </si>
  <si>
    <t>df790166</t>
  </si>
  <si>
    <t>sorteio Kauane numero 48</t>
  </si>
  <si>
    <t>7a0310a0</t>
  </si>
  <si>
    <t>754bf15e</t>
  </si>
  <si>
    <t>bf3a39d7</t>
  </si>
  <si>
    <t>Fruteira da marta (29/11/2025) - frutas</t>
  </si>
  <si>
    <t>278451b7</t>
  </si>
  <si>
    <t>af6f8bb7</t>
  </si>
  <si>
    <t>Notas_Images/df790166.Foto.023700.jpg</t>
  </si>
  <si>
    <t>8abc6bf3</t>
  </si>
  <si>
    <t>8557a578</t>
  </si>
  <si>
    <t>5f3e604f</t>
  </si>
  <si>
    <t>5ee53712</t>
  </si>
  <si>
    <t>06d2555f</t>
  </si>
  <si>
    <t>e8497e26</t>
  </si>
  <si>
    <t>6a5d8131</t>
  </si>
  <si>
    <t>Fruteira da marta (30/11/2025) - frutas</t>
  </si>
  <si>
    <t>c51a0fa2</t>
  </si>
  <si>
    <t>Notas_Images/e8497e26.Foto.023830.png</t>
  </si>
  <si>
    <t>1f4688a1</t>
  </si>
  <si>
    <t>0ed22602</t>
  </si>
  <si>
    <t>R$ 60,76</t>
  </si>
  <si>
    <t>054d801f</t>
  </si>
  <si>
    <t>2b92fd5f</t>
  </si>
  <si>
    <t>sorteio Fabia numero 42</t>
  </si>
  <si>
    <t>0924e1cb</t>
  </si>
  <si>
    <t>feaded89</t>
  </si>
  <si>
    <t>a898527b</t>
  </si>
  <si>
    <t>Amadelli (25/11/2025) - Estoque gelado</t>
  </si>
  <si>
    <t>0e883a43</t>
  </si>
  <si>
    <t>Notas_Images/feaded89.Foto.030316.jpg</t>
  </si>
  <si>
    <t>82bb0bbd</t>
  </si>
  <si>
    <t>Notas_Images/feaded89.Foto 1.030316.jpg</t>
  </si>
  <si>
    <t>c9e0c4ae</t>
  </si>
  <si>
    <t>Notas_Images/feaded89.Foto 2.030316.jpg</t>
  </si>
  <si>
    <t>d7bfee81</t>
  </si>
  <si>
    <t>f605a171</t>
  </si>
  <si>
    <t>ed97ae05</t>
  </si>
  <si>
    <t>R$ 64,90</t>
  </si>
  <si>
    <t>e0e1f73f</t>
  </si>
  <si>
    <t>2a90ec6a</t>
  </si>
  <si>
    <t>sorteio Ana numero 25</t>
  </si>
  <si>
    <t>08b9483c</t>
  </si>
  <si>
    <t>Confeitaria Bom bocado (01/12/2025) - Cafe funcionários</t>
  </si>
  <si>
    <t>f6b274a9</t>
  </si>
  <si>
    <t>Notas_Images/ed97ae05.Foto.012327.jpg</t>
  </si>
  <si>
    <t>b919cbc6</t>
  </si>
  <si>
    <t>a19ad537</t>
  </si>
  <si>
    <t>853d9f61</t>
  </si>
  <si>
    <t>ab956099</t>
  </si>
  <si>
    <t>9c44dd15</t>
  </si>
  <si>
    <t>529dc043</t>
  </si>
  <si>
    <t>6ff28513</t>
  </si>
  <si>
    <t>1bfd822c</t>
  </si>
  <si>
    <t>f5356e41</t>
  </si>
  <si>
    <t>Coper campos (01/12/2025) - Café funcionários</t>
  </si>
  <si>
    <t>Notas_Images/6ff28513.Foto.012429.jpg</t>
  </si>
  <si>
    <t>693f5ebf</t>
  </si>
  <si>
    <t>461882d5</t>
  </si>
  <si>
    <t>59403bff</t>
  </si>
  <si>
    <t>41d1c532</t>
  </si>
  <si>
    <t>32ef09ea</t>
  </si>
  <si>
    <t>0f0e8b5d</t>
  </si>
  <si>
    <t>7bd8d719</t>
  </si>
  <si>
    <t>SAMAE (01/12/2025) - Fatura de água</t>
  </si>
  <si>
    <t>Notas_Images/32ef09ea.Foto.012656.jpg</t>
  </si>
  <si>
    <t>0287694a</t>
  </si>
  <si>
    <t>616b98a8</t>
  </si>
  <si>
    <t>159f6647</t>
  </si>
  <si>
    <t>86d91d7a</t>
  </si>
  <si>
    <t>f56e3659</t>
  </si>
  <si>
    <t>d5acc750</t>
  </si>
  <si>
    <t>R$ 181,26</t>
  </si>
  <si>
    <t>ea89f92f</t>
  </si>
  <si>
    <t>Donna Faxina (01/12/2025) - Produtos de limpeza</t>
  </si>
  <si>
    <t>Notas_Images/29539255.Foto.013029.jpg</t>
  </si>
  <si>
    <t>1bb659a4</t>
  </si>
  <si>
    <t>487fe221</t>
  </si>
  <si>
    <t>4169efcc</t>
  </si>
  <si>
    <t>61eecb87</t>
  </si>
  <si>
    <t>2e16fdbf</t>
  </si>
  <si>
    <t>41bad2db</t>
  </si>
  <si>
    <t>20d6c30b</t>
  </si>
  <si>
    <t>Reembolso (02/12/2025) - Embalgens</t>
  </si>
  <si>
    <t>Notas_Images/41bad2db.Foto.224515.jpg</t>
  </si>
  <si>
    <t>Embalgens</t>
  </si>
  <si>
    <t>12c3fcb7</t>
  </si>
  <si>
    <t>e99e1a5d</t>
  </si>
  <si>
    <t>f4ab2bb3</t>
  </si>
  <si>
    <t>b16e2c77</t>
  </si>
  <si>
    <t>d9d4c29d</t>
  </si>
  <si>
    <t>6e6de868</t>
  </si>
  <si>
    <t>7489ae73</t>
  </si>
  <si>
    <t>31faf72b</t>
  </si>
  <si>
    <t>2f716a6f</t>
  </si>
  <si>
    <t>5c5a620c</t>
  </si>
  <si>
    <t>Confeitaria Bom bocado (02/12/2025) - Café funcionários</t>
  </si>
  <si>
    <t>b8b8dba8</t>
  </si>
  <si>
    <t>Notas_Images/7489ae73.Foto.232318.jpg</t>
  </si>
  <si>
    <t>659c83f1</t>
  </si>
  <si>
    <t>3728c4fa</t>
  </si>
  <si>
    <t>b0db41dd</t>
  </si>
  <si>
    <t>4fdb1b1a</t>
  </si>
  <si>
    <t>eeeacfd6</t>
  </si>
  <si>
    <t>FO-BRAN BEBIDAS (02/12/2025) - Bebidas</t>
  </si>
  <si>
    <t>43f2aaa2</t>
  </si>
  <si>
    <t>fd30f15a</t>
  </si>
  <si>
    <t>Notas_Images/4fdb1b1a.Foto.233245.jpg</t>
  </si>
  <si>
    <t>fc2b3bc0</t>
  </si>
  <si>
    <t>c2a77cfa</t>
  </si>
  <si>
    <t>88f4e96a</t>
  </si>
  <si>
    <t>2fe5a03b</t>
  </si>
  <si>
    <t>R$ 65,00</t>
  </si>
  <si>
    <t>5470bf8f</t>
  </si>
  <si>
    <t>pagto freelancer 5 horas dia 17/06/2025 teste</t>
  </si>
  <si>
    <t>Reembolso (21/11/2025) - manutenção loja</t>
  </si>
  <si>
    <t>90545a6b</t>
  </si>
  <si>
    <t>Notas_Images/2fe5a03b.Foto.235855.jpg</t>
  </si>
  <si>
    <t>1c3472ff</t>
  </si>
  <si>
    <t>d9b80311</t>
  </si>
  <si>
    <t>ea34a9a8</t>
  </si>
  <si>
    <t>9a3eb8a1</t>
  </si>
  <si>
    <t>f516a2a6</t>
  </si>
  <si>
    <t>be0f1f36</t>
  </si>
  <si>
    <t>e0d5a312</t>
  </si>
  <si>
    <t>eb52c292</t>
  </si>
  <si>
    <t>d7309234</t>
  </si>
  <si>
    <t>c1f012ab</t>
  </si>
  <si>
    <t>Motoboy (02/12/2025) - 3 corridas</t>
  </si>
  <si>
    <t>26b59393</t>
  </si>
  <si>
    <t>Notas_Images/e0d5a312.Foto.000518.jpg</t>
  </si>
  <si>
    <t>3 corridas</t>
  </si>
  <si>
    <t>56dbec87</t>
  </si>
  <si>
    <t>22a96dee</t>
  </si>
  <si>
    <t>pagamento Alexsandra , rescisão</t>
  </si>
  <si>
    <t>eb4dd97b</t>
  </si>
  <si>
    <t>500b63e1</t>
  </si>
  <si>
    <t>6fc19885</t>
  </si>
  <si>
    <t>c8c78f64</t>
  </si>
  <si>
    <t>ca935ffb</t>
  </si>
  <si>
    <t>24b642f5</t>
  </si>
  <si>
    <t>RPG - Morango Rafael (01/12/2025) - Morangos</t>
  </si>
  <si>
    <t>1fce36f3</t>
  </si>
  <si>
    <t>Notas_Images/c8c78f64.Foto.000908.jpg</t>
  </si>
  <si>
    <t>3036563c</t>
  </si>
  <si>
    <t>9ee463f5</t>
  </si>
  <si>
    <t>ecb7743d</t>
  </si>
  <si>
    <t>R$ 75,48</t>
  </si>
  <si>
    <t>c0cfc60a</t>
  </si>
  <si>
    <t>sorteio açai Rafaela 86</t>
  </si>
  <si>
    <t>9ee3bb9f</t>
  </si>
  <si>
    <t>6e1d9c54</t>
  </si>
  <si>
    <t>62fead8e</t>
  </si>
  <si>
    <t>Amadelli (28/11/2025) - Estoque seco whey</t>
  </si>
  <si>
    <t>7b00b57e</t>
  </si>
  <si>
    <t>e7a32e85</t>
  </si>
  <si>
    <t>Notas_Images/9ee3bb9f.Foto.010233.jpg</t>
  </si>
  <si>
    <t>Estoque seco whey</t>
  </si>
  <si>
    <t>31632261</t>
  </si>
  <si>
    <t>e3765b48</t>
  </si>
  <si>
    <t>0bf7f1b7</t>
  </si>
  <si>
    <t>742ae024</t>
  </si>
  <si>
    <t>25a4f014</t>
  </si>
  <si>
    <t>fa3fff7e</t>
  </si>
  <si>
    <t>R$ 149,90</t>
  </si>
  <si>
    <t>Coper campos (03/12/2025) - Frutas e café funcionários</t>
  </si>
  <si>
    <t>4523015e</t>
  </si>
  <si>
    <t>extintor para por na escada</t>
  </si>
  <si>
    <t>Notas_Images/742ae024.Foto.200339.jpg</t>
  </si>
  <si>
    <t>c29038f2</t>
  </si>
  <si>
    <t>ccff232b</t>
  </si>
  <si>
    <t>53da08c6</t>
  </si>
  <si>
    <t>b4323f39</t>
  </si>
  <si>
    <t>b76cc289</t>
  </si>
  <si>
    <t>b63cef01</t>
  </si>
  <si>
    <t>725383ed</t>
  </si>
  <si>
    <t>a4366790</t>
  </si>
  <si>
    <t>Reembolso (03/12/2025) - Embalagens</t>
  </si>
  <si>
    <t>bd334263</t>
  </si>
  <si>
    <t>Notas_Images/b76cc289.Foto.202457.jpg</t>
  </si>
  <si>
    <t>8b7302d8</t>
  </si>
  <si>
    <t>Adiantamentos feitos pela Conta Corrente</t>
  </si>
  <si>
    <t>b3bfd5e2</t>
  </si>
  <si>
    <t>4561e5c3</t>
  </si>
  <si>
    <t>645ad4b8</t>
  </si>
  <si>
    <t>7e6e9b8e</t>
  </si>
  <si>
    <t>8608b0f8</t>
  </si>
  <si>
    <t>b8d2b143</t>
  </si>
  <si>
    <t>cc271bce</t>
  </si>
  <si>
    <t>21f5588e</t>
  </si>
  <si>
    <t>MR.H Bijuterias LTDA (03/12/2025) - Mata mosquitos</t>
  </si>
  <si>
    <t>R$ 390,00</t>
  </si>
  <si>
    <t>cca069a3</t>
  </si>
  <si>
    <t>Notas_Images/b8d2b143.Foto.203248.jpg</t>
  </si>
  <si>
    <t>Mata mosquitos</t>
  </si>
  <si>
    <t>pgto morango 10 kg</t>
  </si>
  <si>
    <t>27da0246</t>
  </si>
  <si>
    <t>7b8a55a6</t>
  </si>
  <si>
    <t>c45f67b7</t>
  </si>
  <si>
    <t>MR.H Bijuterias LTDA (03/12/2025) - Fita durex</t>
  </si>
  <si>
    <t>Notas_Images/7b8a55a6.Foto.203441.jpg</t>
  </si>
  <si>
    <t>Fita durex</t>
  </si>
  <si>
    <t>ce79ff2d</t>
  </si>
  <si>
    <t>6b38ea9e</t>
  </si>
  <si>
    <t>09494bb4</t>
  </si>
  <si>
    <t>ProFood (02/12/2025) - Embalagens</t>
  </si>
  <si>
    <t>Notas_Images/6b38ea9e.Foto.031059.jpg</t>
  </si>
  <si>
    <t>f13fdb79</t>
  </si>
  <si>
    <t>b49c7cb3</t>
  </si>
  <si>
    <t>d2d22bf7</t>
  </si>
  <si>
    <t>056eed46</t>
  </si>
  <si>
    <t>baac53fb</t>
  </si>
  <si>
    <t>Código Func</t>
  </si>
  <si>
    <t>Cópias cia (04/12/2025) - Impressões e copia</t>
  </si>
  <si>
    <t>Notas_Images/056eed46.Foto.015728.jpg</t>
  </si>
  <si>
    <t>c59b52f0</t>
  </si>
  <si>
    <t>Impressões e copia</t>
  </si>
  <si>
    <t>29050868</t>
  </si>
  <si>
    <t>ce82374b</t>
  </si>
  <si>
    <t>f400bee7</t>
  </si>
  <si>
    <t>R$ 71,59</t>
  </si>
  <si>
    <t>d178b045</t>
  </si>
  <si>
    <t>ab88b35f</t>
  </si>
  <si>
    <t>3a32d3e4</t>
  </si>
  <si>
    <t>canecas para o cafe funcionarios</t>
  </si>
  <si>
    <t>15e4a6ff</t>
  </si>
  <si>
    <t>22a5d429</t>
  </si>
  <si>
    <t>95f3c82a</t>
  </si>
  <si>
    <t>Isabele Free-lancer (04/12/2025) - Pgto Isabela cobrir horista que faltou</t>
  </si>
  <si>
    <t>48b33fea</t>
  </si>
  <si>
    <t>Notas_Images/3a32d3e4.Foto.022552.jpg</t>
  </si>
  <si>
    <t>b48fd624</t>
  </si>
  <si>
    <t>b65791c7</t>
  </si>
  <si>
    <t>Pgto Isabela cobrir horista que faltou</t>
  </si>
  <si>
    <t>863b3921</t>
  </si>
  <si>
    <t>f69b3eac</t>
  </si>
  <si>
    <t>5f12de4b</t>
  </si>
  <si>
    <t>319e1e90</t>
  </si>
  <si>
    <t>7a2a7d57</t>
  </si>
  <si>
    <t>4c945e0a</t>
  </si>
  <si>
    <t>57ce9457</t>
  </si>
  <si>
    <t>5d35a3a2</t>
  </si>
  <si>
    <t>RPG - Morango Rafael (04/12/2025) - Morangos</t>
  </si>
  <si>
    <t>Notas_Images/4c945e0a.Foto.022828.jpg</t>
  </si>
  <si>
    <t>c761618b</t>
  </si>
  <si>
    <t>9c8e004d</t>
  </si>
  <si>
    <t>90668f37</t>
  </si>
  <si>
    <t>84d32835</t>
  </si>
  <si>
    <t>baf541f4</t>
  </si>
  <si>
    <t>34f03e49</t>
  </si>
  <si>
    <t>a5a0657d</t>
  </si>
  <si>
    <t>Notas_Images/34f03e49.Foto.023112.jpg</t>
  </si>
  <si>
    <t>df98573e</t>
  </si>
  <si>
    <t>0d764d52</t>
  </si>
  <si>
    <t>R$ 91,30</t>
  </si>
  <si>
    <t>44f2850e</t>
  </si>
  <si>
    <t>829c1a25</t>
  </si>
  <si>
    <t>ecd7bcc0</t>
  </si>
  <si>
    <t>34319a5a</t>
  </si>
  <si>
    <t>35dbb59a</t>
  </si>
  <si>
    <t>3b9e212f</t>
  </si>
  <si>
    <t>7f27a4d3</t>
  </si>
  <si>
    <t>MONOUSO COMERCIO E IMPORTACAO LTDA (03/12/2025) - Copo e tampa shake proteico</t>
  </si>
  <si>
    <t>Notas_Images/34319a5a.Foto.025135.jpg</t>
  </si>
  <si>
    <t>4dbe89d6</t>
  </si>
  <si>
    <t>Copo e tampa shake proteico</t>
  </si>
  <si>
    <t>c01682d9</t>
  </si>
  <si>
    <t>Notas_Images/34319a5a.Foto 1.025135.jpg</t>
  </si>
  <si>
    <t>e6488e66</t>
  </si>
  <si>
    <t>7ec409a6</t>
  </si>
  <si>
    <t>1d5a934f</t>
  </si>
  <si>
    <t>0791ba5d</t>
  </si>
  <si>
    <t>a025ca79</t>
  </si>
  <si>
    <t>LM comércio e distribuidora de utilidades Ltda (05/12/2025) - Canudos</t>
  </si>
  <si>
    <t>Notas_Images/0791ba5d.Foto.232133.jpg</t>
  </si>
  <si>
    <t>FEITO SANGRIA 4 NOTAS DE 5,00 DADO ENTREDA ERRADA ERA PARTE DO CAIXA</t>
  </si>
  <si>
    <t>36c1de89</t>
  </si>
  <si>
    <t>7a3a6bd3</t>
  </si>
  <si>
    <t>b89fe0a3</t>
  </si>
  <si>
    <t>7051ad54</t>
  </si>
  <si>
    <t>756d9ed7</t>
  </si>
  <si>
    <t>Farmácia sagrado coração (05/12/2025) - Band aid curativos</t>
  </si>
  <si>
    <t>Notas_Images/b89fe0a3.Foto.232317.jpg</t>
  </si>
  <si>
    <t>Band aid curativos</t>
  </si>
  <si>
    <t>693591ae</t>
  </si>
  <si>
    <t>4ec87ff6</t>
  </si>
  <si>
    <t>bd4f039a</t>
  </si>
  <si>
    <t>R$ 1.050,00</t>
  </si>
  <si>
    <t>30f509d0</t>
  </si>
  <si>
    <t>SANGRIA CX MARIANE</t>
  </si>
  <si>
    <t>b4f8848e</t>
  </si>
  <si>
    <t>ae4cad43</t>
  </si>
  <si>
    <t>Copercampos atacadista (05/12/2025) - Frutas</t>
  </si>
  <si>
    <t>Notas_Images/30f509d0.Foto.233414.jpg</t>
  </si>
  <si>
    <t>68c8eed8</t>
  </si>
  <si>
    <t>787cd4fb</t>
  </si>
  <si>
    <t>c1d233bd</t>
  </si>
  <si>
    <t>a5c4802a</t>
  </si>
  <si>
    <t>ecc65471</t>
  </si>
  <si>
    <t>RPG - Morango Rafael (06/12/2025) - Morangos</t>
  </si>
  <si>
    <t>Notas_Images/c1d233bd.Foto.235539.jpg</t>
  </si>
  <si>
    <t>976e9c3a</t>
  </si>
  <si>
    <t>65eb9034</t>
  </si>
  <si>
    <t>87106a79</t>
  </si>
  <si>
    <t>3f64ee18</t>
  </si>
  <si>
    <t>9d1a513b</t>
  </si>
  <si>
    <t>Superviza Supermercado (07/12/2025) - Afe funcionários</t>
  </si>
  <si>
    <t>Notas_Images/87106a79.Foto.014352.jpg</t>
  </si>
  <si>
    <t>Afe funcionários</t>
  </si>
  <si>
    <t>84c54949</t>
  </si>
  <si>
    <t>5d70332d</t>
  </si>
  <si>
    <t>94ac85f2</t>
  </si>
  <si>
    <t>56de0506</t>
  </si>
  <si>
    <t>Fruteira da marta (06/12/2025) - Frutas</t>
  </si>
  <si>
    <t>e049d1ad</t>
  </si>
  <si>
    <t>Notas_Images/56de0506.Foto.014642.jpg</t>
  </si>
  <si>
    <t>R$ 145,99</t>
  </si>
  <si>
    <t>21/06 e 22/06 11,23h</t>
  </si>
  <si>
    <t>5c102051</t>
  </si>
  <si>
    <t>4c8ccff7</t>
  </si>
  <si>
    <t>3ceb7b37</t>
  </si>
  <si>
    <t>2932149e</t>
  </si>
  <si>
    <t>5be0f5d9</t>
  </si>
  <si>
    <t>Free-lancer Emanuele Gonçalves (07/12/2025) - PGTO Freelancer Emanoele</t>
  </si>
  <si>
    <t>Notas_Images/3ceb7b37.Foto.031342.jpg</t>
  </si>
  <si>
    <t>PGTO Freelancer Emanoele</t>
  </si>
  <si>
    <t>fec98e8e</t>
  </si>
  <si>
    <t>dea1c5e4</t>
  </si>
  <si>
    <t>5b210a17</t>
  </si>
  <si>
    <t>05efffb5</t>
  </si>
  <si>
    <t>42153b62</t>
  </si>
  <si>
    <t>Motoboy marcelo (07/12/2025) - Motoboy</t>
  </si>
  <si>
    <t>Notas_Images/05efffb5.Foto.031507.jpg</t>
  </si>
  <si>
    <t>Samara cozinha 21/06 e 22/06</t>
  </si>
  <si>
    <t>11dc187e</t>
  </si>
  <si>
    <t>8f1e78bd</t>
  </si>
  <si>
    <t>51bc0614</t>
  </si>
  <si>
    <t>552509f8</t>
  </si>
  <si>
    <t>FO-BRAN BEBIDAS (08/12/2025) - Bebidas</t>
  </si>
  <si>
    <t>b986c6d2</t>
  </si>
  <si>
    <t>Notas_Images/552509f8.Foto.020413.jpg</t>
  </si>
  <si>
    <t>163e10d5</t>
  </si>
  <si>
    <t>7495a16e</t>
  </si>
  <si>
    <t>1127f41b</t>
  </si>
  <si>
    <t>7793d62e</t>
  </si>
  <si>
    <t>62b5b777</t>
  </si>
  <si>
    <t>3c7882ab</t>
  </si>
  <si>
    <t>Amadelli (09/12/2025) - Estoque gelado</t>
  </si>
  <si>
    <t>e48f6808</t>
  </si>
  <si>
    <t>Notas_Images/7793d62e.Foto.125906.jpg</t>
  </si>
  <si>
    <t>3f161dd2</t>
  </si>
  <si>
    <t>a9d43702</t>
  </si>
  <si>
    <t>Notas_Images/7793d62e.Foto 1.125906.jpg</t>
  </si>
  <si>
    <t>61c75ec9</t>
  </si>
  <si>
    <t>6b42fe08</t>
  </si>
  <si>
    <t>R$ 58,50</t>
  </si>
  <si>
    <t>7ccc17e6</t>
  </si>
  <si>
    <t>Sorteio Nanda Sofia Alves 72</t>
  </si>
  <si>
    <t>Coper campos (08/12/2025) - Cafe funcionários</t>
  </si>
  <si>
    <t>Notas_Images/6b42fe08.Foto.010739.jpg</t>
  </si>
  <si>
    <t>19f4b8bb</t>
  </si>
  <si>
    <t>e8dbcfc6</t>
  </si>
  <si>
    <t>0ccdc848</t>
  </si>
  <si>
    <t>Superviza Supermercado (09/12/2025) - 2 Cesta de Natal</t>
  </si>
  <si>
    <t>bee6c388</t>
  </si>
  <si>
    <t>Notas_Images/0ccdc848.Foto.012219.jpg</t>
  </si>
  <si>
    <t>2 Cesta de Natal</t>
  </si>
  <si>
    <t>b0d4a2ed</t>
  </si>
  <si>
    <t>41385c99</t>
  </si>
  <si>
    <t>46bd0c5b</t>
  </si>
  <si>
    <t>bb88886d</t>
  </si>
  <si>
    <t>6d2faa29</t>
  </si>
  <si>
    <t>80358386</t>
  </si>
  <si>
    <t>freelancer kauana 6:13h 22/06</t>
  </si>
  <si>
    <t>726167ec</t>
  </si>
  <si>
    <t>4005848d</t>
  </si>
  <si>
    <t>Superviza Supermercado (09/12/2025) - 2 cesta de Natal + frutas + café funcionários</t>
  </si>
  <si>
    <t>Notas_Images/6d2faa29.Foto.012438.jpg</t>
  </si>
  <si>
    <t>2 cesta de Natal + frutas + café funcionários</t>
  </si>
  <si>
    <t>b50dc2e1</t>
  </si>
  <si>
    <t>1b2eb21c</t>
  </si>
  <si>
    <t>46ef8b17</t>
  </si>
  <si>
    <t>511698ac</t>
  </si>
  <si>
    <t>ec33204b</t>
  </si>
  <si>
    <t>785ffcf0</t>
  </si>
  <si>
    <t>87a63761</t>
  </si>
  <si>
    <t>Zat (09/12/2025) - Panetone da campanha</t>
  </si>
  <si>
    <t>1dd30397</t>
  </si>
  <si>
    <t>Notas_Images/785ffcf0.Foto.012608.jpg</t>
  </si>
  <si>
    <t>Panetone da campanha</t>
  </si>
  <si>
    <t>4efdf760</t>
  </si>
  <si>
    <t>33e1c136</t>
  </si>
  <si>
    <t>R$ 2.050,00</t>
  </si>
  <si>
    <t>8d5cc39d</t>
  </si>
  <si>
    <t>616a62d6</t>
  </si>
  <si>
    <t>63bff034</t>
  </si>
  <si>
    <t>57a24e7c</t>
  </si>
  <si>
    <t>5fa85aec</t>
  </si>
  <si>
    <t>Free-lancer Rayane (12/12/2025) - PGTO FREE-LANCER RAYANE 15/11 E 22/11</t>
  </si>
  <si>
    <t>076a7dba</t>
  </si>
  <si>
    <t>Notas_Images/63bff034.Foto.014723.jpg</t>
  </si>
  <si>
    <t>PGTO FREE-LANCER RAYANE 15/11 E 22/11</t>
  </si>
  <si>
    <t>5da0c2dd</t>
  </si>
  <si>
    <t>ddbf0f41</t>
  </si>
  <si>
    <t>0bc47a6d</t>
  </si>
  <si>
    <t>58bdb8e3</t>
  </si>
  <si>
    <t>2a80ee48</t>
  </si>
  <si>
    <t>Coper campos (12/12/2025) - SUCO PARA BANANA DO BUFFET E CAFE FUNCIONARIOS</t>
  </si>
  <si>
    <t>0710fb58</t>
  </si>
  <si>
    <t>Notas_Images/58bdb8e3.Foto.015808.jpg</t>
  </si>
  <si>
    <t>SUCO PARA BANANA DO BUFFET E CAFE FUNCIONARIOS</t>
  </si>
  <si>
    <t>R$ 96,00</t>
  </si>
  <si>
    <t>34f91d3d</t>
  </si>
  <si>
    <t>d837aedb</t>
  </si>
  <si>
    <t>312a8fd4</t>
  </si>
  <si>
    <t>d8f86477</t>
  </si>
  <si>
    <t>26d02323</t>
  </si>
  <si>
    <t>0c918f4b</t>
  </si>
  <si>
    <t>bc9a8932</t>
  </si>
  <si>
    <t>Confeitaria Bom bocado (12/12/2025) - CAFE FUNCIONARIOS</t>
  </si>
  <si>
    <t>4578d63d</t>
  </si>
  <si>
    <t>4734cde2</t>
  </si>
  <si>
    <t>Notas_Images/26d02323.Foto.020000.jpg</t>
  </si>
  <si>
    <t>CAFE FUNCIONARIOS</t>
  </si>
  <si>
    <t>38b9cd9b</t>
  </si>
  <si>
    <t>ece984da</t>
  </si>
  <si>
    <t>0470428e</t>
  </si>
  <si>
    <t>72a0276d</t>
  </si>
  <si>
    <t>115f87cb</t>
  </si>
  <si>
    <t>75416655</t>
  </si>
  <si>
    <t>a358ba7c</t>
  </si>
  <si>
    <t>R$ 42,74</t>
  </si>
  <si>
    <t>Morango seu kinho (11/12/2025) - Morangos</t>
  </si>
  <si>
    <t>CAFE EQUIPE</t>
  </si>
  <si>
    <t>1347026d</t>
  </si>
  <si>
    <t>Notas_Images/115f87cb.Foto.020427.jpg</t>
  </si>
  <si>
    <t>34bdae58</t>
  </si>
  <si>
    <t>62bbddc0</t>
  </si>
  <si>
    <t>d1861912</t>
  </si>
  <si>
    <t>c98c0d97</t>
  </si>
  <si>
    <t>43e38b7a</t>
  </si>
  <si>
    <t>bca8a870</t>
  </si>
  <si>
    <t>6de7eceb</t>
  </si>
  <si>
    <t>d1490750</t>
  </si>
  <si>
    <t>dcbcec78</t>
  </si>
  <si>
    <t>07880ce8</t>
  </si>
  <si>
    <t>RPG - Morango Rafael (11/12/2025) - Morangos</t>
  </si>
  <si>
    <t>01dc5045</t>
  </si>
  <si>
    <t>Notas_Images/6de7eceb.Foto.020706.jpg</t>
  </si>
  <si>
    <t>1091c052</t>
  </si>
  <si>
    <t>f0b44a10</t>
  </si>
  <si>
    <t>bb2af9d6</t>
  </si>
  <si>
    <t>e82ba662</t>
  </si>
  <si>
    <t>SANGRIA MARIANE</t>
  </si>
  <si>
    <t>508ee9be</t>
  </si>
  <si>
    <t>19ede98d</t>
  </si>
  <si>
    <t>4fdc782e</t>
  </si>
  <si>
    <t>kopus (08/12/2025) - Embalagens copo 500ml</t>
  </si>
  <si>
    <t>33866466</t>
  </si>
  <si>
    <t>Notas_Images/e82ba662.Foto.024131.jpg</t>
  </si>
  <si>
    <t>3fdcf203</t>
  </si>
  <si>
    <t>Embalagens copo 500ml</t>
  </si>
  <si>
    <t>a11e611a</t>
  </si>
  <si>
    <t>38fafb62</t>
  </si>
  <si>
    <t>Notas_Images/e82ba662.Foto 1.024131.jpg</t>
  </si>
  <si>
    <t>Notas_Images/e82ba662.Foto 2.024131.jpg</t>
  </si>
  <si>
    <t>01bb1304</t>
  </si>
  <si>
    <t>a4d99ca0</t>
  </si>
  <si>
    <t>622ec56b</t>
  </si>
  <si>
    <t>ce1517b2</t>
  </si>
  <si>
    <t>f3ded506</t>
  </si>
  <si>
    <t>Fruteira da marta (09/12/2025) - FRUTAS</t>
  </si>
  <si>
    <t>d48af231</t>
  </si>
  <si>
    <t>Notas_Images/622ec56b.Foto.025014.jpg</t>
  </si>
  <si>
    <t>655b61f0</t>
  </si>
  <si>
    <t>caixa do dia 16/06/25 marcelo</t>
  </si>
  <si>
    <t>c856367f</t>
  </si>
  <si>
    <t>74129ed6</t>
  </si>
  <si>
    <t>601a2a62</t>
  </si>
  <si>
    <t>422ed216</t>
  </si>
  <si>
    <t>PIZZARIA REDANTES (05/12/2025) - COMEMORAÇÃO ANIVERSARIO MARCELO, 2X DA NOTA</t>
  </si>
  <si>
    <t>46d2f6d2</t>
  </si>
  <si>
    <t>Notas_Images/601a2a62.Foto.223311.jpg</t>
  </si>
  <si>
    <t>COMEMORAÇÃO ANIVERSARIO MARCELO, 2X DA NOTA</t>
  </si>
  <si>
    <t>95d8f908</t>
  </si>
  <si>
    <t>7b42db6c</t>
  </si>
  <si>
    <t>f0667113</t>
  </si>
  <si>
    <t>40ffa00d</t>
  </si>
  <si>
    <t>R$ 750,00</t>
  </si>
  <si>
    <t>7ac5f377</t>
  </si>
  <si>
    <t>segunda parte corremão Marcio 17/06/25</t>
  </si>
  <si>
    <t>CN comércio de utilidades (13/12/2025) - CAIXA ORGANIZADORA PARA FRUTAS GELADEIRA</t>
  </si>
  <si>
    <t>Notas_Images/f0667113.Foto.225205.jpg</t>
  </si>
  <si>
    <t>CAIXA ORGANIZADORA PARA FRUTAS GELADEIRA</t>
  </si>
  <si>
    <t>c4e439a6</t>
  </si>
  <si>
    <t>ff907cea</t>
  </si>
  <si>
    <t>3f9fb4f8</t>
  </si>
  <si>
    <t>16ab9137</t>
  </si>
  <si>
    <t>a4679362</t>
  </si>
  <si>
    <t>8ec82a6a</t>
  </si>
  <si>
    <t>8c3297bb</t>
  </si>
  <si>
    <t>Free-lancer Emanuele Gonçalves (13/12/2025) - PGTO freelancer Emanuele</t>
  </si>
  <si>
    <t>Notas_Images/a4679362.Foto.025146.jpg</t>
  </si>
  <si>
    <t>d8d082f0</t>
  </si>
  <si>
    <t>92be8869</t>
  </si>
  <si>
    <t>R$ 289,00</t>
  </si>
  <si>
    <t>materiais de construção cano dos frezers</t>
  </si>
  <si>
    <t>4fcd1e81</t>
  </si>
  <si>
    <t>Free-lancer Emanuele Gonçalves (14/12/2025) - PGTO FREE-LANCER EMANUELE</t>
  </si>
  <si>
    <t>f5a718d8</t>
  </si>
  <si>
    <t>Notas_Images/98316648.Foto.024635.jpg</t>
  </si>
  <si>
    <t>973bd208</t>
  </si>
  <si>
    <t>e358674f</t>
  </si>
  <si>
    <t>b4c9a2b3</t>
  </si>
  <si>
    <t>8f2364b7</t>
  </si>
  <si>
    <t>504a0d6d</t>
  </si>
  <si>
    <t>Fruteira da marta (14/12/2025) - FRUTAS</t>
  </si>
  <si>
    <t>Notas_Images/e358674f.Foto.025130.jpg</t>
  </si>
  <si>
    <t>95435f1e</t>
  </si>
  <si>
    <t>fc373422</t>
  </si>
  <si>
    <t>R$ 30,00</t>
  </si>
  <si>
    <t>impressao fondue</t>
  </si>
  <si>
    <t>88933841</t>
  </si>
  <si>
    <t>beaac2ee</t>
  </si>
  <si>
    <t>0e98b5ce</t>
  </si>
  <si>
    <t>212c9662</t>
  </si>
  <si>
    <t>RPG - Morango Rafael (15/12/2025) - Morangos</t>
  </si>
  <si>
    <t>Notas_Images/beaac2ee.Foto.161211.jpg</t>
  </si>
  <si>
    <t>18ece10a</t>
  </si>
  <si>
    <t>e990e4e8</t>
  </si>
  <si>
    <t>0f347667</t>
  </si>
  <si>
    <t>a4ebe4d0</t>
  </si>
  <si>
    <t>Coper campos (15/12/2025) - PANETONE CAMPANHA E FRUTAS</t>
  </si>
  <si>
    <t>Notas_Images/0f347667.Foto.161608.jpg</t>
  </si>
  <si>
    <t>babd4ea4</t>
  </si>
  <si>
    <t>R$ 398,23</t>
  </si>
  <si>
    <t>PANETONE CAMPANHA E FRUTAS</t>
  </si>
  <si>
    <t>7c39965a</t>
  </si>
  <si>
    <t>b8c41f0a</t>
  </si>
  <si>
    <t>fb569c27</t>
  </si>
  <si>
    <t>60c00f9c</t>
  </si>
  <si>
    <t>Reembolso (15/12/2025) - Reembolso Marcelo</t>
  </si>
  <si>
    <t>Notas_Images/fb569c27.Foto.015003.jpg</t>
  </si>
  <si>
    <t>Reembolso Marcelo</t>
  </si>
  <si>
    <t>864bbc84</t>
  </si>
  <si>
    <t>1797cc76</t>
  </si>
  <si>
    <t>0481cdb3</t>
  </si>
  <si>
    <t>9a3f46e2</t>
  </si>
  <si>
    <t>Coper campos (16/12/2025) - CAFE FUNCIONARIOS</t>
  </si>
  <si>
    <t>Notas_Images/0481cdb3.Foto.022249.jpg</t>
  </si>
  <si>
    <t>2c67f197</t>
  </si>
  <si>
    <t>56850d34</t>
  </si>
  <si>
    <t>bcdbb086</t>
  </si>
  <si>
    <t>c5cbbcfa</t>
  </si>
  <si>
    <t>ee6e30c9</t>
  </si>
  <si>
    <t>111c98d1</t>
  </si>
  <si>
    <t>e72587c7</t>
  </si>
  <si>
    <t>RPG - Morango Rafael (18/12/2025) - Morangos</t>
  </si>
  <si>
    <t>Notas_Images/ee6e30c9.Foto.213554.jpg</t>
  </si>
  <si>
    <t>17966b96</t>
  </si>
  <si>
    <t>5b4ca261</t>
  </si>
  <si>
    <t>material de construção hidometro</t>
  </si>
  <si>
    <t>40a5bc2d</t>
  </si>
  <si>
    <t>0578ffc6</t>
  </si>
  <si>
    <t>1f74b0a1</t>
  </si>
  <si>
    <t>f28b9ae6</t>
  </si>
  <si>
    <t>Morango seu kinho (18/12/2025) - Morangos</t>
  </si>
  <si>
    <t>2fecc775</t>
  </si>
  <si>
    <t>Notas_Images/0578ffc6.Foto.214438.jpg</t>
  </si>
  <si>
    <t>9a65bb12</t>
  </si>
  <si>
    <t>e39a81d2</t>
  </si>
  <si>
    <t>57302df7</t>
  </si>
  <si>
    <t>deefa73b</t>
  </si>
  <si>
    <t>cc0e68be</t>
  </si>
  <si>
    <t>e5bf34cb</t>
  </si>
  <si>
    <t>9e476ca0</t>
  </si>
  <si>
    <t>e578f2d5</t>
  </si>
  <si>
    <t>36abda44</t>
  </si>
  <si>
    <t>Morango seu kinho (16/12/2025) - Morangos</t>
  </si>
  <si>
    <t>0bc9a7ed</t>
  </si>
  <si>
    <t>Notas_Images/9e476ca0.Foto.214625.jpg</t>
  </si>
  <si>
    <t>b090ab4b</t>
  </si>
  <si>
    <t>f66a7bf5</t>
  </si>
  <si>
    <t>troca chaleira eletrica, pego outra marca, 100,00 mais caro electrolux</t>
  </si>
  <si>
    <t>7169ade0</t>
  </si>
  <si>
    <t>49e7983e</t>
  </si>
  <si>
    <t>ac9b223c</t>
  </si>
  <si>
    <t>c2540110</t>
  </si>
  <si>
    <t>81b75022</t>
  </si>
  <si>
    <t>eb2bdff5</t>
  </si>
  <si>
    <t>2faecd22</t>
  </si>
  <si>
    <t>68e41e95</t>
  </si>
  <si>
    <t>Coper campos (18/12/2025) - Frutas</t>
  </si>
  <si>
    <t>Notas_Images/81b75022.Foto.215446.jpg</t>
  </si>
  <si>
    <t>f0f14401</t>
  </si>
  <si>
    <t>e89bbb96</t>
  </si>
  <si>
    <t>184ab2ec</t>
  </si>
  <si>
    <t>aced5a86</t>
  </si>
  <si>
    <t>053a983b</t>
  </si>
  <si>
    <t>3cb9192b</t>
  </si>
  <si>
    <t>R$ 17,23</t>
  </si>
  <si>
    <t>4a619811</t>
  </si>
  <si>
    <t>dinheiro do caixa anterior</t>
  </si>
  <si>
    <t>356bc31b</t>
  </si>
  <si>
    <t>361b440c</t>
  </si>
  <si>
    <t>Donna Faxina (16/12/2025) - Produtos de limpeza</t>
  </si>
  <si>
    <t>Notas_Images/356bc31b.Foto.222448.jpg</t>
  </si>
  <si>
    <t>bafb7bb8</t>
  </si>
  <si>
    <t>4fcc729b</t>
  </si>
  <si>
    <t>087479d1</t>
  </si>
  <si>
    <t>ab203396</t>
  </si>
  <si>
    <t>fd3cb307</t>
  </si>
  <si>
    <t>FO-BRAN BEBIDAS (17/12/2025) - Bebidas</t>
  </si>
  <si>
    <t>ed21f12f</t>
  </si>
  <si>
    <t>Notas_Images/ab203396.Foto.223035.jpg</t>
  </si>
  <si>
    <t>1dd82273</t>
  </si>
  <si>
    <t>CALHA VEDA CORTANTE PAREDE LATERAL</t>
  </si>
  <si>
    <t>Notas_Images/ab203396.Foto 1.223035.jpg</t>
  </si>
  <si>
    <t>54598f05</t>
  </si>
  <si>
    <t>16397aff</t>
  </si>
  <si>
    <t>b364dbe5</t>
  </si>
  <si>
    <t>f2710f67</t>
  </si>
  <si>
    <t>d87c0153</t>
  </si>
  <si>
    <t>Amadelli (15/12/2025) - Estoque seco</t>
  </si>
  <si>
    <t>Notas_Images/f2710f67.Foto.223656.jpg</t>
  </si>
  <si>
    <t>e255ccd6</t>
  </si>
  <si>
    <t>cd4e2d07</t>
  </si>
  <si>
    <t>Notas_Images/f2710f67.Foto 1.223657.jpg</t>
  </si>
  <si>
    <t>91fa284b</t>
  </si>
  <si>
    <t>Notas_Images/f2710f67.Foto 2.223657.jpg</t>
  </si>
  <si>
    <t>Notas_Images/f2710f67.Foto 3.223701.jpg</t>
  </si>
  <si>
    <t>355243ef</t>
  </si>
  <si>
    <t>faaa8532</t>
  </si>
  <si>
    <t>03566c0f</t>
  </si>
  <si>
    <t>Fruteira da marta (19/12/2025) - Frutas</t>
  </si>
  <si>
    <t>554cb742</t>
  </si>
  <si>
    <t>Notas_Images/faaa8532.Foto.224649.jpg</t>
  </si>
  <si>
    <t>R$ 14,99</t>
  </si>
  <si>
    <t>184a88d3</t>
  </si>
  <si>
    <t>d611ba28</t>
  </si>
  <si>
    <t>PAO FRANCES</t>
  </si>
  <si>
    <t>f7e5c04d</t>
  </si>
  <si>
    <t>1815f3a8</t>
  </si>
  <si>
    <t>c935908c</t>
  </si>
  <si>
    <t>ProFood (18/12/2025) - Embalagens copos 3 boletos boleto</t>
  </si>
  <si>
    <t>18cea5cf</t>
  </si>
  <si>
    <t>Notas_Images/f7e5c04d.Foto.231419.jpg</t>
  </si>
  <si>
    <t>Embalagens copos 3 boletos boleto</t>
  </si>
  <si>
    <t>ab4b3423</t>
  </si>
  <si>
    <t>f4c9c2d4</t>
  </si>
  <si>
    <t>6d99c73c</t>
  </si>
  <si>
    <t>Superviza Supermercado (21/12/2025) - Panetone campanha</t>
  </si>
  <si>
    <t>Notas_Images/f4c9c2d4.Foto.015433.jpg</t>
  </si>
  <si>
    <t>Panetone campanha</t>
  </si>
  <si>
    <t>97b54922</t>
  </si>
  <si>
    <t>316781af</t>
  </si>
  <si>
    <t>8b77c936</t>
  </si>
  <si>
    <t>6dade407</t>
  </si>
  <si>
    <t>1afcc094</t>
  </si>
  <si>
    <t>87b2e4a1</t>
  </si>
  <si>
    <t>c94e7e95</t>
  </si>
  <si>
    <t>Copercampos atacadista (21/12/2025) - Cafe funcionários</t>
  </si>
  <si>
    <t>Notas_Images/6dade407.Foto.015710.jpg</t>
  </si>
  <si>
    <t>b3da5a71</t>
  </si>
  <si>
    <t>85fec844</t>
  </si>
  <si>
    <t>a0c3da3a</t>
  </si>
  <si>
    <t>85b12fd9</t>
  </si>
  <si>
    <t>95d34c04</t>
  </si>
  <si>
    <t>06362f12</t>
  </si>
  <si>
    <t>5bbebd8f</t>
  </si>
  <si>
    <t>37df6ffe</t>
  </si>
  <si>
    <t>eeb6a2e3</t>
  </si>
  <si>
    <t>7c3a26ea</t>
  </si>
  <si>
    <t>47c046ea</t>
  </si>
  <si>
    <t>Fruteira da marta (20/12/2025) - FRUTAS</t>
  </si>
  <si>
    <t>d879982f</t>
  </si>
  <si>
    <t>6791a76f</t>
  </si>
  <si>
    <t>R$ 39,98</t>
  </si>
  <si>
    <t>Notas_Images/37df6ffe.Foto.020258.jpg</t>
  </si>
  <si>
    <t>quadro para alvara</t>
  </si>
  <si>
    <t>42d82182</t>
  </si>
  <si>
    <t>0ca15ee7</t>
  </si>
  <si>
    <t>3bf55bee</t>
  </si>
  <si>
    <t>8f90293f</t>
  </si>
  <si>
    <t>PIZZARIA REDANTES (18/12/2025) - COMEMORAÇÃO ANIVERSARIO WILLIAN</t>
  </si>
  <si>
    <t>Notas_Images/3bf55bee.Foto.021430.jpg</t>
  </si>
  <si>
    <t>49181873</t>
  </si>
  <si>
    <t>COMEMORAÇÃO ANIVERSARIO WILLIAN</t>
  </si>
  <si>
    <t>4b9607ae</t>
  </si>
  <si>
    <t>021bcbee</t>
  </si>
  <si>
    <t>R$ 2,25</t>
  </si>
  <si>
    <t>alvara</t>
  </si>
  <si>
    <t>a53afd01</t>
  </si>
  <si>
    <t>30498657</t>
  </si>
  <si>
    <t>Free-lancer Emanuele Gonçalves (21/12/2025) - Pgto Free-lancer Emanuele</t>
  </si>
  <si>
    <t>Notas_Images/021bcbee.Foto.023631.jpg</t>
  </si>
  <si>
    <t>f716c51d</t>
  </si>
  <si>
    <t>37c49cef</t>
  </si>
  <si>
    <t>2e887f85</t>
  </si>
  <si>
    <t>107b5a7c</t>
  </si>
  <si>
    <t>b785e006</t>
  </si>
  <si>
    <t>Fruteira da marta (22/12/2025) - Frutas</t>
  </si>
  <si>
    <t>5d8dc08a</t>
  </si>
  <si>
    <t>Notas_Images/2e887f85.Foto.221635.jpg</t>
  </si>
  <si>
    <t>b7b7d439</t>
  </si>
  <si>
    <t>da25ae7c</t>
  </si>
  <si>
    <t>fcf42ea7</t>
  </si>
  <si>
    <t>4b72b585</t>
  </si>
  <si>
    <t>21b9eb6d</t>
  </si>
  <si>
    <t>c9a82719</t>
  </si>
  <si>
    <t>RPG - Morango Rafael (22/12/2025) - Morangos</t>
  </si>
  <si>
    <t>15d66ab5</t>
  </si>
  <si>
    <t>e738e9e3</t>
  </si>
  <si>
    <t>Notas_Images/21b9eb6d.Foto.223734.jpg</t>
  </si>
  <si>
    <t>7eb06e81</t>
  </si>
  <si>
    <t>96986612</t>
  </si>
  <si>
    <t>07faf816</t>
  </si>
  <si>
    <t>6dd73808</t>
  </si>
  <si>
    <t>5633aa93</t>
  </si>
  <si>
    <t>9280bda1</t>
  </si>
  <si>
    <t>b61d33b8</t>
  </si>
  <si>
    <t>42bcb348</t>
  </si>
  <si>
    <t>FO-BRAN BEBIDAS (22/12/2025) - Bebidas</t>
  </si>
  <si>
    <t>8e0d603b</t>
  </si>
  <si>
    <t>d02f8d79</t>
  </si>
  <si>
    <t>Notas_Images/9280bda1.Foto.224043.jpg</t>
  </si>
  <si>
    <t>1ed37858</t>
  </si>
  <si>
    <t>cb11d00c</t>
  </si>
  <si>
    <t>41a41ca2</t>
  </si>
  <si>
    <t>8a87fb8b</t>
  </si>
  <si>
    <t>3e92df9a</t>
  </si>
  <si>
    <t>ff24b02e</t>
  </si>
  <si>
    <t>16f1598b</t>
  </si>
  <si>
    <t>ada11047</t>
  </si>
  <si>
    <t>d9d928ec</t>
  </si>
  <si>
    <t>e4f26ef8</t>
  </si>
  <si>
    <t>2de0b9ba</t>
  </si>
  <si>
    <t>92c0ef76</t>
  </si>
  <si>
    <t>Notas_Images/d9d928ec.Foto.224857.jpg</t>
  </si>
  <si>
    <t>9b805ef4</t>
  </si>
  <si>
    <t>Notas_Images/d9d928ec.Foto 1.224857.jpg</t>
  </si>
  <si>
    <t>7fd40ec3</t>
  </si>
  <si>
    <t>1dc50ac5</t>
  </si>
  <si>
    <t>bc858bef</t>
  </si>
  <si>
    <t>ce03576f</t>
  </si>
  <si>
    <t>a24b7936</t>
  </si>
  <si>
    <t>7447b918</t>
  </si>
  <si>
    <t>8d0db315</t>
  </si>
  <si>
    <t>Morango seu kinho (26/12/2025) - Morangos</t>
  </si>
  <si>
    <t>e66568e0</t>
  </si>
  <si>
    <t>d83022ff</t>
  </si>
  <si>
    <t>Notas_Images/a24b7936.Foto.184958.jpg</t>
  </si>
  <si>
    <t>1a6d8f4f</t>
  </si>
  <si>
    <t>b433a473</t>
  </si>
  <si>
    <t>b9c77ed7</t>
  </si>
  <si>
    <t>421e3c2a</t>
  </si>
  <si>
    <t>3b763d04</t>
  </si>
  <si>
    <t>153cac9c</t>
  </si>
  <si>
    <t>9b12a915</t>
  </si>
  <si>
    <t>Morango seu kinho (26/12/2025) - morangos</t>
  </si>
  <si>
    <t>Notas_Images/3b763d04.Foto.185203.jpg</t>
  </si>
  <si>
    <t>morangos</t>
  </si>
  <si>
    <t>4165fe60</t>
  </si>
  <si>
    <t>bdd7c74d</t>
  </si>
  <si>
    <t>8900b0d3</t>
  </si>
  <si>
    <t>e289cf64</t>
  </si>
  <si>
    <t>874708b4</t>
  </si>
  <si>
    <t>2ca9a498</t>
  </si>
  <si>
    <t>Coper campos (26/12/2025) - Cafe funcionários</t>
  </si>
  <si>
    <t>56d7307e</t>
  </si>
  <si>
    <t>Notas_Images/e289cf64.Foto.203239.jpg</t>
  </si>
  <si>
    <t>9c023e50</t>
  </si>
  <si>
    <t>b39dff11</t>
  </si>
  <si>
    <t>4b8aae15</t>
  </si>
  <si>
    <t>bf05a327</t>
  </si>
  <si>
    <t>4a467600</t>
  </si>
  <si>
    <t>bf041823</t>
  </si>
  <si>
    <t>25599fe2</t>
  </si>
  <si>
    <t>Fruteira da marta (26/12/2025) - Frutas</t>
  </si>
  <si>
    <t>Notas_Images/4a467600.Foto.010121.jpg</t>
  </si>
  <si>
    <t>5760c4a8</t>
  </si>
  <si>
    <t>cfafc879</t>
  </si>
  <si>
    <t>f098b7c2</t>
  </si>
  <si>
    <t>73c574e7</t>
  </si>
  <si>
    <t>ef2c6fa5</t>
  </si>
  <si>
    <t>4eaff72b</t>
  </si>
  <si>
    <t>Superviza Supermercado (27/12/2025) - Panetone campanha</t>
  </si>
  <si>
    <t>Notas_Images/73c574e7.Foto.014839.jpg</t>
  </si>
  <si>
    <t>aa2d0696</t>
  </si>
  <si>
    <t>d105bdd4</t>
  </si>
  <si>
    <t>644e8c7c</t>
  </si>
  <si>
    <t>dadc2c20</t>
  </si>
  <si>
    <t>9542a5a7</t>
  </si>
  <si>
    <t>c2f25da8</t>
  </si>
  <si>
    <t>ae330bdb</t>
  </si>
  <si>
    <t>e73b8cf2</t>
  </si>
  <si>
    <t>34a47293</t>
  </si>
  <si>
    <t>9123ba3d</t>
  </si>
  <si>
    <t>LM comércio e distribuidora de utilidades Ltda (27/12/2025) - Materiais de cozinha</t>
  </si>
  <si>
    <t>0cd48d2d</t>
  </si>
  <si>
    <t>d2244414</t>
  </si>
  <si>
    <t>Notas_Images/e73b8cf2.Foto.015300.jpg</t>
  </si>
  <si>
    <t>44f94867</t>
  </si>
  <si>
    <t>0f8e8437</t>
  </si>
  <si>
    <t>488e732d</t>
  </si>
  <si>
    <t>47871526</t>
  </si>
  <si>
    <t>c587e251</t>
  </si>
  <si>
    <t>5a18171f</t>
  </si>
  <si>
    <t>f2ce3627</t>
  </si>
  <si>
    <t>LM comércio e distribuidora de utilidades Ltda (27/12/2025) - Embalagens</t>
  </si>
  <si>
    <t>c2850cf4</t>
  </si>
  <si>
    <t>Notas_Images/5a18171f.Foto.020604.jpg</t>
  </si>
  <si>
    <t>f778daa3</t>
  </si>
  <si>
    <t>181cb2c4</t>
  </si>
  <si>
    <t>5700554f</t>
  </si>
  <si>
    <t>9af9b38f</t>
  </si>
  <si>
    <t>3609d8a9</t>
  </si>
  <si>
    <t>f9ab9d77</t>
  </si>
  <si>
    <t>Reembolso (27/12/2025) - Reembolso - Panetone campanha natal</t>
  </si>
  <si>
    <t>Notas_Images/3609d8a9.Foto.024337.jpg</t>
  </si>
  <si>
    <t>69f9bff8</t>
  </si>
  <si>
    <t>Reembolso - Panetone campanha natal</t>
  </si>
  <si>
    <t>002f6eb4</t>
  </si>
  <si>
    <t>9a906ee5</t>
  </si>
  <si>
    <t>d4472611</t>
  </si>
  <si>
    <t>d89d8cbe</t>
  </si>
  <si>
    <t>fa7495c2</t>
  </si>
  <si>
    <t>Free-lancer Emanuele Gonçalves (28/12/2025) - Pgto Free-lancer Emanuele</t>
  </si>
  <si>
    <t>68794f5d</t>
  </si>
  <si>
    <t>Notas_Images/d89d8cbe.Foto.023944.jpg</t>
  </si>
  <si>
    <t>e24358d9</t>
  </si>
  <si>
    <t>c2f6db00</t>
  </si>
  <si>
    <t>0c9bb06b</t>
  </si>
  <si>
    <t>17ee037c</t>
  </si>
  <si>
    <t>e70c2be3</t>
  </si>
  <si>
    <t>Amadelli (22/12/2025) - Estoque gelado</t>
  </si>
  <si>
    <t>0a36ffd3</t>
  </si>
  <si>
    <t>Notas_Images/17ee037c.Foto.220030.jpg</t>
  </si>
  <si>
    <t>61aaea72</t>
  </si>
  <si>
    <t>a220cdab</t>
  </si>
  <si>
    <t>Notas_Images/17ee037c.Foto 1.220030.jpg</t>
  </si>
  <si>
    <t>6cc8eff5</t>
  </si>
  <si>
    <t>Notas_Images/17ee037c.Foto 2.220030.jpg</t>
  </si>
  <si>
    <t>87d024e4</t>
  </si>
  <si>
    <t>21be2b66</t>
  </si>
  <si>
    <t>980c3cc0</t>
  </si>
  <si>
    <t>8385188a</t>
  </si>
  <si>
    <t>RPG - Morango Rafael (29/12/2025) - Morangos</t>
  </si>
  <si>
    <t>Notas_Images/21be2b66.Foto.221914.jpg</t>
  </si>
  <si>
    <t>a9c928fb</t>
  </si>
  <si>
    <t>01b544f7</t>
  </si>
  <si>
    <t>bbf730b2</t>
  </si>
  <si>
    <t>882f0a16</t>
  </si>
  <si>
    <t>cabf816a</t>
  </si>
  <si>
    <t>aaa6619f</t>
  </si>
  <si>
    <t>Coper campos (30/12/2025) - Frutas e café funcionários</t>
  </si>
  <si>
    <t>4614d265</t>
  </si>
  <si>
    <t>Notas_Images/882f0a16.Foto.214324.jpg</t>
  </si>
  <si>
    <t>2b121340</t>
  </si>
  <si>
    <t>20163002</t>
  </si>
  <si>
    <t>92cb80c7</t>
  </si>
  <si>
    <t>0eb99636</t>
  </si>
  <si>
    <t>5ea9c962</t>
  </si>
  <si>
    <t>44ff151f</t>
  </si>
  <si>
    <t>LM comércio e distribuidora de utilidades Ltda (30/12/2025) - Materiais  cozinha</t>
  </si>
  <si>
    <t>246c610b</t>
  </si>
  <si>
    <t>Notas_Images/5ea9c962.Foto.214452.jpg</t>
  </si>
  <si>
    <t>cd312d10</t>
  </si>
  <si>
    <t>Materiais  cozinha</t>
  </si>
  <si>
    <t>9bad9ecf</t>
  </si>
  <si>
    <t>c83b11db</t>
  </si>
  <si>
    <t>1c0c58e4</t>
  </si>
  <si>
    <t>138a9232</t>
  </si>
  <si>
    <t>1df1efb7</t>
  </si>
  <si>
    <t>e20f9bad</t>
  </si>
  <si>
    <t>dfbb9dc9</t>
  </si>
  <si>
    <t>1eb8d462</t>
  </si>
  <si>
    <t>Emporium Kiko mais (30/12/2025) - Materiais cozinha e decoração</t>
  </si>
  <si>
    <t>Notas_Images/e20f9bad.Foto.214814.jpg</t>
  </si>
  <si>
    <t>Materiais cozinha e decoração</t>
  </si>
  <si>
    <t>dabdd239</t>
  </si>
  <si>
    <t>6b91ac3f</t>
  </si>
  <si>
    <t>286955ca</t>
  </si>
  <si>
    <t>8efca140</t>
  </si>
  <si>
    <t>bdc277b9</t>
  </si>
  <si>
    <t>TREKOS INCADERNAÇÕES (30/12/2025) - Impressão</t>
  </si>
  <si>
    <t>f27f3d4d</t>
  </si>
  <si>
    <t>Notas_Images/6b91ac3f.Foto.215141.jpg</t>
  </si>
  <si>
    <t>a544468d</t>
  </si>
  <si>
    <t>Impressão</t>
  </si>
  <si>
    <t>76defe7c</t>
  </si>
  <si>
    <t>1f387f15</t>
  </si>
  <si>
    <t>249de9eb</t>
  </si>
  <si>
    <t>58941e7f</t>
  </si>
  <si>
    <t>RPG - Morango Rafael (02/01/2026) - Morangos</t>
  </si>
  <si>
    <t>Notas_Images/6ff7ce63.Foto.221224.jpg</t>
  </si>
  <si>
    <t>4017ccc1</t>
  </si>
  <si>
    <t>d765f82a</t>
  </si>
  <si>
    <t>e5d30888</t>
  </si>
  <si>
    <t>d1f050ec</t>
  </si>
  <si>
    <t>6199fdb0</t>
  </si>
  <si>
    <t>Morango seu kinho (02/01/2026) - Morangos</t>
  </si>
  <si>
    <t>7c7ae980</t>
  </si>
  <si>
    <t>Notas_Images/88a3e93b.Foto.221505.jpg</t>
  </si>
  <si>
    <t>21e2f474</t>
  </si>
  <si>
    <t>670b4e74</t>
  </si>
  <si>
    <t>0105c313</t>
  </si>
  <si>
    <t>b2e2a3cb</t>
  </si>
  <si>
    <t>d05e88bb</t>
  </si>
  <si>
    <t>Fruteira da marta (02/01/2026) - Frutas</t>
  </si>
  <si>
    <t>27abd463</t>
  </si>
  <si>
    <t>Notas_Images/6d51e667.Foto.221731.jpg</t>
  </si>
  <si>
    <t>987aad9c</t>
  </si>
  <si>
    <t>04d7e905</t>
  </si>
  <si>
    <t>1c76a53b</t>
  </si>
  <si>
    <t>a727e42d</t>
  </si>
  <si>
    <t>0011d1f6</t>
  </si>
  <si>
    <t>a1ed004d</t>
  </si>
  <si>
    <t>851c140b</t>
  </si>
  <si>
    <t>627e0bd4</t>
  </si>
  <si>
    <t>LM comércio e distribuidora de utilidades Ltda (06/01/2026) - Limpeza loja</t>
  </si>
  <si>
    <t>Notas_Images/e314c4d2.Foto.220838.jpg</t>
  </si>
  <si>
    <t>Limpeza loja</t>
  </si>
  <si>
    <t>81eb307d</t>
  </si>
  <si>
    <t>89c4ddc7</t>
  </si>
  <si>
    <t>Fruteira da marta (06/01/2026) - Frutas</t>
  </si>
  <si>
    <t>Notas_Images/a2a15095.Foto.221048.jpg</t>
  </si>
  <si>
    <t>f7a3703b</t>
  </si>
  <si>
    <t>4d4f3916</t>
  </si>
  <si>
    <t>bf9df652</t>
  </si>
  <si>
    <t>FO-BRAN BEBIDAS (05/01/2026) - Bebidas</t>
  </si>
  <si>
    <t>Notas_Images/3439a330.Foto.222205.jpg</t>
  </si>
  <si>
    <t>0b438be1</t>
  </si>
  <si>
    <t>8e39fac1</t>
  </si>
  <si>
    <t>cc83df12</t>
  </si>
  <si>
    <t>Coper campos (04/01/2026) - Cafe funcionários</t>
  </si>
  <si>
    <t>Notas_Images/97e118ec.Foto.222548.jpg</t>
  </si>
  <si>
    <t>3b4d53c0</t>
  </si>
  <si>
    <t>ee5da8c3</t>
  </si>
  <si>
    <t>882a7ac5</t>
  </si>
  <si>
    <t>bf385a3e</t>
  </si>
  <si>
    <t>0fcd9391</t>
  </si>
  <si>
    <t>Superviza Supermercado (04/01/2026) - Bebidas</t>
  </si>
  <si>
    <t>Notas_Images/203b2499.Foto.222653.jpg</t>
  </si>
  <si>
    <t>306db905</t>
  </si>
  <si>
    <t>c3afcad2</t>
  </si>
  <si>
    <t>90ce6259</t>
  </si>
  <si>
    <t>5e3b9cef</t>
  </si>
  <si>
    <t>7a9daa6c</t>
  </si>
  <si>
    <t>Notas_Images/b9005504.Foto.222814.jpg</t>
  </si>
  <si>
    <t>013706b5</t>
  </si>
  <si>
    <t>c0bc3055</t>
  </si>
  <si>
    <t>6fad627e</t>
  </si>
  <si>
    <t>294c7e76</t>
  </si>
  <si>
    <t>Free-lancer Emanuele Gonçalves (04/01/2026) - Free-lancer Emanuele</t>
  </si>
  <si>
    <t>a7a7763c</t>
  </si>
  <si>
    <t>Notas_Images/9bbb1009.Foto.223308.jpg</t>
  </si>
  <si>
    <t>3639979a</t>
  </si>
  <si>
    <t>157e8ff6</t>
  </si>
  <si>
    <t>567e5f8f</t>
  </si>
  <si>
    <t>102c60ad</t>
  </si>
  <si>
    <t>023c0207</t>
  </si>
  <si>
    <t>Notas_Images/b043f25c.Foto.223416.jpg</t>
  </si>
  <si>
    <t>29856f49</t>
  </si>
  <si>
    <t>fddffcdb</t>
  </si>
  <si>
    <t>0a8ebfb7</t>
  </si>
  <si>
    <t>0659c775</t>
  </si>
  <si>
    <t>ab088c82</t>
  </si>
  <si>
    <t>Free-lancer Willian Fonseca (04/01/2026) - Free-lancer Willian</t>
  </si>
  <si>
    <t>97ae2b4c</t>
  </si>
  <si>
    <t>Notas_Images/15838b06.Foto.223707.jpg</t>
  </si>
  <si>
    <t>c79ebc63</t>
  </si>
  <si>
    <t>0eb2b2bc</t>
  </si>
  <si>
    <t>609b0a1b</t>
  </si>
  <si>
    <t>acf326c6</t>
  </si>
  <si>
    <t>3cc89aa9</t>
  </si>
  <si>
    <t>99bc610e</t>
  </si>
  <si>
    <t>SAMAE (01/01/2026) - Fatura de água 01/2026</t>
  </si>
  <si>
    <t>b0aa24be</t>
  </si>
  <si>
    <t>Notas_Images/1c1fa45f.Foto.225900.jpg</t>
  </si>
  <si>
    <t>Fatura de água 01/2026</t>
  </si>
  <si>
    <t>137ca6eb</t>
  </si>
  <si>
    <t>020244a6</t>
  </si>
  <si>
    <t>4a9fa8ad</t>
  </si>
  <si>
    <t>e96bf0e0</t>
  </si>
  <si>
    <t>cdf372ce</t>
  </si>
  <si>
    <t>LM comércio e distribuidora de utilidades Ltda (07/01/2026) - Limpeza loja</t>
  </si>
  <si>
    <t>3dbb25ed</t>
  </si>
  <si>
    <t>Notas_Images/ac723019.Foto.164113.jpg</t>
  </si>
  <si>
    <t>7d97664b</t>
  </si>
  <si>
    <t>d818145a</t>
  </si>
  <si>
    <t>6d23a906</t>
  </si>
  <si>
    <t>b3624782</t>
  </si>
  <si>
    <t>9cb60538</t>
  </si>
  <si>
    <t>89255fae</t>
  </si>
  <si>
    <t>RPG - Morango Rafael (07/01/2026) - Morangos</t>
  </si>
  <si>
    <t>Notas_Images/10de4096.Foto.165201.jpg</t>
  </si>
  <si>
    <t>ddc2b138</t>
  </si>
  <si>
    <t>26f4ca66</t>
  </si>
  <si>
    <t>454f4f37</t>
  </si>
  <si>
    <t>2f755382</t>
  </si>
  <si>
    <t>c95761d0</t>
  </si>
  <si>
    <t>ceaee530</t>
  </si>
  <si>
    <t>f72af549</t>
  </si>
  <si>
    <t>Coper campos (07/01/2026) - Cafe funcionários</t>
  </si>
  <si>
    <t>Notas_Images/eb17b4e3.Foto.233454.jpg</t>
  </si>
  <si>
    <t>5ba32683</t>
  </si>
  <si>
    <t>98324fa8</t>
  </si>
  <si>
    <t>920edcaf</t>
  </si>
  <si>
    <t>69ef876f</t>
  </si>
  <si>
    <t>b2035c29</t>
  </si>
  <si>
    <t>fdd8cb96</t>
  </si>
  <si>
    <t>91779f51</t>
  </si>
  <si>
    <t>cc60a046</t>
  </si>
  <si>
    <t>3fa81e0f</t>
  </si>
  <si>
    <t>74cd5fb5</t>
  </si>
  <si>
    <t>bf9efb24</t>
  </si>
  <si>
    <t>0e7592d7</t>
  </si>
  <si>
    <t>19c0f2c1</t>
  </si>
  <si>
    <t>1db2aed0</t>
  </si>
  <si>
    <t>146a42f3</t>
  </si>
  <si>
    <t>57bae66d</t>
  </si>
  <si>
    <t>63843613</t>
  </si>
  <si>
    <t>Donna Faxina (08/01/2026) - Produtos de limpeza</t>
  </si>
  <si>
    <t>dcc4987b</t>
  </si>
  <si>
    <t>8993c7b9</t>
  </si>
  <si>
    <t>Notas_Images/9ce602f9.Foto.225135.jpg</t>
  </si>
  <si>
    <t>73e2f006</t>
  </si>
  <si>
    <t>d89bbc68</t>
  </si>
  <si>
    <t>fdc609ab</t>
  </si>
  <si>
    <t>c451626b</t>
  </si>
  <si>
    <t>b2ccaa3d</t>
  </si>
  <si>
    <t>645bcb3c</t>
  </si>
  <si>
    <t>bef44204</t>
  </si>
  <si>
    <t>40ab0e9d</t>
  </si>
  <si>
    <t>da9c1568</t>
  </si>
  <si>
    <t>343b47be</t>
  </si>
  <si>
    <t>a4414290</t>
  </si>
  <si>
    <t>1d4e582b</t>
  </si>
  <si>
    <t>6ba25b1c</t>
  </si>
  <si>
    <t>Morango seu kinho (08/01/2026) - Morangos</t>
  </si>
  <si>
    <t>5523a9b7</t>
  </si>
  <si>
    <t>Notas_Images/667afbcb.Foto.010516.jpg</t>
  </si>
  <si>
    <t>a60cac73</t>
  </si>
  <si>
    <t>926d8dbe</t>
  </si>
  <si>
    <t>bda99e71</t>
  </si>
  <si>
    <t>f8a5fdd9</t>
  </si>
  <si>
    <t>dbc6279d</t>
  </si>
  <si>
    <t>Coper campos (09/01/2026) - Frutas</t>
  </si>
  <si>
    <t>dadeab4b</t>
  </si>
  <si>
    <t>Notas_Images/adc3604b.Foto.015856.jpg</t>
  </si>
  <si>
    <t>10b6c3f57-A</t>
  </si>
  <si>
    <t>10b6c3f57</t>
  </si>
  <si>
    <t>1900-A</t>
  </si>
  <si>
    <t>1901-A</t>
  </si>
  <si>
    <t>1902-A</t>
  </si>
  <si>
    <t>Donna Faxina (09/01/2026) - Produtos de limpeza</t>
  </si>
  <si>
    <t>1903-A</t>
  </si>
  <si>
    <t>Notas_Images/b5a6b53a.Foto.021108.jpg</t>
  </si>
  <si>
    <t>18ccdcdd8-A</t>
  </si>
  <si>
    <t>18ccdcdd8</t>
  </si>
  <si>
    <t>1aa74455b-A</t>
  </si>
  <si>
    <t>1aa74455b</t>
  </si>
  <si>
    <t>1daaeb9a4-A</t>
  </si>
  <si>
    <t>1daaeb9a4</t>
  </si>
  <si>
    <t>07a91838</t>
  </si>
  <si>
    <t>87fbd237</t>
  </si>
  <si>
    <t>Amadelli (06/01/2026) - Estoque gelado</t>
  </si>
  <si>
    <t>Notas_Images/89805f6e.Foto.021421.jpg</t>
  </si>
  <si>
    <t>cb911cea</t>
  </si>
  <si>
    <t>5e2a7f03</t>
  </si>
  <si>
    <t>Notas_Images/89805f6e.Foto 1.021421.jpg</t>
  </si>
  <si>
    <t>Notas_Images/89805f6e.Foto 2.021421.jpg</t>
  </si>
  <si>
    <t>da13ed15</t>
  </si>
  <si>
    <t>1574ddb13-A</t>
  </si>
  <si>
    <t>1574ddb13</t>
  </si>
  <si>
    <t>1cceb86fe-A</t>
  </si>
  <si>
    <t>1cceb86fe</t>
  </si>
  <si>
    <t>1911-A</t>
  </si>
  <si>
    <t>FO-BRAN BEBIDAS (09/01/2026) - Bebidas</t>
  </si>
  <si>
    <t>Notas_Images/64c14a86.Foto.022150.jpg</t>
  </si>
  <si>
    <t>1912-A</t>
  </si>
  <si>
    <t>1913-A</t>
  </si>
  <si>
    <t>1914-A</t>
  </si>
  <si>
    <t>d8a326bf</t>
  </si>
  <si>
    <t>504e296b</t>
  </si>
  <si>
    <t>990e1a1e</t>
  </si>
  <si>
    <t>Coper campos (11/01/2026) - Vinagre</t>
  </si>
  <si>
    <t>b7a00afe</t>
  </si>
  <si>
    <t>Notas_Images/f530ad25.Foto.183606.jpg</t>
  </si>
  <si>
    <t>Vinagre</t>
  </si>
  <si>
    <t>f3993ca5</t>
  </si>
  <si>
    <t>1fdc4f74</t>
  </si>
  <si>
    <t>57c99a1d</t>
  </si>
  <si>
    <t>9f6c6e86</t>
  </si>
  <si>
    <t>ad8be321</t>
  </si>
  <si>
    <t>e0ff075f</t>
  </si>
  <si>
    <t>RPG - Morango Rafael (09/01/2026) - Morangos</t>
  </si>
  <si>
    <t>1c32fd03</t>
  </si>
  <si>
    <t>Notas_Images/ae89ff2a.Foto.183702.jpg</t>
  </si>
  <si>
    <t>d32eeba6</t>
  </si>
  <si>
    <t>e5c082fc</t>
  </si>
  <si>
    <t>0e0723b3</t>
  </si>
  <si>
    <t>c3eb9c1d</t>
  </si>
  <si>
    <t>Reembolso (11/01/2026) - Manutenção</t>
  </si>
  <si>
    <t>bd4832f2</t>
  </si>
  <si>
    <t>Notas de Compras_Images/d4bd6821.Foto.132144.jpg</t>
  </si>
  <si>
    <t>c2f6f40b</t>
  </si>
  <si>
    <t>a9050571</t>
  </si>
  <si>
    <t>9ef0606d</t>
  </si>
  <si>
    <t>R$ 57,12</t>
  </si>
  <si>
    <t>05c3e6ac</t>
  </si>
  <si>
    <t>Morango seu kinho (10/01/2026) - Morangos</t>
  </si>
  <si>
    <t>1916-A</t>
  </si>
  <si>
    <t>Notas_Images/03a6e161.Foto.024125.jpg</t>
  </si>
  <si>
    <t>fornecedor de bebidas Fo-bran</t>
  </si>
  <si>
    <t>b5daaacd</t>
  </si>
  <si>
    <t>e29d59b9</t>
  </si>
  <si>
    <t>f9658d7f</t>
  </si>
  <si>
    <t>5947c428</t>
  </si>
  <si>
    <t>Free-lancer Emanuele Gonçalves (11/01/2026) - Free-lancer Emanuele pgto</t>
  </si>
  <si>
    <t>307f76ae</t>
  </si>
  <si>
    <t>Notas_Images/e079107c.Foto.024238.jpg</t>
  </si>
  <si>
    <t>dd2a087c</t>
  </si>
  <si>
    <t>Free-lancer Emanuele pgto</t>
  </si>
  <si>
    <t>058677ca</t>
  </si>
  <si>
    <t>72dbbf38</t>
  </si>
  <si>
    <t>16f9c036</t>
  </si>
  <si>
    <t>a3c5b19b</t>
  </si>
  <si>
    <t>994d73e4</t>
  </si>
  <si>
    <t>ec439840</t>
  </si>
  <si>
    <t>Amadelli (08/01/2026) - Estoque seco</t>
  </si>
  <si>
    <t>76d2ee47</t>
  </si>
  <si>
    <t>Notas_Images/efad2c94.Foto.182041.jpg</t>
  </si>
  <si>
    <t>fa77e669</t>
  </si>
  <si>
    <t>8d2039a0</t>
  </si>
  <si>
    <t>Notas_Images/efad2c94.Foto 1.182041.jpg</t>
  </si>
  <si>
    <t>96916636</t>
  </si>
  <si>
    <t>Notas_Images/efad2c94.Foto 2.182041.jpg</t>
  </si>
  <si>
    <t>64ebc381</t>
  </si>
  <si>
    <t>cca059f1</t>
  </si>
  <si>
    <t>012aac35</t>
  </si>
  <si>
    <t>e80de330</t>
  </si>
  <si>
    <t>ProFood (09/01/2026) - Embalagens- copos e tampa</t>
  </si>
  <si>
    <t>Notas_Images/93df1d29.Foto.163225.jpg</t>
  </si>
  <si>
    <t>e18b4f1e</t>
  </si>
  <si>
    <t>Embalagens- copos e tampa</t>
  </si>
  <si>
    <t>0776499b</t>
  </si>
  <si>
    <t>f9765f60</t>
  </si>
  <si>
    <t>1920-A</t>
  </si>
  <si>
    <t>1921-A</t>
  </si>
  <si>
    <t>c432a563</t>
  </si>
  <si>
    <t>2d1e5804</t>
  </si>
  <si>
    <t>7f23c653</t>
  </si>
  <si>
    <t>7797bbf4</t>
  </si>
  <si>
    <t>ac1be927</t>
  </si>
  <si>
    <t>ff44d7b0</t>
  </si>
  <si>
    <t>2ddcbb13</t>
  </si>
  <si>
    <t>f546c865</t>
  </si>
  <si>
    <t>17d9b4e57-A</t>
  </si>
  <si>
    <t>17d9b4e57</t>
  </si>
  <si>
    <t>869971f1</t>
  </si>
  <si>
    <t>2a9e9190</t>
  </si>
  <si>
    <t>FO-BRAN BEBIDAS (14/01/2026) - Bebidas</t>
  </si>
  <si>
    <t>Notas_Images/42ddd733.Foto.203250.jpg</t>
  </si>
  <si>
    <t>396b2adc</t>
  </si>
  <si>
    <t>6fc1df26</t>
  </si>
  <si>
    <t>56127fe7</t>
  </si>
  <si>
    <t>Notas_Images/42ddd733.Foto 1.203250.jpg</t>
  </si>
  <si>
    <t>02ff5661</t>
  </si>
  <si>
    <t>4fd443be</t>
  </si>
  <si>
    <t>e1724f89</t>
  </si>
  <si>
    <t>FO-BRAN BEBIDAS (15/01/2026) - Bebidas</t>
  </si>
  <si>
    <t>f7ed38bd</t>
  </si>
  <si>
    <t>Notas_Images/1759ac8f.Foto.204548.jpg</t>
  </si>
  <si>
    <t>152571b4</t>
  </si>
  <si>
    <t>872aa4be</t>
  </si>
  <si>
    <t>dc9353ee</t>
  </si>
  <si>
    <t>b6d9df83</t>
  </si>
  <si>
    <t>Free-lancer Emanuele Gonçalves (15/01/2026) - Pgto Free-lancer Emanuele</t>
  </si>
  <si>
    <t>7988c341</t>
  </si>
  <si>
    <t>Notas_Images/797f3d04.Foto.210950.jpg</t>
  </si>
  <si>
    <t>29153212</t>
  </si>
  <si>
    <t>39b046c6</t>
  </si>
  <si>
    <t>1927-A</t>
  </si>
  <si>
    <t>650a5a4b</t>
  </si>
  <si>
    <t>6ab75230</t>
  </si>
  <si>
    <t>Superviza Supermercado (15/01/2026) - Cafe funcionários</t>
  </si>
  <si>
    <t>Notas_Images/4b33fcd8.Foto.030123.jpg</t>
  </si>
  <si>
    <t>6113ffce</t>
  </si>
  <si>
    <t>d90d1b81</t>
  </si>
  <si>
    <t>11a3a035f-A</t>
  </si>
  <si>
    <t>11a3a035f</t>
  </si>
  <si>
    <t>Coper campos (16/01/2026) - Frutas e café funcionários</t>
  </si>
  <si>
    <t>R$ 13,98</t>
  </si>
  <si>
    <t>19b0c7d0</t>
  </si>
  <si>
    <t>Notas_Images/bcb9f5bf.Foto.021643.jpg</t>
  </si>
  <si>
    <t>ed0759f9</t>
  </si>
  <si>
    <t>db5b02f4</t>
  </si>
  <si>
    <t>35ce0079</t>
  </si>
  <si>
    <t>Superviza Supermercado (16/01/2026) - Frutas</t>
  </si>
  <si>
    <t>Notas_Images/b1a96248.Foto.021734.jpg</t>
  </si>
  <si>
    <t>39f1ba4e</t>
  </si>
  <si>
    <t>0593b625</t>
  </si>
  <si>
    <t>b99dd9b9</t>
  </si>
  <si>
    <t>RPG - Morango Rafael (17/01/2026) - Morangos</t>
  </si>
  <si>
    <t>3865a47a</t>
  </si>
  <si>
    <t>Notas_Images/c31f2802.Foto.020114.jpg</t>
  </si>
  <si>
    <t>0a9948d2</t>
  </si>
  <si>
    <t>fabf10af</t>
  </si>
  <si>
    <t>4bd0fb6d</t>
  </si>
  <si>
    <t>508ad980</t>
  </si>
  <si>
    <t>Morango seu kinho (16/01/2026) - Morangos</t>
  </si>
  <si>
    <t>Notas_Images/54583bfd.Foto.020431.jpg</t>
  </si>
  <si>
    <t>96425244</t>
  </si>
  <si>
    <t>R$ 26,25</t>
  </si>
  <si>
    <t>3d278ce5</t>
  </si>
  <si>
    <t>Fruteira da marta (12/01/2026) - FRUTAS</t>
  </si>
  <si>
    <t>moedas do caixa esquecida de colocar na abertura</t>
  </si>
  <si>
    <t>Notas_Images/3ef1804a.Foto.021557.jpg</t>
  </si>
  <si>
    <t>dfb9be48</t>
  </si>
  <si>
    <t>3cc33a38</t>
  </si>
  <si>
    <t>Fruteira da marta (14/01/2026) - FRUTAS</t>
  </si>
  <si>
    <t>f799aedf</t>
  </si>
  <si>
    <t>Notas_Images/3bcc5da0.Foto.021833.jpg</t>
  </si>
  <si>
    <t>f8791b95</t>
  </si>
  <si>
    <t>dce9926e</t>
  </si>
  <si>
    <t>Fruteira da marta (16/01/2026) - FRUTAS</t>
  </si>
  <si>
    <t>Notas_Images/121a393b.Foto.022020.jpg</t>
  </si>
  <si>
    <t>5c4740b4</t>
  </si>
  <si>
    <t>914bc7a9</t>
  </si>
  <si>
    <t>629a21a1</t>
  </si>
  <si>
    <t>2e6707fd</t>
  </si>
  <si>
    <t>175d0dfb</t>
  </si>
  <si>
    <t>Free-lancer Emanuele Gonçalves (18/01/2026) - Pgto Free-lancer Emanuele</t>
  </si>
  <si>
    <t>Notas_Images/8d04a29f.Foto.012530.jpg</t>
  </si>
  <si>
    <t>5190eeb2</t>
  </si>
  <si>
    <t>R$ 87,14</t>
  </si>
  <si>
    <t>4edd04a1</t>
  </si>
  <si>
    <t>5edd50f2</t>
  </si>
  <si>
    <t>dafedc43</t>
  </si>
  <si>
    <t>35579378</t>
  </si>
  <si>
    <t>Coper campos (21/01/2026) - Frutas e café funcionários</t>
  </si>
  <si>
    <t>c5916d84</t>
  </si>
  <si>
    <t>Notas_Images/0a82095b.Foto.020620.jpg</t>
  </si>
  <si>
    <t>1a0d29484-A</t>
  </si>
  <si>
    <t>1a0d29484</t>
  </si>
  <si>
    <t>1933-A</t>
  </si>
  <si>
    <t>1934-A</t>
  </si>
  <si>
    <t>1935-A</t>
  </si>
  <si>
    <t>1936-A</t>
  </si>
  <si>
    <t>Amadelli (20/01/2026) - Estoque seco</t>
  </si>
  <si>
    <t>Notas_Images/12509caf.Foto.130023.jpg</t>
  </si>
  <si>
    <t>1937-A</t>
  </si>
  <si>
    <t>1938-A</t>
  </si>
  <si>
    <t>Notas_Images/12509caf.Foto 1.130023.jpg</t>
  </si>
  <si>
    <t>Notas_Images/12509caf.Foto 2.130023.jpg</t>
  </si>
  <si>
    <t>1939-A</t>
  </si>
  <si>
    <t>aaadb0ef</t>
  </si>
  <si>
    <t>Amadelli (20/01/2026) - Estoque gelado</t>
  </si>
  <si>
    <t>Notas_Images/45167b26.Foto.131236.jpg</t>
  </si>
  <si>
    <t>13f776e8</t>
  </si>
  <si>
    <t>a2326d8f</t>
  </si>
  <si>
    <t>Notas_Images/45167b26.Foto 1.131236.jpg</t>
  </si>
  <si>
    <t>Notas_Images/45167b26.Foto 2.131236.jpg</t>
  </si>
  <si>
    <t>5c1a9963</t>
  </si>
  <si>
    <t>R$ 28,05</t>
  </si>
  <si>
    <t>9502efc9</t>
  </si>
  <si>
    <t>sorteio n 3 fabiana aparecida</t>
  </si>
  <si>
    <t>5d81dce4</t>
  </si>
  <si>
    <t>e1750a5e</t>
  </si>
  <si>
    <t>Dedetizadora LG (13/01/2026) - Dedetização loja</t>
  </si>
  <si>
    <t>Notas_Images/4a85a134.Foto.131824.jpg</t>
  </si>
  <si>
    <t>Dedetização loja</t>
  </si>
  <si>
    <t>f189c90c</t>
  </si>
  <si>
    <t>209d4e07</t>
  </si>
  <si>
    <t>975b04f2</t>
  </si>
  <si>
    <t>Donna Faxina (21/01/2026) - Produtos de limpeza</t>
  </si>
  <si>
    <t>Notas_Images/3eb98f5f.Foto.133634.jpg</t>
  </si>
  <si>
    <t>7ed8eb20</t>
  </si>
  <si>
    <t>71feea1b</t>
  </si>
  <si>
    <t>f9d87691</t>
  </si>
  <si>
    <t>49dccfe3</t>
  </si>
  <si>
    <t>15c4e7e3</t>
  </si>
  <si>
    <t>FO-BRAN BEBIDAS (22/01/2026) - Bebidas</t>
  </si>
  <si>
    <t>f99a3db9</t>
  </si>
  <si>
    <t>Notas_Images/61a54da0.Foto.134634.jpg</t>
  </si>
  <si>
    <t>51a4561f</t>
  </si>
  <si>
    <t>905d3fd1</t>
  </si>
  <si>
    <t>6842c6ed</t>
  </si>
  <si>
    <t>48cd6dca</t>
  </si>
  <si>
    <t>RPG - Morango Rafael (20/01/2026) - Morangos</t>
  </si>
  <si>
    <t>48425f7f</t>
  </si>
  <si>
    <t>Notas_Images/d9bbc491.Foto.135728.jpg</t>
  </si>
  <si>
    <t>80a3fa4a</t>
  </si>
  <si>
    <t>R$ 18,62</t>
  </si>
  <si>
    <t>34a36d0d</t>
  </si>
  <si>
    <t>54c1c1a0</t>
  </si>
  <si>
    <t>fbcb99f6</t>
  </si>
  <si>
    <t>sorteio n 5 LIDIANE BRAGHIROLLI</t>
  </si>
  <si>
    <t>094db5de</t>
  </si>
  <si>
    <t>d219de63</t>
  </si>
  <si>
    <t>Morango seu kinho (20/01/2026) - Morangos</t>
  </si>
  <si>
    <t>cf018c1b</t>
  </si>
  <si>
    <t>Notas_Images/fce8d834.Foto.140148.jpg</t>
  </si>
  <si>
    <t>72b221fe</t>
  </si>
  <si>
    <t>e5d36957</t>
  </si>
  <si>
    <t>6cf09a20</t>
  </si>
  <si>
    <t>17d61161</t>
  </si>
  <si>
    <t>8bc68f5d</t>
  </si>
  <si>
    <t>Amadelli (20/01/2026) - Estoque gelado sovetes campanha de verão</t>
  </si>
  <si>
    <t>Notas_Images/6300c20b.Foto.143550.jpg</t>
  </si>
  <si>
    <t>c9454aef</t>
  </si>
  <si>
    <t>Estoque gelado sovetes campanha de verão</t>
  </si>
  <si>
    <t>6edb8366</t>
  </si>
  <si>
    <t>00cf3bcb</t>
  </si>
  <si>
    <t>adff4d9e</t>
  </si>
  <si>
    <t>21718943</t>
  </si>
  <si>
    <t>1945-A</t>
  </si>
  <si>
    <t>Zat (25/01/2026) - Frutas</t>
  </si>
  <si>
    <t>Notas_Images/8f0e67dd.Foto.175214.jpg</t>
  </si>
  <si>
    <t>248e369f</t>
  </si>
  <si>
    <t>120c3e8e</t>
  </si>
  <si>
    <t>aec37c50</t>
  </si>
  <si>
    <t>af052d49</t>
  </si>
  <si>
    <t>165aa1658-A</t>
  </si>
  <si>
    <t>165aa1658</t>
  </si>
  <si>
    <t>RPG - Morango Rafael (24/01/2026) - Frutas</t>
  </si>
  <si>
    <t>Notas_Images/16a7ce7e.Foto.175412.jpg</t>
  </si>
  <si>
    <t>15ae0e26</t>
  </si>
  <si>
    <t>b456e9e1</t>
  </si>
  <si>
    <t>250e62ae</t>
  </si>
  <si>
    <t>6a031769</t>
  </si>
  <si>
    <t>c69e2e66</t>
  </si>
  <si>
    <t>6ce454a9</t>
  </si>
  <si>
    <t>d9a1074f</t>
  </si>
  <si>
    <t>Coper campos (23/01/2026) - Cafe funcionários</t>
  </si>
  <si>
    <t>Notas_Images/9300e5e3.Foto.175848.jpg</t>
  </si>
  <si>
    <t>1da6ed68</t>
  </si>
  <si>
    <t>61b7685c</t>
  </si>
  <si>
    <t>fce4fc51</t>
  </si>
  <si>
    <t>1ddfa96b</t>
  </si>
  <si>
    <t>Superviza Supermercado (23/01/2026) - Frutas</t>
  </si>
  <si>
    <t>a1ac02f5</t>
  </si>
  <si>
    <t>Notas_Images/8e88bd6d.Foto.175951.jpg</t>
  </si>
  <si>
    <t>85cb24f0</t>
  </si>
  <si>
    <t>fc6ed8e7</t>
  </si>
  <si>
    <t>bed435c9</t>
  </si>
  <si>
    <t>9fc189d6</t>
  </si>
  <si>
    <t>6504c786</t>
  </si>
  <si>
    <t>LM comércio e distribuidora de utilidades Ltda (23/01/2026) - Materiais escritório</t>
  </si>
  <si>
    <t>Notas_Images/74f7a97f.Foto.180258.jpg</t>
  </si>
  <si>
    <t>Materiais escritório</t>
  </si>
  <si>
    <t>5de3ffe3</t>
  </si>
  <si>
    <t>ed6a08b4</t>
  </si>
  <si>
    <t>Fruteira da marta (23/01/2026) - Frutas</t>
  </si>
  <si>
    <t>f7dc2351</t>
  </si>
  <si>
    <t>19c759aa</t>
  </si>
  <si>
    <t>Notas_Images/926c51a3.Foto.180714.jpg</t>
  </si>
  <si>
    <t>110b4bd8</t>
  </si>
  <si>
    <t>80cc0ea1</t>
  </si>
  <si>
    <t>c088d0d3</t>
  </si>
  <si>
    <t>a28c085b</t>
  </si>
  <si>
    <t>c96df10e</t>
  </si>
  <si>
    <t>a718c68b</t>
  </si>
  <si>
    <t>Vinicius Free-lancer (25/01/2026) - Pgto Vinicius Free-lancer</t>
  </si>
  <si>
    <t>2ab57110</t>
  </si>
  <si>
    <t>Notas_Images/2d746e8e.Foto.030122.jpg</t>
  </si>
  <si>
    <t>90355a87</t>
  </si>
  <si>
    <t>Pgto Vinicius Free-lancer</t>
  </si>
  <si>
    <t>8c6380da</t>
  </si>
  <si>
    <t>a63f7e28</t>
  </si>
  <si>
    <t>eca74ba8</t>
  </si>
  <si>
    <t>f6c6e4fb</t>
  </si>
  <si>
    <t>d01925cb</t>
  </si>
  <si>
    <t>381c29f1</t>
  </si>
  <si>
    <t>Gabriele Scolaro Free-lancer (25/01/2026) - Pgto Gabriele Free-lancer</t>
  </si>
  <si>
    <t>Notas_Images/7f3be3e4.Foto.030433.jpg</t>
  </si>
  <si>
    <t>ad33aef6</t>
  </si>
  <si>
    <t>Pgto Gabriele Free-lancer</t>
  </si>
  <si>
    <t>fb106d19</t>
  </si>
  <si>
    <t>e8a12955</t>
  </si>
  <si>
    <t>6cc0ab5a</t>
  </si>
  <si>
    <t>bcd6c3ff</t>
  </si>
  <si>
    <t>Free-lancer Willian Fonseca (25/01/2026) - Pgto Free-lancer Willian</t>
  </si>
  <si>
    <t>Notas_Images/5f15fd4c.Foto.030600.jpg</t>
  </si>
  <si>
    <t>fceec23c</t>
  </si>
  <si>
    <t>ab9c8e1d</t>
  </si>
  <si>
    <t>1954-A</t>
  </si>
  <si>
    <t>1955-A</t>
  </si>
  <si>
    <t>1957-A</t>
  </si>
  <si>
    <t>Free-lancer Emanuele Gonçalves (25/01/2026) - Pgto Free-lancer Emanuele</t>
  </si>
  <si>
    <t>Notas_Images/a0b5fa06.Foto.030753.jpg</t>
  </si>
  <si>
    <t>deedab54</t>
  </si>
  <si>
    <t>09fae2d2</t>
  </si>
  <si>
    <t>600fcdb3</t>
  </si>
  <si>
    <t>26b3dcd8</t>
  </si>
  <si>
    <t>cbc8f487</t>
  </si>
  <si>
    <t>c0aea1f2</t>
  </si>
  <si>
    <t>1e6f89e5</t>
  </si>
  <si>
    <t>Fruteira da marta (24/01/2026) - frutas</t>
  </si>
  <si>
    <t>5ba8126f</t>
  </si>
  <si>
    <t>Notas_Images/509df36c.Foto.191824.jpg</t>
  </si>
  <si>
    <t>7b6aa9b5</t>
  </si>
  <si>
    <t>59ac7900</t>
  </si>
  <si>
    <t>8f430db6</t>
  </si>
  <si>
    <t>abc6c6f8</t>
  </si>
  <si>
    <t>0c91be41</t>
  </si>
  <si>
    <t>c731902e</t>
  </si>
  <si>
    <t>3e452c78</t>
  </si>
  <si>
    <t>ef076e3f</t>
  </si>
  <si>
    <t>Lucimara Free-lancer (31/01/2026) - Pgto Free-lancer Lucimara</t>
  </si>
  <si>
    <t>c88e3cfd</t>
  </si>
  <si>
    <t>Notas_Images/96aaef74.Foto.023012.jpg</t>
  </si>
  <si>
    <t>Pgto Free-lancer Lucimara</t>
  </si>
  <si>
    <t>ad113a65</t>
  </si>
  <si>
    <t>f97d44d5</t>
  </si>
  <si>
    <t>eff9df77</t>
  </si>
  <si>
    <t>voucher 20 reais</t>
  </si>
  <si>
    <t>FO-BRAN BEBIDAS (29/01/2026) - Bebidas</t>
  </si>
  <si>
    <t>Notas_Images/26d5915a.Foto.023811.jpg</t>
  </si>
  <si>
    <t>Notas_Images/26d5915a.Foto 1.023811.jpg</t>
  </si>
  <si>
    <t>4978daf0</t>
  </si>
  <si>
    <t>Loja 7 (30/01/2026) - Materiais cozinha</t>
  </si>
  <si>
    <t>Notas_Images/2c5aae0a.Foto.024226.jpg</t>
  </si>
  <si>
    <t>Materiais cozinha</t>
  </si>
  <si>
    <t>Free-lancer Willian Fonseca (01/02/2026) - Pgto Free-lancer Willian</t>
  </si>
  <si>
    <t>Notas_Images/75b1cf7f.Foto.022749.jpg</t>
  </si>
  <si>
    <t>R$ 121,88</t>
  </si>
  <si>
    <t>Gabriele Scolaro Free-lancer (01/02/2026) - Pgto Free-lancer  Gabriele</t>
  </si>
  <si>
    <t>Notas_Images/c77cdf2a.Foto.022908.jpg</t>
  </si>
  <si>
    <t>Pgto Free-lancer  Gabriele</t>
  </si>
  <si>
    <t>Free-lancer Emanuele Gonçalves (01/02/2026) - Pgto Free-lancer Emanuele</t>
  </si>
  <si>
    <t>Notas_Images/f33e7330.Foto.023010.jpg</t>
  </si>
  <si>
    <t>Daiane valeria de Andrade cordeiro LTDA ME (27/01/2026) - EMBALAGENS</t>
  </si>
  <si>
    <t>Notas_Images/f64b0bb9.Foto.023925.jpg</t>
  </si>
  <si>
    <t>EMBALAGENS</t>
  </si>
  <si>
    <t>sangria Mariane</t>
  </si>
  <si>
    <t>Coper campos (27/01/2026) - CAFE FUNCIONARIOS</t>
  </si>
  <si>
    <t>Notas_Images/ab031e81.Foto.024029.jpg</t>
  </si>
  <si>
    <t>Fruteira da marta (28/01/2026) - Frutas</t>
  </si>
  <si>
    <t>Notas_Images/d4295a71.Foto.024342.jpg</t>
  </si>
  <si>
    <t>Fruteira da marta (30/01/2026) - Frutas</t>
  </si>
  <si>
    <t>R$ 22,77</t>
  </si>
  <si>
    <t>Notas_Images/8232202d.Foto.024855.jpg</t>
  </si>
  <si>
    <t>consumo Helena</t>
  </si>
  <si>
    <t>RPG - Morango Rafael (30/01/2026) - Morangos</t>
  </si>
  <si>
    <t>Notas_Images/e0c9dbb7.Foto.032400.jpg</t>
  </si>
  <si>
    <t>RPG - Morango Rafael (27/01/2026) - Morangos</t>
  </si>
  <si>
    <t>Notas_Images/edc66211.Foto.032845.jpg</t>
  </si>
  <si>
    <t>Morango seu kinho (27/01/2026) - Morangos</t>
  </si>
  <si>
    <t>Notas_Images/f83a6003.Foto.033358.jpg</t>
  </si>
  <si>
    <t>R$ 16,98</t>
  </si>
  <si>
    <t>CONSUMO Isabelly</t>
  </si>
  <si>
    <t>Coper campos (02/02/2026) - Frutas e café funcionários</t>
  </si>
  <si>
    <t>Notas_Images/843e63cd.Foto.231440.jpg</t>
  </si>
  <si>
    <t>Fruteira da marta (01/02/2026) - frutas</t>
  </si>
  <si>
    <t>Notas_Images/14fcdb2c.Foto.150451.jpg</t>
  </si>
  <si>
    <t>RPG - Morango Rafael (03/02/2026) - Morangos</t>
  </si>
  <si>
    <t>Notas_Images/4892d190.Foto.011403.jpg</t>
  </si>
  <si>
    <t>Morango seu kinho (03/02/2026) - Morangos</t>
  </si>
  <si>
    <t>Notas_Images/d316f4f2.Foto.011714.jpg</t>
  </si>
  <si>
    <t>3a1b5754</t>
  </si>
  <si>
    <t>Tuicial Indústria Gráfica e Editora LTDA (02/02/2026) - Embalagens potes 720ml boleto 3 boleto</t>
  </si>
  <si>
    <t>Notas_Images/23731a71.Foto.013004.jpg</t>
  </si>
  <si>
    <t>Embalagens potes 720ml boleto 3 boleto</t>
  </si>
  <si>
    <t>Notas_Images/23731a71.Foto 1.013004.jpg</t>
  </si>
  <si>
    <t>Amadelli (02/02/2026) - Estoque gelado</t>
  </si>
  <si>
    <t>Notas_Images/4659d9bc.Foto.021044.jpg</t>
  </si>
  <si>
    <t>R$ 35,00</t>
  </si>
  <si>
    <t>Notas_Images/4659d9bc.Foto 1.021044.jpg</t>
  </si>
  <si>
    <t>Amadelli (21/01/2026) - Etiquetas campanha frozen</t>
  </si>
  <si>
    <t>Notas_Images/396c0e89.Foto.021445.jpg</t>
  </si>
  <si>
    <t>Etiquetas campanha frozen</t>
  </si>
  <si>
    <t>Donna Faxina (05/02/2026) - Produtos de limpeza</t>
  </si>
  <si>
    <t>Notas_Images/bb1100e5.Foto.023743.jpg</t>
  </si>
  <si>
    <t>RPG - Morango Rafael (06/02/2026) - Morangos</t>
  </si>
  <si>
    <t>Notas_Images/e0493492.Foto.024223.jpg</t>
  </si>
  <si>
    <t>Morango seu kinho (06/02/2026) - Morangos</t>
  </si>
  <si>
    <t>Notas_Images/a0b18397.Foto.024507.jpg</t>
  </si>
  <si>
    <t>Superviza Supermercado (05/02/2026) - Frutas e café funcionários</t>
  </si>
  <si>
    <t>Notas_Images/edc4f8cd.Foto.024754.jpg</t>
  </si>
  <si>
    <t>R$ 20,76</t>
  </si>
  <si>
    <t>Coper campos (07/02/2026) - Frutas e café funcionários</t>
  </si>
  <si>
    <t>Notas_Images/3c043147.Foto.204458.jpg</t>
  </si>
  <si>
    <t>Free-lancer Willian Fonseca (07/02/2026) - Pgto Free-lancer Willian</t>
  </si>
  <si>
    <t>Notas_Images/715c9dcb.Foto.221515.jpg</t>
  </si>
  <si>
    <t>Coper campos (08/02/2026) - Frutas e café funcionários</t>
  </si>
  <si>
    <t>Notas_Images/1fa05c79.Foto.193810.jpg</t>
  </si>
  <si>
    <t>Gabriele Scolaro Free-lancer (08/02/2026) - PGTO freelancer Gabriele</t>
  </si>
  <si>
    <t>R$ 23,40</t>
  </si>
  <si>
    <t>Notas_Images/f6a1d326.Foto.020912.jpg</t>
  </si>
  <si>
    <t>PGTO freelancer Gabriele</t>
  </si>
  <si>
    <t>Free-lancer Willian Fonseca (08/02/2026) - PGTO freelancer Willian</t>
  </si>
  <si>
    <t>Notas_Images/c53df351.Foto.021106.jpg</t>
  </si>
  <si>
    <t>PGTO freelancer Willian</t>
  </si>
  <si>
    <t>Free-lancer Emanuele Gonçalves (08/02/2026) - PGTO freelancer Emanuele</t>
  </si>
  <si>
    <t>Notas_Images/4093abd4.Foto.021207.jpg</t>
  </si>
  <si>
    <t>Fruteira da marta (08/02/2026) - FRUTAS</t>
  </si>
  <si>
    <t>Notas_Images/aab242af.Foto.021634.jpg</t>
  </si>
  <si>
    <t>Fruteira da marta (06/02/2026) - FRUTAS</t>
  </si>
  <si>
    <t>Notas_Images/72688c5e.Foto.022108.jpg</t>
  </si>
  <si>
    <t>R$ 38,00</t>
  </si>
  <si>
    <t>Amadelli (05/02/2026) - Estoque seco</t>
  </si>
  <si>
    <t>Notas_Images/cffe8d4f.Foto.010358.jpg</t>
  </si>
  <si>
    <t>Notas_Images/cffe8d4f.Foto 1.010358.jpg</t>
  </si>
  <si>
    <t>Notas_Images/cffe8d4f.Foto 2.010358.jpg</t>
  </si>
  <si>
    <t>Superviza Supermercado (09/02/2026) - Frutas</t>
  </si>
  <si>
    <t>Notas_Images/c584347b.Foto.015546.jpg</t>
  </si>
  <si>
    <t>Manutenção loja (10/02/2026) - Troca anel de vedação vazo</t>
  </si>
  <si>
    <t>Notas_Images/e49a9e1f.Foto.021734.jpg</t>
  </si>
  <si>
    <t>Troca anel de vedação vazo</t>
  </si>
  <si>
    <t>R$ 60,23</t>
  </si>
  <si>
    <t>Coper campos (10/02/2026) - Cafe funcionários</t>
  </si>
  <si>
    <t>Notas_Images/dad2b370.Foto.021857.jpg</t>
  </si>
  <si>
    <t>Notas_Images/41036bee.Foto.022251.jpg</t>
  </si>
  <si>
    <t>Notas_Images/41036bee.Foto 1.022251.jpg</t>
  </si>
  <si>
    <t>Notas_Images/41036bee.Foto 2.022251.jpg</t>
  </si>
  <si>
    <t>Coper campos (11/02/2026) - Café funcionários</t>
  </si>
  <si>
    <t>Notas_Images/5959dda2.Foto.004847.jpg</t>
  </si>
  <si>
    <t>RPG - Morango Rafael (12/02/2026) - Morangos</t>
  </si>
  <si>
    <t>Notas_Images/006ffd8e.Foto.023343.jpg</t>
  </si>
  <si>
    <t>R$ 31,07</t>
  </si>
  <si>
    <t>Mariane sorteio 4</t>
  </si>
  <si>
    <t>Morango seu kinho (12/02/2026) - Morangos</t>
  </si>
  <si>
    <t>Notas_Images/3e25310f.Foto.023603.jpg</t>
  </si>
  <si>
    <t>Free-lancer Emanuele Gonçalves (12/02/2026) - Pgto Free-lancer Emanuele</t>
  </si>
  <si>
    <t>Notas_Images/6f030208.Foto.023720.jpg</t>
  </si>
  <si>
    <t>FO-BRAN BEBIDAS (11/02/2026) - Bebidas</t>
  </si>
  <si>
    <t>Notas_Images/dfca1c08.Foto.023923.jpg</t>
  </si>
  <si>
    <t>Coper campos (13/02/2026) - Frutas</t>
  </si>
  <si>
    <t>R$ 39,75</t>
  </si>
  <si>
    <t>Notas_Images/ba783ce9.Foto.193219.jpg</t>
  </si>
  <si>
    <t>Deysewelen dos santos sorteio 6</t>
  </si>
  <si>
    <t>5d00d134</t>
  </si>
  <si>
    <t>Embalagens LTDA (13/02/2026) - Canudos milk shake</t>
  </si>
  <si>
    <t>Notas_Images/cfc8c157.Foto.193342.jpg</t>
  </si>
  <si>
    <t>Canudos milk shake</t>
  </si>
  <si>
    <t>Motoboy (13/02/2026) - Motoboy</t>
  </si>
  <si>
    <t>Notas_Images/6c7df218.Foto.193932.jpg</t>
  </si>
  <si>
    <t>Fruteira da marta (09/02/2026) - rodrigobraghirolli@hotmail.com</t>
  </si>
  <si>
    <t>Notas_Images/c2fc18aa.Foto.194511.jpg</t>
  </si>
  <si>
    <t>rodrigobraghirolli@hotmail.com</t>
  </si>
  <si>
    <t>Fruteira da marta (13/02/2026) - FRUTAS</t>
  </si>
  <si>
    <t>Notas_Images/57c14cb8.Foto.194646.jpg</t>
  </si>
  <si>
    <t>Free-lancer Emanuele Gonçalves (13/02/2026) - Free-lancer emanuele</t>
  </si>
  <si>
    <t>Notas_Images/1944d8bb.Foto.195800.jpg</t>
  </si>
  <si>
    <t>Free-lancer emanuele</t>
  </si>
  <si>
    <t>Coper campos (13/02/2026) - Café funcionários</t>
  </si>
  <si>
    <t>Notas_Images/57fa1097.Foto.014920.jpg</t>
  </si>
  <si>
    <t>Free-lancer Emanuele Gonçalves (16/02/2026) - Pgto Free-lancer Emanuele</t>
  </si>
  <si>
    <t>Notas_Images/387dfce9.Foto.230819.jpg</t>
  </si>
  <si>
    <t>Coper campos (15/02/2026) - Café funcionários</t>
  </si>
  <si>
    <t>R$ 570,00</t>
  </si>
  <si>
    <t>Notas_Images/becc34bf.Foto.231001.jpg</t>
  </si>
  <si>
    <t>Free-lancer Emanuele Gonçalves (15/02/2026) - Pgto Free-lancer Emanuele</t>
  </si>
  <si>
    <t>Notas_Images/63c49556.Foto.231116.jpg</t>
  </si>
  <si>
    <t>Gabriele Scolaro Free-lancer (15/02/2026) - Pgto Free-lancer Gabriele</t>
  </si>
  <si>
    <t>Notas_Images/a22b5f31.Foto.231430.jpg</t>
  </si>
  <si>
    <t>Pgto Free-lancer Gabriele</t>
  </si>
  <si>
    <t>Confeitaria Bom bocado (16/02/2026) - Café funcionários</t>
  </si>
  <si>
    <t>Notas_Images/1030174b.Foto.011324.jpg</t>
  </si>
  <si>
    <t>Coper campos (16/02/2026) - Café funcionários e frutas</t>
  </si>
  <si>
    <t>R$ 60,96</t>
  </si>
  <si>
    <t>Notas_Images/5e5be6e6.Foto.011430.jpg</t>
  </si>
  <si>
    <t>Café funcionários e frutas</t>
  </si>
  <si>
    <t>café funcionários</t>
  </si>
  <si>
    <t>Free-lancer Emanuele Gonçalves (17/02/2026) - PGTO freelancer Emanuele</t>
  </si>
  <si>
    <t>Notas_Images/f60953c3.Foto.222236.jpg</t>
  </si>
  <si>
    <t>LM comércio e distribuidora de utilidades Ltda (17/02/2026) - Utensílio cozinha</t>
  </si>
  <si>
    <t>Notas_Images/f9af4215.Foto.224509.jpg</t>
  </si>
  <si>
    <t>Utensílio cozinha</t>
  </si>
  <si>
    <t>Coper campos (18/02/2026) - Frutas</t>
  </si>
  <si>
    <t>Notas_Images/669aacf5.Foto.220617.jpg</t>
  </si>
  <si>
    <t>caixa pagamento</t>
  </si>
  <si>
    <t>Estelar materiais de construção (10/02/2026) - Manutenção loja</t>
  </si>
  <si>
    <t>Notas_Images/01ee9a67.Foto.220752.jpg</t>
  </si>
  <si>
    <t>A/F de Caixa</t>
  </si>
  <si>
    <t>RPG - Morango Rafael (18/02/2026) - Morangos</t>
  </si>
  <si>
    <t>Notas_Images/bfb7fd6f.Foto.223824.jpg</t>
  </si>
  <si>
    <t>Reembolso (13/02/2026) - grade de divisão da geladeira</t>
  </si>
  <si>
    <t>Notas_Images/103ec527.Foto.005038.jpg</t>
  </si>
  <si>
    <t>grade de divisão da geladeira</t>
  </si>
  <si>
    <t>R$ 14,70</t>
  </si>
  <si>
    <t>Reembolso (18/02/2026) - balança 40kg</t>
  </si>
  <si>
    <t>Notas_Images/c4634e80.Foto.005446.jpg</t>
  </si>
  <si>
    <t>balança 40kg</t>
  </si>
  <si>
    <t>Coper campos (19/02/2026) - Café funcionários</t>
  </si>
  <si>
    <t>Notas_Images/2ff8232b.Foto.181130.jpg</t>
  </si>
  <si>
    <t>Amadelli (16/02/2026) - Estoque gelado</t>
  </si>
  <si>
    <t>Notas_Images/ca2cbc2d.Foto.181844.jpg</t>
  </si>
  <si>
    <t>Notas_Images/ca2cbc2d.Foto 1.181844.jpg</t>
  </si>
  <si>
    <t>Morango seu kinho (19/02/2026) - Morangos</t>
  </si>
  <si>
    <t>Notas_Images/90314fe2.Foto.182507.jpg</t>
  </si>
  <si>
    <t>R$ 66,00</t>
  </si>
  <si>
    <t>lucro maquina</t>
  </si>
  <si>
    <t>Reembolso (18/02/2026) - RECARGA EXTINTOR</t>
  </si>
  <si>
    <t>Notas_Images/235f1697.Foto.184237.jpg</t>
  </si>
  <si>
    <t>RECARGA EXTINTOR</t>
  </si>
  <si>
    <t>Amadelli (17/02/2026) - Estoque seco</t>
  </si>
  <si>
    <t>Notas_Images/777ff895.Foto.235839.jpg</t>
  </si>
  <si>
    <t>Notas_Images/777ff895.Foto 1.235838.jpg</t>
  </si>
  <si>
    <t>Notas_Images/777ff895.Foto 2.235839.jpg</t>
  </si>
  <si>
    <t>Fruteira da marta (20/02/2026) - Frutas</t>
  </si>
  <si>
    <t>Notas_Images/77b50a0d.Foto.000244.jpg</t>
  </si>
  <si>
    <t>RPG - Morango Rafael (21/02/2026) - Morangos</t>
  </si>
  <si>
    <t>Notas_Images/d5582f21.Foto.213256.jpg</t>
  </si>
  <si>
    <t>Confeitaria Bom bocado (21/02/2026) - Café funcionários</t>
  </si>
  <si>
    <t>Notas_Images/5bd99860.Foto.213544.jpg</t>
  </si>
  <si>
    <t>Superviza Supermercado (21/02/2026) - Café funcionários</t>
  </si>
  <si>
    <t>Notas_Images/1bbacc74.Foto.220414.jpg</t>
  </si>
  <si>
    <t>Free-lancer Willian Fonseca (21/02/2026) - Pgto Free-lancer Willian</t>
  </si>
  <si>
    <t>Notas_Images/cc1f29d2.Foto.220917.jpg</t>
  </si>
  <si>
    <t>Superviza Supermercado (22/02/2026) - Frutas</t>
  </si>
  <si>
    <t>Notas_Images/bdd0abd3.Foto.212926.jpg</t>
  </si>
  <si>
    <t>R$ 42,01</t>
  </si>
  <si>
    <t>Motoboy (22/02/2026) - Motoboy</t>
  </si>
  <si>
    <t>Notas_Images/100c042c.Foto.213343.jpg</t>
  </si>
  <si>
    <t>Free-lancer Willian Fonseca (22/02/2026) - Pgto Free-lancer Willian</t>
  </si>
  <si>
    <t>Notas_Images/296bc856.Foto.014603.jpg</t>
  </si>
  <si>
    <t>Gabriele Scolaro Free-lancer (22/02/2026) - Pgto Free-lancer Gabriele</t>
  </si>
  <si>
    <t>Notas_Images/28c96602.Foto.014714.jpg</t>
  </si>
  <si>
    <t>R$ 1.682,87</t>
  </si>
  <si>
    <t>Coper campos (24/02/2026) - Cafe funcionários</t>
  </si>
  <si>
    <t>Notas_Images/1818280e.Foto.005827.jpg</t>
  </si>
  <si>
    <t>PGTO SLARIO</t>
  </si>
  <si>
    <t>Cópias cia (25/02/2026) - Materiais escritório</t>
  </si>
  <si>
    <t>Notas_Images/8d876068.Foto.193247.jpg</t>
  </si>
  <si>
    <t>Donna Faxina (23/02/2026) - Produtos de limpeza</t>
  </si>
  <si>
    <t>Notas_Images/84208242.Foto.194606.jpg</t>
  </si>
  <si>
    <t>FO-BRAN BEBIDAS (25/02/2026) - Bebidas</t>
  </si>
  <si>
    <t>Sangria Marcelo</t>
  </si>
  <si>
    <t>Notas_Images/2ef4952f.Foto.200403.jpg</t>
  </si>
  <si>
    <t>1 entrada mais 40 compensando saida errada mais 50 troco</t>
  </si>
  <si>
    <t>Coper campos (26/02/2026) - Cafe funcionários e frutas</t>
  </si>
  <si>
    <t>Notas_Images/fbfaff32.Foto.192020.jpg</t>
  </si>
  <si>
    <t>RPG - Morango Rafael (26/02/2026) - Morangos</t>
  </si>
  <si>
    <t>Notas_Images/12933b06.Foto.203536.jpg</t>
  </si>
  <si>
    <t>Donna Faxina (26/02/2026) - Produtos de limpeza</t>
  </si>
  <si>
    <t>Notas_Images/0e7dd1aa.Foto.015720.jpg</t>
  </si>
  <si>
    <t>Fruteira da marta (26/02/2026) - Frutas</t>
  </si>
  <si>
    <t>Notas_Images/0c7e5068.Foto.020003.jpg</t>
  </si>
  <si>
    <t>Amadelli (24/02/2026) - Estoque gelado complemento</t>
  </si>
  <si>
    <t>Notas_Images/2268ae5c.Foto.020327.jpg</t>
  </si>
  <si>
    <t>Estoque gelado complemento</t>
  </si>
  <si>
    <t>R$ 180,00</t>
  </si>
  <si>
    <t>FREELANCER SAMARA 26/07/25 E 27/07/25</t>
  </si>
  <si>
    <t>Notas_Images/2268ae5c.Foto 1.020327.jpg</t>
  </si>
  <si>
    <t>Amadelli (24/02/2026) - Estoque seco campanha Páscoa</t>
  </si>
  <si>
    <t>Notas_Images/2c34f125.Foto.020702.jpg</t>
  </si>
  <si>
    <t>Estoque seco campanha Páscoa</t>
  </si>
  <si>
    <t>R$ 22,76</t>
  </si>
  <si>
    <t>R$ 37,00</t>
  </si>
  <si>
    <t>RPG - Morango Rafael (28/02/2026) - Morangos</t>
  </si>
  <si>
    <t>Notas_Images/32d752a7.Foto.234634.jpg</t>
  </si>
  <si>
    <t>Free-lancer Emanuele Gonçalves (01/03/2026) - Free-lancer Emanuele pgto</t>
  </si>
  <si>
    <t>Notas_Images/865df16d.Foto.234809.jpg</t>
  </si>
  <si>
    <t>b20b741f</t>
  </si>
  <si>
    <t>Free-lancer Erick (01/03/2026) - Free-lancer Erick pgto</t>
  </si>
  <si>
    <t>Notas_Images/f715e5f3.Foto.235007.jpg</t>
  </si>
  <si>
    <t>Free-lancer Erick pgto</t>
  </si>
  <si>
    <t>Superviza Supermercado (01/03/2026) - Suco abx</t>
  </si>
  <si>
    <t>Notas_Images/486c4441.Foto.235118.jpg</t>
  </si>
  <si>
    <t>Suco abx</t>
  </si>
  <si>
    <t>Superviza Supermercado (01/03/2026) - Frutas</t>
  </si>
  <si>
    <t>Notas_Images/c1f8230e.Foto.235215.jpg</t>
  </si>
  <si>
    <t>25 PAES CAFE FUNCIONARIOS MES DE JULHO</t>
  </si>
  <si>
    <t>e79ceefc</t>
  </si>
  <si>
    <t>Freelancer Kauan (02/03/2026) - Free-lancer kauan pgto</t>
  </si>
  <si>
    <t>Notas_Images/403130dd.Foto.012335.jpg</t>
  </si>
  <si>
    <t>Free-lancer kauan pgto</t>
  </si>
  <si>
    <t>R$ 0,01</t>
  </si>
  <si>
    <t>10 REAIS DE TROCO</t>
  </si>
  <si>
    <t>Coper campos (04/03/2026) - Frutas e cafe funcionários</t>
  </si>
  <si>
    <t>Notas_Images/eb4a488d.Foto.130746.jpg</t>
  </si>
  <si>
    <t>Frutas e cafe funcionários</t>
  </si>
  <si>
    <t>Free-lancer Emanuele Gonçalves (04/03/2026) - Pgto Free-lancer Emanuele</t>
  </si>
  <si>
    <t>Notas_Images/0e923d17.Foto.131120.jpg</t>
  </si>
  <si>
    <t>CAIXA PAGAMENTO</t>
  </si>
  <si>
    <t>LM comércio e distribuidora de utilidades Ltda (04/03/2026) - Enfeite de Páscoa</t>
  </si>
  <si>
    <t>Notas_Images/92c2feb7.Foto.131334.jpg</t>
  </si>
  <si>
    <t>Enfeite de Páscoa</t>
  </si>
  <si>
    <t>R$ 52,00</t>
  </si>
  <si>
    <t>CN comércio de utilidades (04/03/2026) - Enfeite de Páscoa</t>
  </si>
  <si>
    <t>FREELANCER TESTE</t>
  </si>
  <si>
    <t>Notas_Images/97168c87.Foto.131529.jpg</t>
  </si>
  <si>
    <t>RPG - Morango Rafael (04/03/2026) - Morangos</t>
  </si>
  <si>
    <t>Notas_Images/97ac3f22.Foto.131943.jpg</t>
  </si>
  <si>
    <t>R$ 98,00</t>
  </si>
  <si>
    <t>MATERIAIS ELETRICOS</t>
  </si>
  <si>
    <t>Reembolso (04/03/2026) - Reembolso Marcelo, enfeite de Páscoa</t>
  </si>
  <si>
    <t>Notas_Images/da3637ed.Foto.132406.jpg</t>
  </si>
  <si>
    <t>Reembolso Marcelo, enfeite de Páscoa</t>
  </si>
  <si>
    <t>Amadelli (27/02/2026) - Estoque seco, campanha de pascoa</t>
  </si>
  <si>
    <t>Notas_Images/0bba3ef9.Foto.133301.jpg</t>
  </si>
  <si>
    <t>Estoque seco, campanha de pascoa</t>
  </si>
  <si>
    <t>Notas_Images/0bba3ef9.Foto 1.133301.jpg</t>
  </si>
  <si>
    <t>Notas_Images/0bba3ef9.Foto 2.133301.jpg</t>
  </si>
  <si>
    <t>R$ 51,04</t>
  </si>
  <si>
    <t>Amadelli (03/03/2026) - Estoque gelado</t>
  </si>
  <si>
    <t>Notas_Images/6c4316d2.Foto.134002.jpg</t>
  </si>
  <si>
    <t>Notas_Images/6c4316d2.Foto 1.134002.jpg</t>
  </si>
  <si>
    <t>SAMAE (01/03/2026) - Fatura de água</t>
  </si>
  <si>
    <t>Notas_Images/14f686b8.Foto.235149.jpg</t>
  </si>
  <si>
    <t>acabamento para nao riscar parede em madeira</t>
  </si>
  <si>
    <t>Free-lancer Emanuele Gonçalves (05/03/2026) - Pgto Free-lancer Emanuele</t>
  </si>
  <si>
    <t>Notas_Images/bf3788d6.Foto.000257.jpg</t>
  </si>
  <si>
    <t>8f8d2127</t>
  </si>
  <si>
    <t>Pontinho 1001 utilidades LTDA (05/03/2026) - Decoracao de Páscoa</t>
  </si>
  <si>
    <t>Notas_Images/09c5c4e8.Foto.001101.jpg</t>
  </si>
  <si>
    <t>Decoracao de Páscoa</t>
  </si>
  <si>
    <t>121b5d4b</t>
  </si>
  <si>
    <t>Comércio de móveis e eletrodomésticos (05/03/2026) - Decoracao de Páscoa</t>
  </si>
  <si>
    <t>Notas_Images/2928865d.Foto.001307.jpg</t>
  </si>
  <si>
    <t>R$ 19,88</t>
  </si>
  <si>
    <t>LM comércio e distribuidora de utilidades Ltda (05/03/2026) - Decoracao de Páscoa</t>
  </si>
  <si>
    <t>Notas_Images/78eb7436.Foto.001512.jpg</t>
  </si>
  <si>
    <t>SANGRIA CAIXA MARIANE</t>
  </si>
  <si>
    <t>Campos novos embalagens ltda (05/03/2026) - Canudos de refrigerantes</t>
  </si>
  <si>
    <t>Notas_Images/a99873b1.Foto.001912.jpg</t>
  </si>
  <si>
    <t>Canudos de refrigerantes</t>
  </si>
  <si>
    <t>R$ 1.440,00</t>
  </si>
  <si>
    <t>DIPAR (05/03/2026) - Decoracao de Páscoa</t>
  </si>
  <si>
    <t>Notas_Images/797b26ec.Foto.002012.jpg</t>
  </si>
  <si>
    <t>CN comércio de utilidades (05/03/2026) - Decoracao de Páscoa</t>
  </si>
  <si>
    <t>Notas_Images/f55e54b7.Foto.002114.jpg</t>
  </si>
  <si>
    <t>R$ 11,50</t>
  </si>
  <si>
    <t>Daiane valeria de Andrade cordeiro LTDA ME (05/03/2026) - Decoracao de Páscoa</t>
  </si>
  <si>
    <t>pao funcionarios</t>
  </si>
  <si>
    <t>Notas_Images/ff1dc807.Foto.002214.jpg</t>
  </si>
  <si>
    <t>sangria caixa mariane</t>
  </si>
  <si>
    <t>Reembolso (05/03/2026) - Reembolso Marcelo</t>
  </si>
  <si>
    <t>Notas_Images/a1467317.Foto.003256.jpg</t>
  </si>
  <si>
    <t>Fruteira da marta (04/03/2026) - FRUTAS</t>
  </si>
  <si>
    <t>Notas_Images/7c222d03.Foto.003847.jpg</t>
  </si>
  <si>
    <t>LM comércio e distribuidora de utilidades Ltda (06/03/2026) - Decoracao de Páscoa (344,91 será lançado reembolso)</t>
  </si>
  <si>
    <t>Notas_Images/3aded4d2.Foto.231032.jpg</t>
  </si>
  <si>
    <t>Decoracao de Páscoa (344,91 será lançado reembolso)</t>
  </si>
  <si>
    <t>MOTOBOY</t>
  </si>
  <si>
    <t>R$ 10,08</t>
  </si>
  <si>
    <t>materiais eletrico</t>
  </si>
  <si>
    <t>Reembolso (06/03/2026) - Embalagens</t>
  </si>
  <si>
    <t>Notas_Images/4e841fd8.Foto.231939.jpg</t>
  </si>
  <si>
    <t>Reembolso (20/02/2026) - micro processador</t>
  </si>
  <si>
    <t>Notas_Images/cd39b420.Foto.232821.jpg</t>
  </si>
  <si>
    <t>R$ 35,85</t>
  </si>
  <si>
    <t>micro processador</t>
  </si>
  <si>
    <t>Reembolso (04/03/2026) - instalação ar condicionado</t>
  </si>
  <si>
    <t>Notas_Images/b0657aa0.Foto.233042.jpg</t>
  </si>
  <si>
    <t>instalação ar condicionado</t>
  </si>
  <si>
    <t>R$ 23,00</t>
  </si>
  <si>
    <t>Notas_Images/b0657aa0.Foto 1.233042.jpg</t>
  </si>
  <si>
    <t>03a9d2d8</t>
  </si>
  <si>
    <t>Decoração de Páscoa (06/03/2026) - Desenhos decoração de páscoa</t>
  </si>
  <si>
    <t>Notas_Images/d0a73ac0.Foto.233808.jpg</t>
  </si>
  <si>
    <t>Desenhos decoração de páscoa</t>
  </si>
  <si>
    <t>017c6c5f</t>
  </si>
  <si>
    <t>DEVOLUÇÃO (07/03/2026) - devolver valor pagp em 2x</t>
  </si>
  <si>
    <t>Notas_Images/b2721c88.Foto.205654.jpg</t>
  </si>
  <si>
    <t>devolver valor pagp em 2x</t>
  </si>
  <si>
    <t>Free-lancer Emanuele Gonçalves (08/03/2026) - Pgto Free-lancer Emanuele</t>
  </si>
  <si>
    <t>Notas_Images/3c0e6d3c.Foto.030128.jpg</t>
  </si>
  <si>
    <t>Gabriele Scolaro Free-lancer (08/03/2026) - Pgto Free-lancer Gabriele</t>
  </si>
  <si>
    <t>Notas_Images/e7cfd84a.Foto.030341.jpg</t>
  </si>
  <si>
    <t>R$ 142,55</t>
  </si>
  <si>
    <t>frutas e complemento cafe funcionarios</t>
  </si>
  <si>
    <t>Coper campos (08/03/2026) - Mimo dias das mulheres</t>
  </si>
  <si>
    <t>Notas_Images/c98d1efc.Foto.030528.jpg</t>
  </si>
  <si>
    <t>Mimo dias das mulheres</t>
  </si>
  <si>
    <t>Morango seu kinho (07/03/2026) - Morangos</t>
  </si>
  <si>
    <t>Notas_Images/435dd5ff.Foto.030920.jpg</t>
  </si>
  <si>
    <t>Coper campos (07/03/2026) - Frutas  e café funcionários</t>
  </si>
  <si>
    <t>Notas_Images/6d1e7cbc.Foto.031046.jpg</t>
  </si>
  <si>
    <t>Frutas  e café funcionários</t>
  </si>
  <si>
    <t>Fruteira da marta (06/03/2026) - frutas</t>
  </si>
  <si>
    <t>R$ 36,50</t>
  </si>
  <si>
    <t>Notas_Images/7cf90259.Foto.031356.jpg</t>
  </si>
  <si>
    <t>Tuicial Indústria Gráfica e Editora LTDA (06/03/2026) - Embalagens,  potes 720ml 3 boletos</t>
  </si>
  <si>
    <t>Notas_Images/2532a53d.Foto.225155.jpg</t>
  </si>
  <si>
    <t>Embalagens,  potes 720ml 3 boletos</t>
  </si>
  <si>
    <t>Notas_Images/2532a53d.Foto 1.225509.jpg</t>
  </si>
  <si>
    <t>R$ 75,00</t>
  </si>
  <si>
    <t>cobrado 2 comandas de um cliente, devolvido a diferença</t>
  </si>
  <si>
    <t>Amadelli (05/03/2026) - Estoque seco</t>
  </si>
  <si>
    <t>Notas_Images/9833d536.Foto.230424.jpg</t>
  </si>
  <si>
    <t>Estorno Cliente</t>
  </si>
  <si>
    <t>Notas_Images/9833d536.Foto 1.230424.jpg</t>
  </si>
  <si>
    <t>Notas_Images/9833d536.Foto 2.230424.jpg</t>
  </si>
  <si>
    <t>Reembolso (09/03/2026) - Embalagens</t>
  </si>
  <si>
    <t>Notas_Images/0f60f254.Foto.231040.jpg</t>
  </si>
  <si>
    <t>R$ 144,12</t>
  </si>
  <si>
    <t>bebidas</t>
  </si>
  <si>
    <t>R$ 1.550,00</t>
  </si>
  <si>
    <t>FO-BRAN BEBIDAS (09/03/2026) - Bebidas</t>
  </si>
  <si>
    <t>Notas_Images/1103e5be.Foto.020328.jpg</t>
  </si>
  <si>
    <t>sangria cx mariane</t>
  </si>
  <si>
    <t>Coper campos (10/03/2026) - café funcionários</t>
  </si>
  <si>
    <t>Notas_Images/2a0a4f46.Foto.015133.jpg</t>
  </si>
  <si>
    <t>Coper campos (10/03/2026) - Frutas e materiais de cozinha</t>
  </si>
  <si>
    <t>Notas_Images/065d37df.Foto.015246.jpg</t>
  </si>
  <si>
    <t>R$ 91,00</t>
  </si>
  <si>
    <t>Frutas e materiais de cozinha</t>
  </si>
  <si>
    <t>R$ 26,00</t>
  </si>
  <si>
    <t>PGTO FREELANCER 05.07.25 7h Kauane Sutil</t>
  </si>
  <si>
    <t>Coper campos (10/03/2026) - Café funcionários</t>
  </si>
  <si>
    <t>Notas_Images/9e3ed83e.Foto.015359.jpg</t>
  </si>
  <si>
    <t>R$ 1.500,00</t>
  </si>
  <si>
    <t>Superviza Supermercado (12/03/2026) - Frutas</t>
  </si>
  <si>
    <t>Notas_Images/7ac29cca.Foto.013523.jpg</t>
  </si>
  <si>
    <t>R$ 26,98</t>
  </si>
  <si>
    <t>RPG - Morango Rafael (10/03/2026) - Morango</t>
  </si>
  <si>
    <t>Notas_Images/65522662.Foto.014015.jpg</t>
  </si>
  <si>
    <t>PIZZARIA REDANTES (03/03/2026) - CONFRATERNIZAÇÃO ANIVERSARIO</t>
  </si>
  <si>
    <t>Notas_Images/eebdcd34.Foto.014340.jpg</t>
  </si>
  <si>
    <t>CONFRATERNIZAÇÃO ANIVERSARIO</t>
  </si>
  <si>
    <t>Coper campos (13/03/2026) - Cafe funcionários</t>
  </si>
  <si>
    <t>Notas_Images/851b4317.Foto.022221.jpg</t>
  </si>
  <si>
    <t>Free-lancer Emanuele Gonçalves (12/03/2026) - PGTO freelancer Emanuele</t>
  </si>
  <si>
    <t>Notas_Images/5543e79a.Foto.213256.jpg</t>
  </si>
  <si>
    <t>R$ 600,00</t>
  </si>
  <si>
    <t>Coper campos (14/03/2026) - Frutas</t>
  </si>
  <si>
    <t>Notas_Images/a72dbf98.Foto.213652.jpg</t>
  </si>
  <si>
    <t>R$ 140,00</t>
  </si>
  <si>
    <t>RPG - Morango Rafael (14/03/2026) - Morangos</t>
  </si>
  <si>
    <t>Notas_Images/828680a5.Foto.214210.jpg</t>
  </si>
  <si>
    <t>R$ 727,00</t>
  </si>
  <si>
    <t>PGTO WILLIAN FONSECA - FREELANCER</t>
  </si>
  <si>
    <t>c1d79ab7</t>
  </si>
  <si>
    <t>Rafaela free-lancer (14/03/2026) - PGTO freelancer Rafaela</t>
  </si>
  <si>
    <t>Notas_Images/35233473.Foto.223316.jpg</t>
  </si>
  <si>
    <t>PGTO freelancer Rafaela</t>
  </si>
  <si>
    <t>R$ 338,00</t>
  </si>
  <si>
    <t>PGTO GABRIEL - FREELANCER</t>
  </si>
  <si>
    <t>Superviza Supermercado (14/03/2026) - Cafe funcionários</t>
  </si>
  <si>
    <t>Notas_Images/f877be5d.Foto.003411.jpg</t>
  </si>
  <si>
    <t>Fruteira da marta (14/03/2026) - frutas</t>
  </si>
  <si>
    <t>Notas_Images/352c515d.Foto.000651.jpg</t>
  </si>
  <si>
    <t>Coper campos (16/03/2026) - Cafe funcionários</t>
  </si>
  <si>
    <t>Notas_Images/71dd0024.Foto.013227.jpg</t>
  </si>
  <si>
    <t>cafe dos funcionarios</t>
  </si>
  <si>
    <t>Coper campos (15/03/2026) - Frutas</t>
  </si>
  <si>
    <t>Notas_Images/6466403a.Foto.013348.jpg</t>
  </si>
  <si>
    <t>Gabriele Scolaro Free-lancer (15/03/2026) - Pgto Free-lancer Gabriele</t>
  </si>
  <si>
    <t>Notas_Images/2c48fdfb.Foto.013507.jpg</t>
  </si>
  <si>
    <t>cx sangria mariane</t>
  </si>
  <si>
    <t>Free-lancer Emanuele Gonçalves (15/03/2026) - PGTO freelancer Emanuele</t>
  </si>
  <si>
    <t>Notas_Images/76c84b0b.Foto.013629.jpg</t>
  </si>
  <si>
    <t>RPG - Morango Rafael (16/03/2026) - Morangos</t>
  </si>
  <si>
    <t>Notas_Images/e7fa1836.Foto.013813.jpg</t>
  </si>
  <si>
    <t>SANGRIA MARIANE 01/08/25 P/ PGTO SAL HELENA</t>
  </si>
  <si>
    <t>motoboy frutas</t>
  </si>
  <si>
    <t>Amadelli (12/03/2026) - Chocolate campanha de páscoa</t>
  </si>
  <si>
    <t>Notas_Images/3eacf24a.Foto.014122.jpg</t>
  </si>
  <si>
    <t>Chocolate campanha de páscoa</t>
  </si>
  <si>
    <t>Notas_Images/3eacf24a.Foto 1.014123.jpg</t>
  </si>
  <si>
    <t>R$ 410,00</t>
  </si>
  <si>
    <t>Coper campos (17/03/2026) - Cafe funcionários</t>
  </si>
  <si>
    <t>Notas_Images/04a65f85.Foto.011247.jpg</t>
  </si>
  <si>
    <t>Tuicial Indústria Gráfica e Editora LTDA (16/03/2026) - Embalagens potes 720ml 3 boletos</t>
  </si>
  <si>
    <t>Notas_Images/c001bd81.Foto.011920.jpg</t>
  </si>
  <si>
    <t>Embalagens potes 720ml 3 boletos</t>
  </si>
  <si>
    <t>R$ 1.960,60</t>
  </si>
  <si>
    <t>SALARIO HELENA</t>
  </si>
  <si>
    <t>Notas_Images/c001bd81.Foto 1.012528.jpg</t>
  </si>
  <si>
    <t>Campos novos embalagens ltda (18/03/2026) - Embalagens</t>
  </si>
  <si>
    <t>Notas_Images/d08e8958.Foto.012357.jpg</t>
  </si>
  <si>
    <t>Superviza Supermercado (18/03/2026) - Frutas</t>
  </si>
  <si>
    <t>Notas_Images/3b82c42e.Foto.012459.jpg</t>
  </si>
  <si>
    <t>Fruteira da marta (18/03/2026) - Frutas</t>
  </si>
  <si>
    <t>Notas_Images/dda69b94.Foto.012749.jpg</t>
  </si>
  <si>
    <t>PGTO MORANGO SEU KINHO 4KG</t>
  </si>
  <si>
    <t>FO-BRAN BEBIDAS (18/03/2026) - Bebidas</t>
  </si>
  <si>
    <t>Notas_Images/a3f543a1.Foto.014232.jpg</t>
  </si>
  <si>
    <t>Notas_Images/a3f543a1.Foto 1.014232.jpg</t>
  </si>
  <si>
    <t>FO-BRAN BEBIDAS (19/03/2026) - Bebidas</t>
  </si>
  <si>
    <t>Notas_Images/ae8fce2f.Foto.222656.jpg</t>
  </si>
  <si>
    <t>Donna Faxina (19/03/2026) - Produtos de limpeza</t>
  </si>
  <si>
    <t>Notas de Compras_Images/ec439840.Foto.180245.jpg</t>
  </si>
  <si>
    <t>R$ 24,00</t>
  </si>
  <si>
    <t>Tuicial Indústria Gráfica e Editora LTDA (19/03/2026) - Embalagens delivery 2 boletos</t>
  </si>
  <si>
    <t>Notas_Images/8844e4fb.Foto.223556.jpg</t>
  </si>
  <si>
    <t>Embalagens delivery 2 boletos</t>
  </si>
  <si>
    <t>Notas_Images/8844e4fb.Foto 1.223556.jpg</t>
  </si>
  <si>
    <t>Daiane valeria de Andrade cordeiro LTDA ME (19/03/2026) - Embalagens</t>
  </si>
  <si>
    <t>Notas_Images/6a799214.Foto.000106.jpg</t>
  </si>
  <si>
    <t>Amadelli (17/03/2026) - Estoque gelado</t>
  </si>
  <si>
    <t>Notas_Images/fa9bc9d9.Foto.000816.jpg</t>
  </si>
  <si>
    <t>Notas_Images/fa9bc9d9.Foto 1.000816.jpg</t>
  </si>
  <si>
    <t>R$ 80,84</t>
  </si>
  <si>
    <t>Free-lancer Emanuele Gonçalves (22/03/2026) - Pgto Free-lancer Emanuele</t>
  </si>
  <si>
    <t>Notas_Images/2b161ddd.Foto.012603.jpg</t>
  </si>
  <si>
    <t>Rafaela free-lancer (22/03/2026) - PGTO freelancer Rafaela</t>
  </si>
  <si>
    <t>Notas_Images/7009a169.Foto.015737.jpg</t>
  </si>
  <si>
    <t>Notas_Images/6a882f0b.Foto.015849.jpg</t>
  </si>
  <si>
    <t>R$ 14,34</t>
  </si>
  <si>
    <t>Estelar materiais de construção (23/03/2026) - Manutenção loja</t>
  </si>
  <si>
    <t>CONSUMO ISABELY</t>
  </si>
  <si>
    <t>R$ 97,00</t>
  </si>
  <si>
    <t>Notas_Images/c038ab08.Foto.164023.jpg</t>
  </si>
  <si>
    <t>freelancer gabriel</t>
  </si>
  <si>
    <t>Notas_Images/754bf15e.Foto.164145.jpg</t>
  </si>
  <si>
    <t>Reembolso (22/03/2026) - frutas</t>
  </si>
  <si>
    <t>Notas_Images/1125bb4d.Foto.165017.jpg</t>
  </si>
  <si>
    <t>Coper campos (23/03/2026) - Café funcionários</t>
  </si>
  <si>
    <t>Notas_Images/8557a578.Foto.015350.jpg</t>
  </si>
  <si>
    <t>R$ 2,90</t>
  </si>
  <si>
    <t>Donna Faxina (23/03/2026) - Produtos de limpeza</t>
  </si>
  <si>
    <t>Notas_Images/5ee53712.Foto.015629.jpg</t>
  </si>
  <si>
    <t>Amadelli (17/03/2026) - Estoque seco</t>
  </si>
  <si>
    <t>Notas_Images/e545515e.Foto.024553.jpg</t>
  </si>
  <si>
    <t>Notas_Images/e545515e.Foto 1.024553.jpg</t>
  </si>
  <si>
    <t>Daiane valeria de Andrade cordeiro LTDA ME (27/03/2026) - Materiais de escritório</t>
  </si>
  <si>
    <t>Notas_Images/2a90ec6a.Foto.170029.jpg</t>
  </si>
  <si>
    <t>COPIA CHAVES</t>
  </si>
  <si>
    <t>CN comércio de utilidades (27/03/2026) - Materiais cozinha</t>
  </si>
  <si>
    <t>Notas_Images/b919cbc6.Foto.225027.jpg</t>
  </si>
  <si>
    <t>R$ 143,11</t>
  </si>
  <si>
    <t>CONSUMO INFLUENCER</t>
  </si>
  <si>
    <t>Coper campos (27/03/2026) - Cade funcionários</t>
  </si>
  <si>
    <t>Notas_Images/529dc043.Foto.225125.jpg</t>
  </si>
  <si>
    <t>Cade funcionários</t>
  </si>
  <si>
    <t>FO-BRAN BEBIDAS (27/03/2026) - Bebidas</t>
  </si>
  <si>
    <t>Notas_Images/41d1c532.Foto.225436.jpg</t>
  </si>
  <si>
    <t>Notas_Images/159f6647.Foto.230041.jpg</t>
  </si>
  <si>
    <t>R$ 92,25</t>
  </si>
  <si>
    <t>Coper campos (26/03/2026) - Frutas e café funcionários</t>
  </si>
  <si>
    <t>Notas_Images/2b92fd5f.Foto.014239.jpg</t>
  </si>
  <si>
    <t>FREELANCER SAMARA RIBEIRO</t>
  </si>
  <si>
    <t>R$ 218,01</t>
  </si>
  <si>
    <t>Superviza Supermercado (28/03/2026) - Frutas</t>
  </si>
  <si>
    <t>Notas_Images/d5acc750.Foto.193716.jpg</t>
  </si>
  <si>
    <t>Notas_Images/487fe221.Foto.194016.jpg</t>
  </si>
  <si>
    <t>CAIXA PAGAMENTO ID 1613516 08/08/2025 17:18</t>
  </si>
  <si>
    <t>Coper campos (28/03/2026) - Frutas</t>
  </si>
  <si>
    <t>Notas_Images/61eecb87.Foto.194713.jpg</t>
  </si>
  <si>
    <t>Free-lancer Emanuele Gonçalves (29/03/2026) - Pgto Free-lancer Emanuele</t>
  </si>
  <si>
    <t>Notas_Images/b16e2c77.Foto.021606.jpg</t>
  </si>
  <si>
    <t>R$ 68,70</t>
  </si>
  <si>
    <t>QUADROS ALVARA</t>
  </si>
  <si>
    <t>Rafaela free-lancer (29/03/2026) - PGTO Free-lancer rafaela</t>
  </si>
  <si>
    <t>Notas_Images/6e6de868.Foto.021723.jpg</t>
  </si>
  <si>
    <t>PGTO Free-lancer rafaela</t>
  </si>
  <si>
    <t>228c4343</t>
  </si>
  <si>
    <t>Gabriela Free-lancer (29/03/2026) - Pgto Free-lancer Gabriela</t>
  </si>
  <si>
    <t>Notas_Images/2f716a6f.Foto.021840.jpg</t>
  </si>
  <si>
    <t>Pgto Free-lancer Gabriela</t>
  </si>
  <si>
    <t>R$ 2,00</t>
  </si>
  <si>
    <t>RPG - Morango Rafael (28/03/2026) - Morangos</t>
  </si>
  <si>
    <t>Notas_Images/e99e1a5d.Foto.022111.jpg</t>
  </si>
  <si>
    <t>RPG - Morango Rafael (25/03/2026) - Morangos</t>
  </si>
  <si>
    <t>Notas_Images/0ed22602.Foto.022248.jpg</t>
  </si>
  <si>
    <t>RPG - Morango Rafael (21/03/2026) - Morangos</t>
  </si>
  <si>
    <t>Notas_Images/4e5dd7f8.Foto.022458.jpg</t>
  </si>
  <si>
    <t>cortesia</t>
  </si>
  <si>
    <t>Coper campos (30/03/2026) - Frutas e café funcionários</t>
  </si>
  <si>
    <t>Notas_Images/b8b8dba8.Foto.015546.jpg</t>
  </si>
  <si>
    <t>R$ 88,81</t>
  </si>
  <si>
    <t>influencer</t>
  </si>
  <si>
    <t>Superviza Supermercado (30/03/2026) - Frutas e café funcionários</t>
  </si>
  <si>
    <t>Notas_Images/fd30f15a.Foto.015707.jpg</t>
  </si>
  <si>
    <t>Gabriela Free-lancer (30/03/2026) - PGTO free-lancer Gabriela</t>
  </si>
  <si>
    <t>Notas_Images/d9b80311.Foto.015829.jpg</t>
  </si>
  <si>
    <t>PGTO free-lancer Gabriela</t>
  </si>
  <si>
    <t>Freelancer Samara 3 dias</t>
  </si>
  <si>
    <t>Free-lancer Emanuele Gonçalves (30/03/2026) - PGTO free-lancer Emanuele</t>
  </si>
  <si>
    <t>Notas_Images/9a3eb8a1.Foto.015926.jpg</t>
  </si>
  <si>
    <t>PGTO free-lancer Emanuele</t>
  </si>
  <si>
    <t>R$ 201,37</t>
  </si>
  <si>
    <t>FRELANCER WILIAN FONSECA 12/07 E 13/07</t>
  </si>
  <si>
    <t>R$ 208,00</t>
  </si>
  <si>
    <t>Rafaela free-lancer (30/03/2026) - PGTO freelancer Rafaela</t>
  </si>
  <si>
    <t>Freelancer Willian sab e dom 8hrs</t>
  </si>
  <si>
    <t>Notas_Images/be0f1f36.Foto.020344.jpg</t>
  </si>
  <si>
    <t>LM comércio e distribuidora de utilidades Ltda (02/04/2026) - Materiais de cozinha</t>
  </si>
  <si>
    <t>Notas_Images/ccff232b.Foto.224456.jpg</t>
  </si>
  <si>
    <t>Freelancer Gabriel sab e dom 8hrs</t>
  </si>
  <si>
    <t>LM comércio e distribuidora de utilidades Ltda (02/04/2026) - Presente páscoa equipe</t>
  </si>
  <si>
    <t>Notas_Images/b3bfd5e2.Foto.224943.jpg</t>
  </si>
  <si>
    <t>Presente páscoa equipe</t>
  </si>
  <si>
    <t>R$ 200,59</t>
  </si>
  <si>
    <t>FRELANCER GABRIEL AZEVEDO 12/07 E 13/07</t>
  </si>
  <si>
    <t>68c471c5</t>
  </si>
  <si>
    <t>Bom Bocado (01/04/2026) - Café funcionários</t>
  </si>
  <si>
    <t>Notas_Images/62fead8e.Foto.225217.jpg</t>
  </si>
  <si>
    <t>Bom Bocado (31/03/2026) - Café funcionários</t>
  </si>
  <si>
    <t>Notas_Images/d7309234.Foto.225609.jpg</t>
  </si>
  <si>
    <t>Free-lancer Emanuele Gonçalves (31/03/2026) - PGTO freelancer Emanuele</t>
  </si>
  <si>
    <t>Notas_Images/26b59393.Foto.225708.jpg</t>
  </si>
  <si>
    <t>R$ 55,23</t>
  </si>
  <si>
    <t>RPG - Morango Rafael (31/03/2026) - Morangos</t>
  </si>
  <si>
    <t>Notas_Images/22a96dee.Foto.231309.jpg</t>
  </si>
  <si>
    <t>CONSUMO INFLUENCER ELIANARA</t>
  </si>
  <si>
    <t>R$ 2,20</t>
  </si>
  <si>
    <t>SAMAE (01/04/2026) - Fatura de Água</t>
  </si>
  <si>
    <t>Notas_Images/e7a32e85.Foto.231749.jpg</t>
  </si>
  <si>
    <t>Fatura de Água</t>
  </si>
  <si>
    <t>FO-BRAN BEBIDAS (01/04/2026) - Bebidas</t>
  </si>
  <si>
    <t>Notas_Images/e3765b48.Foto.232109.jpg</t>
  </si>
  <si>
    <t>R$ 152,00</t>
  </si>
  <si>
    <t>LUCRO MAQUINA DE PEGAR PREMIO 20% DO TOTAL</t>
  </si>
  <si>
    <t>Amadelli (31/03/2026) - Bola copa</t>
  </si>
  <si>
    <t>Notas_Images/500b63e1.Foto.232814.jpg</t>
  </si>
  <si>
    <t>Bola copa</t>
  </si>
  <si>
    <t>Tuicial Indústria Gráfica e Editora LTDA (01/04/2026) - Embalagens 3 boletos</t>
  </si>
  <si>
    <t>Notas_Images/fa3fff7e.Foto.233849.jpg</t>
  </si>
  <si>
    <t>Embalagens 3 boletos</t>
  </si>
  <si>
    <t>Notas_Images/fa3fff7e.Foto 1.233849.jpg</t>
  </si>
  <si>
    <t>R$ 1.900,00</t>
  </si>
  <si>
    <t>Amadelli (31/03/2026) - Estoque gelado</t>
  </si>
  <si>
    <t>Notas_Images/24b642f5.Foto.234933.jpg</t>
  </si>
  <si>
    <t>Notas_Images/24b642f5.Foto 1.234933.jpg</t>
  </si>
  <si>
    <t>Notas_Images/24b642f5.Foto 2.234933.jpg</t>
  </si>
  <si>
    <t>Superviza Supermercado (02/04/2026) - Cafe funcionários</t>
  </si>
  <si>
    <t>Notas_Images/7e6e9b8e.Foto.201527.jpg</t>
  </si>
  <si>
    <t>RPG - Morango Rafael (04/04/2026) - Morangos</t>
  </si>
  <si>
    <t>Notas_Images/baac53fb.Foto.231712.jpg</t>
  </si>
  <si>
    <t>LM comércio e distribuidora de utilidades Ltda (08/04/2026) - Produtos banheiro</t>
  </si>
  <si>
    <t>R$ 63,52</t>
  </si>
  <si>
    <t>Notas_Images/b48fd624.Foto.013826.jpg</t>
  </si>
  <si>
    <t>Produtos banheiro</t>
  </si>
  <si>
    <t>cafe</t>
  </si>
  <si>
    <t>R$ 25,25</t>
  </si>
  <si>
    <t>Coper campos (08/04/2026) - Frutas e café funcionários</t>
  </si>
  <si>
    <t>Notas_Images/f69b3eac.Foto.013924.jpg</t>
  </si>
  <si>
    <t>Rafaela free-lancer (12/04/2026) - PGTO freelancer Rafaela</t>
  </si>
  <si>
    <t>Notas_Images/ecc65471.Foto.200910.jpg</t>
  </si>
  <si>
    <t>Gabriela Free-lancer (12/04/2026) - PGTO freelancer Gabriela</t>
  </si>
  <si>
    <t>Notas_Images/65eb9034.Foto.201716.jpg</t>
  </si>
  <si>
    <t>PGTO freelancer Gabriela</t>
  </si>
  <si>
    <t>Free-lancer Emanuele Gonçalves (12/04/2026) - PGTO Emanuele free-lancer</t>
  </si>
  <si>
    <t>Notas_Images/9d1a513b.Foto.011323.jpg</t>
  </si>
  <si>
    <t>PGTO Emanuele free-lancer</t>
  </si>
  <si>
    <t>Rafaela free-lancer (05/04/2026) - Pgto Free-lancer Rafaela</t>
  </si>
  <si>
    <t>Notas_Images/29050868.Foto.023822.jpg</t>
  </si>
  <si>
    <t>Pgto Free-lancer Rafaela</t>
  </si>
  <si>
    <t>Sangria cx Mariane 12/08/2025</t>
  </si>
  <si>
    <t>63353c1d</t>
  </si>
  <si>
    <t>TIAGO FERNANDO FREE-LANCER (05/04/2026) - Pgto Free-lancer Tiago</t>
  </si>
  <si>
    <t>Notas_Images/f400bee7.Foto.024010.jpg</t>
  </si>
  <si>
    <t>Pgto Free-lancer Tiago</t>
  </si>
  <si>
    <t>Free-lancer Emanuele Gonçalves (05/04/2026) - Pgto Free-lancer Emanuele</t>
  </si>
  <si>
    <t>Notas_Images/ab88b35f.Foto.024126.jpg</t>
  </si>
  <si>
    <t>R$ 270,00</t>
  </si>
  <si>
    <t>tubo de aço para manutenção da loja</t>
  </si>
  <si>
    <t>Gabriela Free-lancer (05/04/2026) - Pgto Free-lancer Gabriela</t>
  </si>
  <si>
    <t>Notas_Images/22a5d429.Foto.024253.jpg</t>
  </si>
  <si>
    <t>Sangria Mariane</t>
  </si>
  <si>
    <t>Superviza Supermercado (10/04/2026) - Frutas</t>
  </si>
  <si>
    <t>Notas_Images/84d32835.Foto.024529.jpg</t>
  </si>
  <si>
    <t>Reembolso (12/04/2026) - Cafe funcionários</t>
  </si>
  <si>
    <t>R$ 23,52</t>
  </si>
  <si>
    <t>Notas_Images/5d70332d.Foto.024833.jpg</t>
  </si>
  <si>
    <t>Graciele da Rossa Sorteio n1</t>
  </si>
  <si>
    <t>Morango seu kinho (10/04/2026) - Morangos</t>
  </si>
  <si>
    <t>Notas_Images/829c1a25.Foto.025053.jpg</t>
  </si>
  <si>
    <t>RPG - Morango Rafael (09/04/2026) - Morangos</t>
  </si>
  <si>
    <t>Notas_Images/7a2a7d57.Foto.025302.jpg</t>
  </si>
  <si>
    <t>R$ 63,00</t>
  </si>
  <si>
    <t>Donna Faxina (10/04/2026) - Produtos de limpeza</t>
  </si>
  <si>
    <t>Notas_Images/35dbb59a.Foto.030901.jpg</t>
  </si>
  <si>
    <t>Fruteira da marta (09/04/2026) - frutas</t>
  </si>
  <si>
    <t>Notas_Images/5d35a3a2.Foto.031520.jpg</t>
  </si>
  <si>
    <t>vale 20 reais (assinado)</t>
  </si>
  <si>
    <t>Free-lancer Emanuele Gonçalves (13/04/2026) - Pgto Free-lancer Emanuele</t>
  </si>
  <si>
    <t>Notas_Images/4c8ccff7.Foto.003621.jpg</t>
  </si>
  <si>
    <t>RPG - Morango Rafael (13/04/2026) - Morangos</t>
  </si>
  <si>
    <t>Notas_Images/5be0f5d9.Foto.003823.jpg</t>
  </si>
  <si>
    <t>R$ 45,00</t>
  </si>
  <si>
    <t>Gabriela Free-lancer (11/04/2026) - Pgto Free-lancer Gabriela</t>
  </si>
  <si>
    <t>copias</t>
  </si>
  <si>
    <t>Notas_Images/787cd4fb.Foto.010705.jpg</t>
  </si>
  <si>
    <t>Tuicial Indústria Gráfica e Editora LTDA (10/04/2026) - Embalagens potes 720ml 3 boletos</t>
  </si>
  <si>
    <t>Notas_Images/bd4f039a.Foto.011202.jpg</t>
  </si>
  <si>
    <t>Notas_Images/bd4f039a.Foto 1.011202.jpg</t>
  </si>
  <si>
    <t>Coper campos (14/04/2026) - Frutas e café funcionários</t>
  </si>
  <si>
    <t>Notas_Images/dea1c5e4.Foto.213027.jpg</t>
  </si>
  <si>
    <t>R$ 2,35</t>
  </si>
  <si>
    <t>Amadelli (14/04/2026) - Estoque gelado</t>
  </si>
  <si>
    <t>Notas_Images/8f1e78bd.Foto.015153.jpg</t>
  </si>
  <si>
    <t>Notas_Images/8f1e78bd.Foto 1.015153.jpg</t>
  </si>
  <si>
    <t>Superviza Supermercado (17/04/2026) - Frutas e café funcionários</t>
  </si>
  <si>
    <t>Notas_Images/3f161dd2.Foto.235757.jpg</t>
  </si>
  <si>
    <t>Coper campos (17/04/2026) - Frutas</t>
  </si>
  <si>
    <t>Notas_Images/46bd0c5b.Foto.235918.jpg</t>
  </si>
  <si>
    <t>Cópias cia (16/04/2026) - Impressão</t>
  </si>
  <si>
    <t>Notas_Images/3c7882ab.Foto.000050.jpg</t>
  </si>
  <si>
    <t>CANETA P/ TESTAR DINHEIRO</t>
  </si>
  <si>
    <t>Gabriela Free-lancer (17/04/2026) - Pgto Free-lancer Gabriela</t>
  </si>
  <si>
    <t>Notas_Images/80358386.Foto.010609.jpg</t>
  </si>
  <si>
    <t>Morango seu kinho (18/04/2026) - Morangos</t>
  </si>
  <si>
    <t>Notas_Images/1b2eb21c.Foto.172251.jpg</t>
  </si>
  <si>
    <t>FO-BRAN BEBIDAS (18/04/2026) - Bebidas</t>
  </si>
  <si>
    <t>Notas_Images/511698ac.Foto.173101.jpg</t>
  </si>
  <si>
    <t>Superviza Supermercado (03/04/2026) - Chocolate para funcionários pascoa</t>
  </si>
  <si>
    <t>R$ 66,94</t>
  </si>
  <si>
    <t>Notas_Images/b49c7cb3.Foto.174133.jpg</t>
  </si>
  <si>
    <t>Chocolate para funcionários pascoa</t>
  </si>
  <si>
    <t>Gabriela Free-lancer (18/04/2026) - Pgto Free-lancer Gabriela</t>
  </si>
  <si>
    <t>Notas_Images/616a62d6.Foto.010345.jpg</t>
  </si>
  <si>
    <t>R$ 16,35</t>
  </si>
  <si>
    <t>TROCA POR MOEDAS</t>
  </si>
  <si>
    <t>Amadelli (14/04/2026) - Estoque seco</t>
  </si>
  <si>
    <t>Notas_Images/7495a16e.Foto.190815.jpg</t>
  </si>
  <si>
    <t>Notas_Images/7495a16e.Foto 1.190815.jpg</t>
  </si>
  <si>
    <t>agua pago pereira mes 06/25 e 07/25</t>
  </si>
  <si>
    <t>Amadelli (31/03/2026) - Estoque seco atrasado</t>
  </si>
  <si>
    <t>Notas_Images/ecb7743d.Foto.193356.jpg</t>
  </si>
  <si>
    <t>Estoque seco atrasado</t>
  </si>
  <si>
    <t>Notas_Images/ecb7743d.Foto 1.193356.jpg</t>
  </si>
  <si>
    <t>TROCADO POR MOEDAS</t>
  </si>
  <si>
    <t>Reembolso (20/04/2026) - Frutas e café funcionários</t>
  </si>
  <si>
    <t>Notas_Images/5fa85aec.Foto.193836.jpg</t>
  </si>
  <si>
    <t>Gabriela Free-lancer (20/04/2026) - Pgto Free-lancer Gabriela</t>
  </si>
  <si>
    <t>Notas_Images/d8f86477.Foto.214522.jpg</t>
  </si>
  <si>
    <t>Free-lancer Emanuele Gonçalves (20/04/2026) - Pgto Free-lancer Emanuele</t>
  </si>
  <si>
    <t>Notas_Images/bc9a8932.Foto.214650.jpg</t>
  </si>
  <si>
    <t>LM comércio e distribuidora de utilidades Ltda (20/04/2026) - Materiais de escritório</t>
  </si>
  <si>
    <t>Notas_Images/4734cde2.Foto.214842.jpg</t>
  </si>
  <si>
    <t>RPG - Morango Rafael (20/04/2026) - Morangos</t>
  </si>
  <si>
    <t>Notas_Images/a358ba7c.Foto.223740.jpg</t>
  </si>
  <si>
    <t>TIAGO FERNANDO FREE-LANCER (21/04/2026) - Pgto Free-lancer Tiago</t>
  </si>
  <si>
    <t>Notas_Images/34bdae58.Foto.000003.jpg</t>
  </si>
  <si>
    <t>R$ 71,03</t>
  </si>
  <si>
    <t>CAFE</t>
  </si>
  <si>
    <t>Free-lancer Emanuele Gonçalves (21/04/2026) - Pgto Free-lancer Emanuele</t>
  </si>
  <si>
    <t>Notas_Images/d1861912.Foto.013620.jpg</t>
  </si>
  <si>
    <t>Rafaela free-lancer (21/04/2026) - Pgto Free-lancer Rafaela</t>
  </si>
  <si>
    <t>Notas_Images/43e38b7a.Foto.013848.jpg</t>
  </si>
  <si>
    <t>Gabriela Free-lancer (21/04/2026) - Pgto Free-lancer Gabriela</t>
  </si>
  <si>
    <t>Notas_Images/d1490750.Foto.013959.jpg</t>
  </si>
  <si>
    <t>R$ 28,97</t>
  </si>
  <si>
    <t>Fruteira da marta (17/04/2026) - frutas</t>
  </si>
  <si>
    <t>R$ 67,20</t>
  </si>
  <si>
    <t>Notas_Images/4005848d.Foto.122240.jpg</t>
  </si>
  <si>
    <t>Superviza Supermercado (24/04/2026) - Frutas e café funcionários</t>
  </si>
  <si>
    <t>Notas_Images/38fafb62.Foto.011618.jpg</t>
  </si>
  <si>
    <t>Morango seu kinho (24/04/2026) - Morangos</t>
  </si>
  <si>
    <t>Notas_Images/46d2f6d2.Foto.012009.jpg</t>
  </si>
  <si>
    <t>Free-lancer Emanuele Gonçalves (26/04/2026) - Pgto Free-lancer Emanuele</t>
  </si>
  <si>
    <t>Notas_Images/7ac5f377.Foto.023253.jpg</t>
  </si>
  <si>
    <t>Coper campos (22/04/2026) - Café funcionários e frutas</t>
  </si>
  <si>
    <t>R$ 57,00</t>
  </si>
  <si>
    <t>Notas_Images/07880ce8.Foto.023425.jpg</t>
  </si>
  <si>
    <t>PGTO Frelancer Gabriel</t>
  </si>
  <si>
    <t>LM comércio e distribuidora de utilidades Ltda (22/04/2026) - Varal roupas</t>
  </si>
  <si>
    <t>Notas_Images/19ede98d.Foto.023629.jpg</t>
  </si>
  <si>
    <t>Varal roupas</t>
  </si>
  <si>
    <t>TROCO CX</t>
  </si>
  <si>
    <t>RPG - Morango Rafael (25/04/2026) - Morangos</t>
  </si>
  <si>
    <t>Notas_Images/7b42db6c.Foto.023916.jpg</t>
  </si>
  <si>
    <t>DIPAR (28/04/2026) - Bobina térmica</t>
  </si>
  <si>
    <t>Notas_Images/8f2364b7.Foto.002541.jpg</t>
  </si>
  <si>
    <t>Confeitaria Bom bocado (28/04/2026) - Café funcionários</t>
  </si>
  <si>
    <t>Notas_Images/fc373422.Foto.002702.jpg</t>
  </si>
  <si>
    <t>R$ 246,89</t>
  </si>
  <si>
    <t>d8d42bd8</t>
  </si>
  <si>
    <t>Funcionário teste (26/04/2026) - Eloidia teste</t>
  </si>
  <si>
    <t>Notas_Images/ff907cea.Foto.002942.jpg</t>
  </si>
  <si>
    <t>Eloidia teste</t>
  </si>
  <si>
    <t>Funcionário teste (26/04/2026) - Camile teste</t>
  </si>
  <si>
    <t>Notas_Images/16ab9137.Foto.003127.jpg</t>
  </si>
  <si>
    <t>Camile teste</t>
  </si>
  <si>
    <t>Donna Faxina (27/04/2026) - Produtos de limpeza</t>
  </si>
  <si>
    <t>Notas_Images/8c3297bb.Foto.003441.jpg</t>
  </si>
  <si>
    <t>R$ 49,98</t>
  </si>
  <si>
    <t>AGUA PEREIRA</t>
  </si>
  <si>
    <t>pano limpeza</t>
  </si>
  <si>
    <t>Fruteira da marta (22/04/2026) - FRUTAS</t>
  </si>
  <si>
    <t>Notas_Images/3fdcf203.Foto.012101.jpg</t>
  </si>
  <si>
    <t>Amadelli (28/04/2026) - Suporte bola copa 2026</t>
  </si>
  <si>
    <t>Notas_Images/0e98b5ce.Foto.131813.jpg</t>
  </si>
  <si>
    <t>Suporte bola copa 2026</t>
  </si>
  <si>
    <t>Amadelli (28/04/2026) - Estoque gelado Açaí tradicional light</t>
  </si>
  <si>
    <t>Notas_Images/a4ebe4d0.Foto.132355.jpg</t>
  </si>
  <si>
    <t>Estoque gelado Açaí tradicional light</t>
  </si>
  <si>
    <t>Amadelli (28/04/2026) - Estoque gelado</t>
  </si>
  <si>
    <t>Notas_Images/b8c41f0a.Foto.133439.jpg</t>
  </si>
  <si>
    <t>Notas_Images/b8c41f0a.Foto 1.133439.jpg</t>
  </si>
  <si>
    <t>R$ 46,88</t>
  </si>
  <si>
    <t>724e3a8a</t>
  </si>
  <si>
    <t>Igteja (30/04/2026) - Pao cafe funcionários</t>
  </si>
  <si>
    <t>Notas_Images/bcdbb086.Foto.015200.jpg</t>
  </si>
  <si>
    <t>Pao cafe funcionários</t>
  </si>
  <si>
    <t>Superviza Supermercado (30/04/2026) - Frutas</t>
  </si>
  <si>
    <t>Notas_Images/e72587c7.Foto.015313.jpg</t>
  </si>
  <si>
    <t>Superviza Supermercado (30/04/2026) - Café funcionários dia trabalhador NF perdida</t>
  </si>
  <si>
    <t>Notas_Images/5b4ca261.Foto.015429.jpg</t>
  </si>
  <si>
    <t>Café funcionários dia trabalhador NF perdida</t>
  </si>
  <si>
    <t>Morango seu kinho (02/05/2026) - Morangos</t>
  </si>
  <si>
    <t>Notas_Images/ac9b223c.Foto.202112.jpg</t>
  </si>
  <si>
    <t>R$ 12,98</t>
  </si>
  <si>
    <t>Free-lancer Emanuele Gonçalves (01/05/2026) - Pgto Free-lancer Emanuele</t>
  </si>
  <si>
    <t>consumo helena</t>
  </si>
  <si>
    <t>Notas_Images/b090ab4b.Foto.202320.jpg</t>
  </si>
  <si>
    <t>Amadelli (28/04/2026) - Estoque seco</t>
  </si>
  <si>
    <t>R$ 59,50</t>
  </si>
  <si>
    <t>Notas_Images/9a3f46e2.Foto.203233.jpg</t>
  </si>
  <si>
    <t>INFLUENCER ELIANARA</t>
  </si>
  <si>
    <t>Free-lancer Emanuele Gonçalves (02/05/2026) - Pgto Free-lancer Emanuele</t>
  </si>
  <si>
    <t>Notas_Images/eb2bdff5.Foto.204922.jpg</t>
  </si>
  <si>
    <t>Coper campos (03/05/2026) - Café funcionários</t>
  </si>
  <si>
    <t>Notas_Images/68e41e95.Foto.021651.jpg</t>
  </si>
  <si>
    <t>R$ 18,05</t>
  </si>
  <si>
    <t>doação</t>
  </si>
  <si>
    <t>Fruteira da marta (01/05/2026) - Frutas</t>
  </si>
  <si>
    <t>Notas_Images/7169ade0.Foto.022240.jpg</t>
  </si>
  <si>
    <t>R$ 318,00</t>
  </si>
  <si>
    <t>PGTO FREELANCER WILLIAN</t>
  </si>
  <si>
    <t>Coper campos (05/05/2026) - Frutas e café funcionários</t>
  </si>
  <si>
    <t>Notas_Images/bafb7bb8.Foto.191052.jpg</t>
  </si>
  <si>
    <t>Reembolso (05/05/2026) - PGTO SAMAE fatura de Água</t>
  </si>
  <si>
    <t>R$ 213,00</t>
  </si>
  <si>
    <t>Notas_Images/1dd82273.Foto.195500.jpg</t>
  </si>
  <si>
    <t>PGTO GABRIEL FREELANCER</t>
  </si>
  <si>
    <t>PGTO SAMAE fatura de Água</t>
  </si>
  <si>
    <t>Notas_Images/1dd82273.Foto 1.195500.jpg</t>
  </si>
  <si>
    <t>FO-BRAN BEBIDAS (05/05/2026) - Bebidas</t>
  </si>
  <si>
    <t>Notas_Images/16397aff.Foto.002626.jpg</t>
  </si>
  <si>
    <t>Notas_Images/cd4e2d07.Foto.002923.jpg</t>
  </si>
  <si>
    <t>Free-lancer Emanuele Gonçalves (10/05/2026) - Pgto Free-lancer Emanuele</t>
  </si>
  <si>
    <t>Notas_Images/1afcc094.Foto.171624.jpg</t>
  </si>
  <si>
    <t>Superviza Supermercado (09/05/2026) - Frutas e café funcionários</t>
  </si>
  <si>
    <t>Notas_Images/c935908c.Foto.172007.jpg</t>
  </si>
  <si>
    <t>PGTO SAMARA FREELANCER</t>
  </si>
  <si>
    <t>Cópias cia (08/05/2026) - Impressão</t>
  </si>
  <si>
    <t>Notas_Images/d611ba28.Foto.172217.jpg</t>
  </si>
  <si>
    <t>R$ 4,99</t>
  </si>
  <si>
    <t>açúcar</t>
  </si>
  <si>
    <t>kopus (05/05/2026) - Embalagens potes 550ml</t>
  </si>
  <si>
    <t>Notas_Images/03566c0f.Foto.194920.jpg</t>
  </si>
  <si>
    <t>Embalagens potes 550ml</t>
  </si>
  <si>
    <t>Notas_Images/03566c0f.Foto 1.194920.jpg</t>
  </si>
  <si>
    <t>Rafaela free-lancer (10/05/2026) - Pgto Free-lancer Rafaela</t>
  </si>
  <si>
    <t>Notas_Images/c94e7e95.Foto.201154.jpg</t>
  </si>
  <si>
    <t>RPG - Morango Rafael (04/05/2026) - Morangos</t>
  </si>
  <si>
    <t>Notas_Images/4a619811.Foto.233639.jpg</t>
  </si>
  <si>
    <t>Cópias cia (11/05/2026) - Impressão</t>
  </si>
  <si>
    <t>Notas_Images/85fec844.Foto.234201.jpg</t>
  </si>
  <si>
    <t>Coper campos (11/05/2026) - Cafe funcionários</t>
  </si>
  <si>
    <t>Notas_Images/85b12fd9.Foto.002431.jpg</t>
  </si>
  <si>
    <t>LM comércio e distribuidora de utilidades Ltda (11/05/2026) - Materiais escritório</t>
  </si>
  <si>
    <t>Notas_Images/06362f12.Foto.002535.jpg</t>
  </si>
  <si>
    <t>R$ 36,23</t>
  </si>
  <si>
    <t>CONSUMO HELENA</t>
  </si>
  <si>
    <t>Reembolso (12/05/2026) - cliente fez pix por engano</t>
  </si>
  <si>
    <t>Notas_Images/7c3a26ea.Foto.223300.jpg</t>
  </si>
  <si>
    <t>cliente fez pix por engano</t>
  </si>
  <si>
    <t>Coper campos (16/05/2026) - Frutas</t>
  </si>
  <si>
    <t>R$ 289,90</t>
  </si>
  <si>
    <t>Notas_Images/2de0b9ba.Foto.225206.jpg</t>
  </si>
  <si>
    <t>R$ 11,20</t>
  </si>
  <si>
    <t>compra aspirador de pó</t>
  </si>
  <si>
    <t>Estelar materiais de construção (14/05/2026) - Manutenção loja</t>
  </si>
  <si>
    <t>Notas_Images/42bcb348.Foto.225423.jpg</t>
  </si>
  <si>
    <t>R$ 25,00</t>
  </si>
  <si>
    <t>Morango seu kinho (15/05/2026) - Morangos</t>
  </si>
  <si>
    <t>Notas_Images/ada11047.Foto.225742.jpg</t>
  </si>
  <si>
    <t>Amadelli (12/05/2026) - Estoque seco Kit festa</t>
  </si>
  <si>
    <t>Notas_Images/d879982f.Foto.230336.jpg</t>
  </si>
  <si>
    <t>Estoque seco Kit festa</t>
  </si>
  <si>
    <t>R$ 186,75</t>
  </si>
  <si>
    <t>Amadelli (12/05/2026) - Estoque gelado complemento</t>
  </si>
  <si>
    <t>Notas_Images/8f90293f.Foto.231157.jpg</t>
  </si>
  <si>
    <t>Amadelli (12/05/2026) - Estoque gelado</t>
  </si>
  <si>
    <t>R$ 5,49</t>
  </si>
  <si>
    <t>Notas_Images/30498657.Foto.231758.jpg</t>
  </si>
  <si>
    <t>FILTRO CAFE</t>
  </si>
  <si>
    <t>Notas_Images/30498657.Foto 1.231758.jpg</t>
  </si>
  <si>
    <t>Notas_Images/30498657.Foto 2.231758.jpg</t>
  </si>
  <si>
    <t>Amadelli (12/05/2026) - Campanha de inverno petit gateau</t>
  </si>
  <si>
    <t>Notas_Images/5d8dc08a.Foto.232145.jpg</t>
  </si>
  <si>
    <t>Campanha de inverno petit gateau</t>
  </si>
  <si>
    <t>R$ 15,10</t>
  </si>
  <si>
    <t>96f1506b</t>
  </si>
  <si>
    <t>Ferreira e Ferreira Indústria e Comércio de Equipamentos LTDA (13/05/2026) - Máquina de fazer casquinha</t>
  </si>
  <si>
    <t>Notas_Images/07faf816.Foto.003701.jpg</t>
  </si>
  <si>
    <t>Máquina de fazer casquinha</t>
  </si>
  <si>
    <t>FREELANCER SAMANTA</t>
  </si>
  <si>
    <t>Confeitaria Bom bocado (19/05/2026) - Café funcionários</t>
  </si>
  <si>
    <t>R$ 19,75</t>
  </si>
  <si>
    <t>Notas_Images/ce03576f.Foto.001641.jpg</t>
  </si>
  <si>
    <t>TROCA MOEDAS</t>
  </si>
  <si>
    <t>compra de moedas</t>
  </si>
  <si>
    <t>RPG - Morango Rafael (18/05/2026) - Morangos</t>
  </si>
  <si>
    <t>Notas_Images/1dc50ac5.Foto.000159.jpg</t>
  </si>
  <si>
    <t>LM comércio e distribuidora de utilidades Ltda (20/05/2026) - Utensílios cozinha</t>
  </si>
  <si>
    <t>Notas_Images/8d0db315.Foto.000407.jpg</t>
  </si>
  <si>
    <t>Utensílios cozinha</t>
  </si>
  <si>
    <t>Superviza Supermercado (20/05/2026) - Frutas e café funcionários</t>
  </si>
  <si>
    <t>Notas_Images/b433a473.Foto.000507.jpg</t>
  </si>
  <si>
    <t>Coper campos (20/05/2026) - Frutas</t>
  </si>
  <si>
    <t>Notas_Images/2ca9a498.Foto.000621.jpg</t>
  </si>
  <si>
    <t>FO-BRAN BEBIDAS (21/05/2026) - Bebidas</t>
  </si>
  <si>
    <t>Notas_Images/25599fe2.Foto.000853.jpg</t>
  </si>
  <si>
    <t>Amadelli (12/05/2026) - Estoque gelado 2 Açaí light</t>
  </si>
  <si>
    <t>Notas_Images/4b72b585.Foto.001227.jpg</t>
  </si>
  <si>
    <t>Estoque gelado 2 Açaí light</t>
  </si>
  <si>
    <t>Amadelli (20/05/2026) - Estoque gelado sorvetes da copa</t>
  </si>
  <si>
    <t>Notas_Images/b39dff11.Foto.001603.jpg</t>
  </si>
  <si>
    <t>Estoque gelado sorvetes da copa</t>
  </si>
  <si>
    <t>Coper campos (22/05/2026) - Café funcionários</t>
  </si>
  <si>
    <t>Notas_Images/d105bdd4.Foto.000129.jpg</t>
  </si>
  <si>
    <t>Coper campos (22/05/2026) - Cafe funcionários</t>
  </si>
  <si>
    <t>Notas_Images/9542a5a7.Foto.000224.jpg</t>
  </si>
  <si>
    <t>Estelar materiais de construção (22/05/2026) - Manutenção loja</t>
  </si>
  <si>
    <t>Notas_Images/ae330bdb.Foto.000325.jpg</t>
  </si>
  <si>
    <t>R$ 24,20</t>
  </si>
  <si>
    <t>Morango seu kinho (22/05/2026) - Morangos</t>
  </si>
  <si>
    <t>Notas_Images/9123ba3d.Foto.000551.jpg</t>
  </si>
  <si>
    <t>Free-lancer Emanuele Gonçalves (24/05/2026) - Pgto Free-lancer Emanuele</t>
  </si>
  <si>
    <t>Notas_Images/488e732d.Foto.020204.jpg</t>
  </si>
  <si>
    <t>Coper campos (26/05/2026) - Frutas</t>
  </si>
  <si>
    <t>Notas_Images/d7785b6e.Foto.001429.jpg</t>
  </si>
  <si>
    <t>MATERIAIS DE ESCRITORIO</t>
  </si>
  <si>
    <t>Superviza Supermercado (26/05/2026) - Frutas</t>
  </si>
  <si>
    <t>Notas_Images/544c9593.Foto.001528.jpg</t>
  </si>
  <si>
    <t>fa0b586c</t>
  </si>
  <si>
    <t>Nicopel Embalagens LTDA (22/05/2026) - Embalagens 2 boleto</t>
  </si>
  <si>
    <t>Notas_Images/d2244414.Foto.003856.jpg</t>
  </si>
  <si>
    <t>Embalagens 2 boleto</t>
  </si>
  <si>
    <t>Notas_Images/d2244414.Foto 1.003856.jpg</t>
  </si>
  <si>
    <t>Notas_Images/d2244414.Foto 2.003856.jpg</t>
  </si>
  <si>
    <t>Donna Faxina (25/05/2026) - Produtos de limpeza</t>
  </si>
  <si>
    <t>Notas_Images/c587e251.Foto.004351.jpg</t>
  </si>
  <si>
    <t>CX MARI SANGRIA</t>
  </si>
  <si>
    <t>Superviza Supermercado (30/05/2026) - Frutas e café funcionários</t>
  </si>
  <si>
    <t>Notas_Images/5b6a2101.Foto.205756.jpg</t>
  </si>
  <si>
    <t>Coper campos (29/05/2026) - Cafe funcionários</t>
  </si>
  <si>
    <t>R$ 201,11</t>
  </si>
  <si>
    <t>Notas_Images/f2c5667b.Foto.211748.jpg</t>
  </si>
  <si>
    <t>WILLIAN FONSECA FREELANCER</t>
  </si>
  <si>
    <t>Morango seu kinho (29/05/2026) - Morangos</t>
  </si>
  <si>
    <t>Notas_Images/a220cdab.Foto.212143.jpg</t>
  </si>
  <si>
    <t>R$ 17,11</t>
  </si>
  <si>
    <t>Amadelli (12/05/2026) - Estoque seco</t>
  </si>
  <si>
    <t>Notas_Images/e738e9e3.Foto.213953.jpg</t>
  </si>
  <si>
    <t>LM comércio e distribuidora de utilidades Ltda (01/06/2026) - Decoracao dias dos namorados</t>
  </si>
  <si>
    <t>R$ 158,06</t>
  </si>
  <si>
    <t>Notas_Images/b8876d9b.Foto.214915.jpg</t>
  </si>
  <si>
    <t>Decoracao dias dos namorados</t>
  </si>
  <si>
    <t>R$ 212,42</t>
  </si>
  <si>
    <t>Free-lancer Emanuele Gonçalves (31/05/2026) - Pagto Free-lancer Emanuele</t>
  </si>
  <si>
    <t>Notas_Images/edff154d.Foto.215731.jpg</t>
  </si>
  <si>
    <t>Pagto Free-lancer Emanuele</t>
  </si>
  <si>
    <t>GABRIEL DA SILVA FREELANCER</t>
  </si>
  <si>
    <t>Coper campos (31/05/2026) - Cafe funcionários</t>
  </si>
  <si>
    <t>Notas_Images/5653310d.Foto.215858.jpg</t>
  </si>
  <si>
    <t>aa7f486a</t>
  </si>
  <si>
    <t>Milena Himmer Free-lancer (31/05/2026) - Pgto Free-lancer milena</t>
  </si>
  <si>
    <t>Notas_Images/daa4d6de.Foto.220042.jpg</t>
  </si>
  <si>
    <t>Pgto Free-lancer milena</t>
  </si>
  <si>
    <t>Estelar materiais de construção (26/05/2026) - Manutenção loja</t>
  </si>
  <si>
    <t>Notas_Images/8da7c0fc.Foto.220347.jpg</t>
  </si>
  <si>
    <t>Empórium ker mais (03/06/2026) - Enfeite dias dos namorados</t>
  </si>
  <si>
    <t>80,00 acima referente ao caixa pagamento</t>
  </si>
  <si>
    <t>Notas_Images/1530af6b.Foto.180600.jpg</t>
  </si>
  <si>
    <t>Enfeite dias dos namorados</t>
  </si>
  <si>
    <t>Morango seu kinho (03/06/2026) - Morangos</t>
  </si>
  <si>
    <t>Notas_Images/138a9232.Foto.180918.jpg</t>
  </si>
  <si>
    <t>LM comércio e distribuidora de utilidades Ltda (03/06/2026) - Decoração dia dia namorados</t>
  </si>
  <si>
    <t>Notas_Images/b529e3e5.Foto.222813.jpg</t>
  </si>
  <si>
    <t>Decoração dia dia namorados</t>
  </si>
  <si>
    <t>R$ 60,82</t>
  </si>
  <si>
    <t>café e frutas</t>
  </si>
  <si>
    <t>Superviza Supermercado (03/06/2026) - Frutas e café funcionários</t>
  </si>
  <si>
    <t>Notas_Images/0e2ea3b8.Foto.222913.jpg</t>
  </si>
  <si>
    <t>R$ 33,00</t>
  </si>
  <si>
    <t>c859fab4</t>
  </si>
  <si>
    <t>ZeH acessorisos (03/06/2026) - Decoração copa</t>
  </si>
  <si>
    <t>Notas_Images/d8da55e1.Foto.235832.jpg</t>
  </si>
  <si>
    <t>Decoração copa</t>
  </si>
  <si>
    <t>SAMAE (01/06/2026) - Fatura de água</t>
  </si>
  <si>
    <t>Notas_Images/9bad9ecf.Foto.230044.jpg</t>
  </si>
  <si>
    <t>R$ 21,89</t>
  </si>
  <si>
    <t>FO-BRAN BEBIDAS (03/06/2026) - Bebidas</t>
  </si>
  <si>
    <t>Notas_Images/670b4e74.Foto.230232.jpg</t>
  </si>
  <si>
    <t>Free-lancer Emanuele Gonçalves (07/06/2026) - Pgto Free-lancer Emanuele</t>
  </si>
  <si>
    <t>Notas_Images/152df720.Foto.230434.jpg</t>
  </si>
  <si>
    <t>d980a910</t>
  </si>
  <si>
    <t>Siandra Free-lancer (07/06/2026) - Pgto Free-lancer Siandra</t>
  </si>
  <si>
    <t>Notas_Images/7d217a35.Foto.230558.jpg</t>
  </si>
  <si>
    <t>Pgto Free-lancer Siandra</t>
  </si>
  <si>
    <t>Milena Himmer Free-lancer (07/06/2026) - Pgto Free-lancer Milena</t>
  </si>
  <si>
    <t>Notas_Images/428bcae8.Foto.230659.jpg</t>
  </si>
  <si>
    <t>Pgto Free-lancer Milena</t>
  </si>
  <si>
    <t>Superviza Supermercado (09/06/2026) - Frutas</t>
  </si>
  <si>
    <t>Notas_Images/61ab7f79.Foto.004323.jpg</t>
  </si>
  <si>
    <t>e7fd0fe5</t>
  </si>
  <si>
    <t>ZECCA E ZECCA LTDA (09/06/2026) - Renovação extintor</t>
  </si>
  <si>
    <t>Notas_Images/e168a83b.Foto.004527.jpg</t>
  </si>
  <si>
    <t>Renovação extintor</t>
  </si>
  <si>
    <t>ProFood (25/05/2026) - Embalagens potes 750ml e saco craft 5kg 2 boletos</t>
  </si>
  <si>
    <t>Notas_Images/181cb2c4.Foto.004825.jpg</t>
  </si>
  <si>
    <t>Embalagens potes 750ml e saco craft 5kg 2 boletos</t>
  </si>
  <si>
    <t>Notas_Images/181cb2c4.Foto 1.004825.jpg</t>
  </si>
  <si>
    <t>Morango seu kinho (10/06/2026) - Morangos</t>
  </si>
  <si>
    <t>Notas_Images/882a7ac5.Foto.183908.jpg</t>
  </si>
  <si>
    <t>Donna Faxina (11/06/2026) - Produtos de limpeza</t>
  </si>
  <si>
    <t>Notas_Images/5e3b9cef.Foto.185117.jpg</t>
  </si>
  <si>
    <t>Amadelli (10/06/2026) - Estoque gelado</t>
  </si>
  <si>
    <t>Notas_Images/0fcd9391.Foto.191651.jpg</t>
  </si>
  <si>
    <t>Notas_Images/0fcd9391.Foto 1.191651.jpg</t>
  </si>
  <si>
    <t>Amadelli (08/06/2026) - Estoque seco</t>
  </si>
  <si>
    <t>Notas_Images/851c140b.Foto.202707.jpg</t>
  </si>
  <si>
    <t>Free-lancer Emanuele Gonçalves (13/06/2026) - Pgto Free-lancer Emanuele</t>
  </si>
  <si>
    <t>Notas_Images/9e5038e9.Foto.215115.jpg</t>
  </si>
  <si>
    <t>Superviza Supermercado (15/06/2026) - Pilha controle</t>
  </si>
  <si>
    <t>Notas_Images/d01de919.Foto.235156.jpg</t>
  </si>
  <si>
    <t>Pilha controle</t>
  </si>
  <si>
    <t>R$ 25,20</t>
  </si>
  <si>
    <t>Superviza Supermercado (15/06/2026) - Frutas</t>
  </si>
  <si>
    <t>Notas_Images/beba5a74.Foto.235314.jpg</t>
  </si>
  <si>
    <t>Free-lancer Emanuele Gonçalves (14/06/2026) - PGTO free-lancer Emanuele</t>
  </si>
  <si>
    <t>Notas_Images/2e064ff5.Foto.235826.jpg</t>
  </si>
  <si>
    <t>Superviza Supermercado (18/06/2026) - Frutas e café funcionários</t>
  </si>
  <si>
    <t>Notas_Images/bfc6e260.Foto.001119.jpg</t>
  </si>
  <si>
    <t>Morango seu kinho (23/06/2026) - Morangos</t>
  </si>
  <si>
    <t>Notas_Images/0eb2b2bc.Foto.185833.jpg</t>
  </si>
  <si>
    <t>Pedido 85157 nota de serviço</t>
  </si>
  <si>
    <t>reembolso</t>
  </si>
  <si>
    <t>Pedido 85163 Nota de serviço</t>
  </si>
  <si>
    <t>R$ 1.230,00</t>
  </si>
  <si>
    <t>Despesas</t>
  </si>
  <si>
    <t>ee20c819</t>
  </si>
  <si>
    <t>Pedido 86954 nota de serviço</t>
  </si>
  <si>
    <t>Pedido 86962 nota de serviço</t>
  </si>
  <si>
    <t>Pedido 86958 nota de serviço</t>
  </si>
  <si>
    <t>Salario</t>
  </si>
  <si>
    <t>Spotfy R$22 + Sistema TBA R$10</t>
  </si>
  <si>
    <t>Pedido 88471 nota  de serviço</t>
  </si>
  <si>
    <t>Pedido 91144 Nota de serviço</t>
  </si>
  <si>
    <t>Pedido 91179 nota de serviço</t>
  </si>
  <si>
    <t>R$ 130,00</t>
  </si>
  <si>
    <t>porta guarda chuva inox</t>
  </si>
  <si>
    <t>Pedido 93578 nota de serviço</t>
  </si>
  <si>
    <t>Pedido 92666 nota de serviço</t>
  </si>
  <si>
    <t>R$ 137,16</t>
  </si>
  <si>
    <t>Pedido 93619 nota de serviço</t>
  </si>
  <si>
    <t>Pedido 93607 nota de serviço</t>
  </si>
  <si>
    <t>smoothie</t>
  </si>
  <si>
    <t>600un</t>
  </si>
  <si>
    <t>1° parcela 13°</t>
  </si>
  <si>
    <t>2° parcela 13°</t>
  </si>
  <si>
    <t>grade de ventilação para banheiro (respiração teto pereira)</t>
  </si>
  <si>
    <t>R$ 10,98</t>
  </si>
  <si>
    <t>grampos de roupas</t>
  </si>
  <si>
    <t>R$ 72,96</t>
  </si>
  <si>
    <t>Pedido 96887 nota de serviço</t>
  </si>
  <si>
    <t>consumo influencer</t>
  </si>
  <si>
    <t>Confraternização</t>
  </si>
  <si>
    <t>Copo 720 ml</t>
  </si>
  <si>
    <t>Pedido 97587 nota de serviço</t>
  </si>
  <si>
    <t>Pedido 97576</t>
  </si>
  <si>
    <t>Pedido 96770 VO 159,94 pago por Caçador para acerto de Conta Itau Aline</t>
  </si>
  <si>
    <t>Pedido 90415 nota de serviço</t>
  </si>
  <si>
    <t>Taxa</t>
  </si>
  <si>
    <t>c67d251c</t>
  </si>
  <si>
    <t>13°</t>
  </si>
  <si>
    <t>13° salario</t>
  </si>
  <si>
    <t>47b9fa34</t>
  </si>
  <si>
    <t>sangria MARCELO</t>
  </si>
  <si>
    <t>Pedido 100078 nota de serviço</t>
  </si>
  <si>
    <t>Custo mensal do escritório</t>
  </si>
  <si>
    <t>Pedido 100088 nota de serviço</t>
  </si>
  <si>
    <t>Serviço</t>
  </si>
  <si>
    <t>Pedido 102608 nota de serviço</t>
  </si>
  <si>
    <t>Desconto R$ 494,98 Pedido 102121 VO 28807,02</t>
  </si>
  <si>
    <t>Dezembro</t>
  </si>
  <si>
    <t>c00a6603</t>
  </si>
  <si>
    <t>Pedido 102608</t>
  </si>
  <si>
    <t>dabc865e</t>
  </si>
  <si>
    <t>Contas de Caçador pagas por CN, para acerto no sistema 13868,09+159,94</t>
  </si>
  <si>
    <t>Pedido 104343 nota de serviço</t>
  </si>
  <si>
    <t>Rescisório Wyllian</t>
  </si>
  <si>
    <t>para não perder número</t>
  </si>
  <si>
    <t>renovação</t>
  </si>
  <si>
    <t>Pedido 107113 etiquetas Frozen</t>
  </si>
  <si>
    <t>1/8 ar condicionado R$2024</t>
  </si>
  <si>
    <t>Nota fiscal 17838 parcela 02/03</t>
  </si>
  <si>
    <t>Pedido 110523 nota de serviço</t>
  </si>
  <si>
    <t>Pedido 110531 nota de serviço</t>
  </si>
  <si>
    <t>Pedido 110931 nota de serviço</t>
  </si>
  <si>
    <t>Pedido 112372 nota de serviço</t>
  </si>
  <si>
    <t>Pedido 112376 nota de serviço</t>
  </si>
  <si>
    <t>Pedido 104351 nota de serviço</t>
  </si>
  <si>
    <t>Pedido 107599 nota de serviço</t>
  </si>
  <si>
    <t>Pedido 108374 nota de serviço</t>
  </si>
  <si>
    <t>Pedido 113804 nota de serviço</t>
  </si>
  <si>
    <t>Pedido 115287 nota de serviço</t>
  </si>
  <si>
    <t>7059be8e</t>
  </si>
  <si>
    <t>Renovação</t>
  </si>
  <si>
    <t>Cliente Jose Divino, pagou 2x a mais</t>
  </si>
  <si>
    <t>1000un comprados pela internet</t>
  </si>
  <si>
    <t>Pedido 114648 nota de serviço</t>
  </si>
  <si>
    <t>Pedido 114648</t>
  </si>
  <si>
    <t>2/8 ar condicionado R$2024</t>
  </si>
  <si>
    <t>Pedido 116071 nota de serviço</t>
  </si>
  <si>
    <t>6 camisetas, 6 toucas e 6 aventais</t>
  </si>
  <si>
    <t>Pedido 116073 nota de serviço</t>
  </si>
  <si>
    <t>Pedido 117458</t>
  </si>
  <si>
    <t>Pedido 107113 nota de serviço</t>
  </si>
  <si>
    <t>Pedido 107606 nota de serviço</t>
  </si>
  <si>
    <t>Pedido 118183 nota de serviçol</t>
  </si>
  <si>
    <t>Pedido 118187 nota de serviço</t>
  </si>
  <si>
    <t>adiantamento</t>
  </si>
  <si>
    <t>Rescisao</t>
  </si>
  <si>
    <t>Pedido 119550 nota de serviço</t>
  </si>
  <si>
    <t>Pedido 121462 nota de serviço</t>
  </si>
  <si>
    <t>Pedido 121503 nota de serviço</t>
  </si>
  <si>
    <t>março</t>
  </si>
  <si>
    <t>3/8 ar condicionado R$2024</t>
  </si>
  <si>
    <t>Férias 16/07 a 05/08 Marcelo (20 dias)</t>
  </si>
  <si>
    <t>Férias 16/07 a 05/08 Mariane (20 dias)</t>
  </si>
  <si>
    <t>Férias 03/08 a 01/09 Isabeli (30 dias)</t>
  </si>
  <si>
    <t>Pedido 121503</t>
  </si>
  <si>
    <t>Pedido 124927 nota de serviço</t>
  </si>
  <si>
    <t>Pedido 124931 nota de serviço</t>
  </si>
  <si>
    <t>Pedido 75086 Kit Bob goods</t>
  </si>
  <si>
    <t>Pedido 71285 Kit Bob Goods</t>
  </si>
  <si>
    <t>Pedido75086 nota de serviço</t>
  </si>
  <si>
    <t>Pedido 71285 nota de serviço</t>
  </si>
  <si>
    <t>624 + retroativo março 39</t>
  </si>
  <si>
    <t>Pedido 125272 nota de serviço</t>
  </si>
  <si>
    <t>Pedido 126329 nota de serviço</t>
  </si>
  <si>
    <t>Pedido 128168 nota de serviço</t>
  </si>
  <si>
    <t>Pedido 128169 nota de serviço</t>
  </si>
  <si>
    <t>Pedido 128653 nota de serviço</t>
  </si>
  <si>
    <t>4/8 ar condicionado R$2024</t>
  </si>
  <si>
    <t>Tb do pedido 125272</t>
  </si>
  <si>
    <t>Pedido 128653</t>
  </si>
  <si>
    <t>Pedido 128947 nota de serviço</t>
  </si>
  <si>
    <t>Pedido 131103 nota de serviço</t>
  </si>
  <si>
    <t>Pedido 131804 nota de serviço</t>
  </si>
  <si>
    <t>Pedido 131808 nota de serviço</t>
  </si>
  <si>
    <t>Pedido 122728 nota de serviço</t>
  </si>
  <si>
    <t>Pedido 121916 nota de serviço</t>
  </si>
  <si>
    <t>Pedido 132229 nota de serviço</t>
  </si>
  <si>
    <t>VO 3624,17 (desconto R$ 24,11)Pedido 131808</t>
  </si>
  <si>
    <t>Multa fgts</t>
  </si>
  <si>
    <t>Rescisão</t>
  </si>
  <si>
    <t>5/8 ar condicionado R$2024</t>
  </si>
  <si>
    <t>troca de mercadorias</t>
  </si>
  <si>
    <t>Pedido 136052 nota de serviço</t>
  </si>
  <si>
    <t>Pedido 136055 nota de serviço</t>
  </si>
  <si>
    <t>Transferencias VT R$5208,65, 16/06 pix R$3929,74 CAI</t>
  </si>
  <si>
    <t>reembolso renovação</t>
  </si>
  <si>
    <t>FO-BRAN BEBIDAS (22/01/2026) - agua</t>
  </si>
  <si>
    <t>Notas de Compras_Images/b4c0def4.Foto.113528.jpg</t>
  </si>
  <si>
    <t>agua</t>
  </si>
  <si>
    <t>Amadelli (16/06/2026) - Estoque gelado waffle</t>
  </si>
  <si>
    <t>Notas de Compras_Images/acf326c6.Foto.221443.jpg</t>
  </si>
  <si>
    <t>Estoque gelado waffle</t>
  </si>
  <si>
    <t>Notas de Compras_Images/acf326c6.Foto 1.221443.jpg</t>
  </si>
  <si>
    <t>Notas de Compras_Images/acf326c6.Foto 2.221443.jpg</t>
  </si>
  <si>
    <t>Notas de Compras_Images/acf326c6.Foto 3.221447.jpg</t>
  </si>
  <si>
    <t>Donna Faxina (25/06/2026) - Produtos limpeza</t>
  </si>
  <si>
    <t>Notas de Compras_Images/26f4ca66.Foto.221940.jpg</t>
  </si>
  <si>
    <t>Produtos limpeza</t>
  </si>
  <si>
    <t>Notas de Compras_Images/26f4ca66.Foto 1.221940.jpg</t>
  </si>
  <si>
    <t>Notas de Compras_Images/26f4ca66.Foto 2.221940.jpg</t>
  </si>
  <si>
    <t>Notas de Compras_Images/26f4ca66.Foto 3.221943.jpg</t>
  </si>
  <si>
    <t>FO-BRAN BEBIDAS (23/06/2026) - Bebidas 220,14</t>
  </si>
  <si>
    <t>Notas de Compras_Images/cdf372ce.Foto.222623.jpg</t>
  </si>
  <si>
    <t>Bebidas 220,14</t>
  </si>
  <si>
    <t>Notas de Compras_Images/cdf372ce.Foto 1.222623.jpg</t>
  </si>
  <si>
    <t>Notas de Compras_Images/cdf372ce.Foto 2.222623.jpg</t>
  </si>
  <si>
    <t>Notas de Compras_Images/cdf372ce.Foto 3.222627.jpg</t>
  </si>
  <si>
    <t>FO-BRAN BEBIDAS (23/06/2026) - Bebidas</t>
  </si>
  <si>
    <t>Notas de Compras_Images/6d23a906.Foto.223502.jpg</t>
  </si>
  <si>
    <t>Notas de Compras_Images/6d23a906.Foto 1.223502.jpg</t>
  </si>
  <si>
    <t>Notas de Compras_Images/6d23a906.Foto 2.223502.jpg</t>
  </si>
  <si>
    <t>Notas de Compras_Images/6d23a906.Foto 3.223505.jpg</t>
  </si>
  <si>
    <t>Coper campos (26/06/2026) - Cafe funcionários</t>
  </si>
  <si>
    <t>Notas de Compras_Images/9755f2a8.Foto.233922.jpg</t>
  </si>
  <si>
    <t>2242968</t>
  </si>
  <si>
    <t>86272740</t>
  </si>
  <si>
    <t>Superviza Supermercado (22/06/2026) - Frutas e café funcionários</t>
  </si>
  <si>
    <t>Notas de Compras_Images/2f755382.Foto.234105.jpg</t>
  </si>
  <si>
    <t>2238590</t>
  </si>
  <si>
    <t>Daiane valeria de Andrade cordeiro LTDA ME (25/06/2026) - Materiais cozinha</t>
  </si>
  <si>
    <t>Notas de Compras_Images/0e7592d7.Foto.234227.jpg</t>
  </si>
  <si>
    <t>2241937</t>
  </si>
  <si>
    <t>Empórium ker mais (25/06/2026) - Café funcionários</t>
  </si>
  <si>
    <t>Notas de Compras_Images/1db2aed0.Foto.234336.jpg</t>
  </si>
  <si>
    <t>2241938</t>
  </si>
  <si>
    <t>LM comércio e distribuidora de utilidades Ltda (25/06/2026) - Materiais escritório</t>
  </si>
  <si>
    <t>Notas de Compras_Images/8993c7b9.Foto.234454.jpg</t>
  </si>
  <si>
    <t>2241935</t>
  </si>
  <si>
    <t>Rafaela free-lancer (24/06/2026) - Pgto Free-lancer Rafaela</t>
  </si>
  <si>
    <t>Notas de Compras_Images/cc60a046.Foto.234636.jpg</t>
  </si>
  <si>
    <t>2240537</t>
  </si>
  <si>
    <t>Free-lancer Emanuele Gonçalves (24/06/2026) - Pgto Free-lancer Emanuele</t>
  </si>
  <si>
    <t>Notas de Compras_Images/74cd5fb5.Foto.234737.jpg</t>
  </si>
  <si>
    <t>2240536</t>
  </si>
  <si>
    <t>4b4a03de</t>
  </si>
  <si>
    <t>uber (22/06/2026) - Uber marcelo</t>
  </si>
  <si>
    <t>Notas de Compras_Images/b2035c29.Foto.235357.jpg</t>
  </si>
  <si>
    <t>Uber marcelo</t>
  </si>
  <si>
    <t>2238591</t>
  </si>
  <si>
    <t>1fc31e6c</t>
  </si>
  <si>
    <t>TQA EXAME ADMISSIONAL (23/06/2026) - Exame admissão siandra</t>
  </si>
  <si>
    <t>Notas de Compras_Images/da9c1568.Foto.122420.jpg</t>
  </si>
  <si>
    <t>Exame admissão siandra</t>
  </si>
  <si>
    <t>2239799</t>
  </si>
  <si>
    <t>Superviza Supermercado (06/06/2026) - Frutas e café funcionários</t>
  </si>
  <si>
    <t>Notas de Compras_Images/dbc6279d.Foto.164319.jpg</t>
  </si>
  <si>
    <t>Notas de Compras_Images/dbc6279d.Foto 1.193110.jpg</t>
  </si>
  <si>
    <t>2215290</t>
  </si>
  <si>
    <t>Superviza Supermercado (27/06/2026) - Frutas</t>
  </si>
  <si>
    <t>Notas de Compras_Images/30f7d435.Foto.002220.jpg</t>
  </si>
  <si>
    <t>2244481</t>
  </si>
  <si>
    <t>Free-lancer Emanuele Gonçalves (27/06/2026) - Pgto Free-lancer Emanuele</t>
  </si>
  <si>
    <t>Notas de Compras_Images/e79fd3b6.Foto.002311.jpg</t>
  </si>
  <si>
    <t>2244467</t>
  </si>
  <si>
    <t>Rafaela free-lancer (27/06/2026) - Pgto Free-lancer Rafaela</t>
  </si>
  <si>
    <t>Notas de Compras_Images/a1b7d0c5.Foto.002449.jpg</t>
  </si>
  <si>
    <t>2243964</t>
  </si>
  <si>
    <t>Pedido 138025</t>
  </si>
  <si>
    <t>Pedidoc138025 nota de serviço</t>
  </si>
  <si>
    <t>Pedido 133832 nota de serviço</t>
  </si>
  <si>
    <t>Coper campos (01/07/2026) - Cafe funcionários</t>
  </si>
  <si>
    <t>Notas de Compras_Images/6e84e0c7.Foto.001352.jpg</t>
  </si>
  <si>
    <t>2251010</t>
  </si>
  <si>
    <t>Amadelli (29/06/2026) - Estoque Seco</t>
  </si>
  <si>
    <t>Notas de Compras_Images/504e296b.Foto.160816.jpg</t>
  </si>
  <si>
    <t>Estoque Seco</t>
  </si>
  <si>
    <t>Amadelli (01/07/2026) - Estoque gelado</t>
  </si>
  <si>
    <t>Notas de Compras_Images/1fdc4f74.Foto.162441.jpg</t>
  </si>
  <si>
    <t>Notas de Compras_Images/1fdc4f74.Foto 1.162441.jpg</t>
  </si>
  <si>
    <t>Pedido 137855</t>
  </si>
  <si>
    <t>Pedido 137855 nota de serviço</t>
  </si>
  <si>
    <t>R$ 11,00</t>
  </si>
  <si>
    <t>6/8 ar condicionado R$2024</t>
  </si>
  <si>
    <t>Superviza Supermercado (05/07/2026) - Frutas</t>
  </si>
  <si>
    <t>Notas de Compras_Images/9bf44ff5.Foto.165958.jpg</t>
  </si>
  <si>
    <t>2256307</t>
  </si>
  <si>
    <t>Rafaela free-lancer (05/07/2026) - Pgto Free-lancer Rafaela</t>
  </si>
  <si>
    <t>Notas de Compras_Images/d93f0f12.Foto.011409.jpg</t>
  </si>
  <si>
    <t>2257412</t>
  </si>
  <si>
    <t>R$ 9,78</t>
  </si>
  <si>
    <t>Free-lancer Emanuele Gonçalves (05/07/2026) - Pgto Free-lancer Emanuele</t>
  </si>
  <si>
    <t>Notas de Compras_Images/bd14f3db.Foto.011606.jpg</t>
  </si>
  <si>
    <t>2257423</t>
  </si>
  <si>
    <t>Milena Himmer Free-lancer (05/07/2026) - Pgto Free-lancer Milena</t>
  </si>
  <si>
    <t>Notas de Compras_Images/175d18ce.Foto.011713.jpg</t>
  </si>
  <si>
    <t>2257429</t>
  </si>
  <si>
    <t>Morango seu kinho (03/07/2026) - Morangos</t>
  </si>
  <si>
    <t>Notas de Compras_Images/e0ff075f.Foto.011829.jpg</t>
  </si>
  <si>
    <t>Superviza Supermercado (06/07/2026) - Café funcionários</t>
  </si>
  <si>
    <t>Notas de Compras_Images/70fce6a4.Foto.001600.jpg</t>
  </si>
  <si>
    <t>2258844</t>
  </si>
  <si>
    <t>2fef2750</t>
  </si>
  <si>
    <t>Soeli kiwi (09/07/2026) - Kiwi</t>
  </si>
  <si>
    <t>Notas de Compras_Images/a8fbabce.Foto.195250.jpg</t>
  </si>
  <si>
    <t>Kiwi</t>
  </si>
  <si>
    <t>2262642</t>
  </si>
  <si>
    <t>Morango seu kinho (09/07/2026) - Morangos</t>
  </si>
  <si>
    <t>Notas de Compras_Images/7f23c653.Foto.195354.jpg</t>
  </si>
  <si>
    <t>Marcelo - Campos Novos (01/07/2026) - Fatura samae</t>
  </si>
  <si>
    <t>Notas de Compras_Images/6ab75230.Foto.210823.jpg</t>
  </si>
  <si>
    <t>Fatura samae</t>
  </si>
  <si>
    <t>Notas de Compras_Images/6ab75230.Foto 1.211457.jpg</t>
  </si>
  <si>
    <t>Marcelo - Campos Novos (03/07/2026) - PGTO morangos seu Kinho</t>
  </si>
  <si>
    <t>Notas de Compras_Images/d90d1b81.Foto.211617.jpg</t>
  </si>
  <si>
    <t>R$ 37,87</t>
  </si>
  <si>
    <t>PGTO morangos seu Kinho</t>
  </si>
  <si>
    <t>consumo Mariane</t>
  </si>
  <si>
    <t>Notas de Compras_Images/d90d1b81.Foto 1.212639.jpg</t>
  </si>
  <si>
    <t>Superviza Supermercado (11/07/2026) - Frutas e café funcionários</t>
  </si>
  <si>
    <t>Notas de Compras_Images/75d1842a.Foto.004105.jpg</t>
  </si>
  <si>
    <t>2266465</t>
  </si>
  <si>
    <t>a1b54746</t>
  </si>
  <si>
    <t>Sonia Uniformes (02/05/2026) - uniformes</t>
  </si>
  <si>
    <t>Notas de Compras_Images/2a9e9190.Foto.200256.jpg</t>
  </si>
  <si>
    <t>uniformes</t>
  </si>
  <si>
    <t>SANGRIA MARI</t>
  </si>
  <si>
    <t>0d8c64c6</t>
  </si>
  <si>
    <t>Minami gastronomia (14/07/2026) - Almoço isabeli</t>
  </si>
  <si>
    <t>Notas de Compras_Images/e4e1f238.Foto.002634.jpg</t>
  </si>
  <si>
    <t>Almoço isabeli</t>
  </si>
  <si>
    <t>R$ 102,29</t>
  </si>
  <si>
    <t>2271947</t>
  </si>
  <si>
    <t>ProFood (07/07/2026) - Embalagens potes 750ml e tampa 3 Boletos</t>
  </si>
  <si>
    <t>Notas de Compras_Images/6fc1df26.Foto.002957.jpg</t>
  </si>
  <si>
    <t>Embalagens potes 750ml e tampa 3 Boletos</t>
  </si>
  <si>
    <t>Notas de Compras_Images/6fc1df26.Foto 1.002957.jpg</t>
  </si>
  <si>
    <t>e948d3f5</t>
  </si>
  <si>
    <t>Func Siandra</t>
  </si>
  <si>
    <t>R$ 1.650,00</t>
  </si>
  <si>
    <t>MARIANE CX SANGRIA</t>
  </si>
  <si>
    <t>Superviza Supermercado (15/07/2026) - Frutas</t>
  </si>
  <si>
    <t>Notas de Compras_Images/5d3f0571.Foto.011723.jpg</t>
  </si>
  <si>
    <t>2273597</t>
  </si>
  <si>
    <t>Pedido 139787 nota de serviço</t>
  </si>
  <si>
    <t>df810680</t>
  </si>
  <si>
    <t>Marcelo Rodrigo de Souza Reembolso (18/07/2026) - Reembolso Marcelo (frutas)</t>
  </si>
  <si>
    <t>CAIXA MARIANE SANGRIA</t>
  </si>
  <si>
    <t>Notas de Compras_Images/4bd0fb6d.Foto.010608.jpg</t>
  </si>
  <si>
    <t>Reembolso Marcelo (frutas)</t>
  </si>
  <si>
    <t>FO-BRAN BEBIDAS (14/07/2026) - Bebidas</t>
  </si>
  <si>
    <t>Notas de Compras_Images/ed0759f9.Foto.011045.jpg</t>
  </si>
  <si>
    <t>R$ 147,81</t>
  </si>
  <si>
    <t>Morango seu kinho (17/07/2026) - Morangos</t>
  </si>
  <si>
    <t>Notas de Compras_Images/0a9948d2.Foto.011324.jpg</t>
  </si>
  <si>
    <t>R$ 37,74</t>
  </si>
  <si>
    <t>Rafaela free-lancer (19/07/2026) - Pgto Free-lancer Rafaela</t>
  </si>
  <si>
    <t>Notas de Compras_Images/94e88dd4.Foto.011538.jpg</t>
  </si>
  <si>
    <t>2281835</t>
  </si>
  <si>
    <t>R$ 566,00</t>
  </si>
  <si>
    <t>PGTO MARCIO (MANUTENÇÃO)</t>
  </si>
  <si>
    <t>Free-lancer Emanuele Gonçalves (19/07/2026) - Pgto Free-lancer Emanuele</t>
  </si>
  <si>
    <t>Notas de Compras_Images/9f92314d.Foto.011639.jpg</t>
  </si>
  <si>
    <t>2281836</t>
  </si>
  <si>
    <t>Superviza Supermercado (20/07/2026) - Frutas e café funcionários</t>
  </si>
  <si>
    <t>Notas de Compras_Images/18742eec.Foto.171737.jpg</t>
  </si>
  <si>
    <t>2283107</t>
  </si>
  <si>
    <t>15832353</t>
  </si>
  <si>
    <t>PIZZARIA REDANTES (20/07/2026) - Incentivo equipe</t>
  </si>
  <si>
    <t>Notas de Compras_Images/70b6627d.Foto.173637.jpg</t>
  </si>
  <si>
    <t>Incentivo equipe</t>
  </si>
  <si>
    <t>2283133</t>
  </si>
  <si>
    <t>LM comércio e distribuidora de utilidades Ltda (20/07/2026) - Utensílio cozinha</t>
  </si>
  <si>
    <t>Notas de Compras_Images/04dbe70e.Foto.222436.jpg</t>
  </si>
  <si>
    <t>LUCRO MAQUINA DE PREMIO</t>
  </si>
  <si>
    <t>2283860</t>
  </si>
  <si>
    <t>5f9da3b3</t>
  </si>
  <si>
    <t>MASTER ATS SUPERMERCADO LTDA (20/07/2026) - Cafe funcionários</t>
  </si>
  <si>
    <t>Notas de Compras_Images/4051640b.Foto.222730.jpg</t>
  </si>
  <si>
    <t>2283863</t>
  </si>
  <si>
    <t>DIPAR (21/07/2026) - Bobina impressora térmica</t>
  </si>
  <si>
    <t>Notas de Compras_Images/3be3ea93.Foto.002115.jpg</t>
  </si>
  <si>
    <t>Bobina impressora térmica</t>
  </si>
  <si>
    <t>2285848</t>
  </si>
  <si>
    <t>R$ 105,00</t>
  </si>
  <si>
    <t>PIZZA ANIVERSARIO DA HELENA 25/08/2025</t>
  </si>
  <si>
    <t>R$ 407,50</t>
  </si>
  <si>
    <t>R$ 201,00</t>
  </si>
  <si>
    <t>PGTO FREELANCER GABRIEL</t>
  </si>
  <si>
    <t>Donna Faxina (22/07/2026) - Produtos limpeza</t>
  </si>
  <si>
    <t>Notas de Compras_Images/a2326d8f.Foto.221010.jpg</t>
  </si>
  <si>
    <t>R$ 332,00</t>
  </si>
  <si>
    <t>LM comércio e distribuidora de utilidades Ltda (23/07/2026) - Materiais de limpeza</t>
  </si>
  <si>
    <t>Notas de Compras_Images/49c3c2f4.Foto.004319.jpg</t>
  </si>
  <si>
    <t>2288902</t>
  </si>
  <si>
    <t>Superviza Supermercado (23/07/2026) - Frutas e café funcionários</t>
  </si>
  <si>
    <t>Notas de Compras_Images/f61289b8.Foto.004410.jpg</t>
  </si>
  <si>
    <t>CX SANGRIA MARIANE</t>
  </si>
  <si>
    <t>2288871</t>
  </si>
  <si>
    <t>Morango seu kinho (23/07/2026) - Morangos</t>
  </si>
  <si>
    <t>Notas de Compras_Images/34a36d0d.Foto.004531.jpg</t>
  </si>
  <si>
    <t>FO-BRAN BEBIDAS (23/07/2026) - Bebidas</t>
  </si>
  <si>
    <t>Notas de Compras_Images/fbcb99f6.Foto.005541.jpg</t>
  </si>
  <si>
    <t>R$ 67,95</t>
  </si>
  <si>
    <t>Amadelli (21/07/2026) - Estoque gelado</t>
  </si>
  <si>
    <t>CAFÉ FUNCIONÁRIOS</t>
  </si>
  <si>
    <t>Notas de Compras_Images/00cf3bcb.Foto.153858.jpg</t>
  </si>
  <si>
    <t>Notas de Compras_Images/00cf3bcb.Foto 1.153858.jpg</t>
  </si>
  <si>
    <t>MASTER ATS SUPERMERCADO LTDA (25/07/2026) - Morangos</t>
  </si>
  <si>
    <t>Notas de Compras_Images/32128d11.Foto.213248.jpg</t>
  </si>
  <si>
    <t>2291784</t>
  </si>
  <si>
    <t>R$ 445,00</t>
  </si>
  <si>
    <t>MASTER ATS SUPERMERCADO LTDA (26/07/2026) - Morangos</t>
  </si>
  <si>
    <t>Notas de Compras_Images/fc7d8336.Foto.222047.jpg</t>
  </si>
  <si>
    <t>2294035</t>
  </si>
  <si>
    <t>MASTER ATS SUPERMERCADO LTDA (26/07/2026) - Cafe</t>
  </si>
  <si>
    <t>Notas de Compras_Images/9171a04c.Foto.222134.jpg</t>
  </si>
  <si>
    <t>Cafe</t>
  </si>
  <si>
    <t>2294038</t>
  </si>
  <si>
    <t>Amadelli (16/07/2026) - Pedido 139787</t>
  </si>
  <si>
    <t>Notas de Compras_Images/b456e9e1.Foto.162645.png</t>
  </si>
  <si>
    <t>Pedido 139787</t>
  </si>
  <si>
    <t>pgto freelancer Greice (teste)</t>
  </si>
  <si>
    <t>Notas de Compras_Images/b456e9e1.Foto 1.162645.png</t>
  </si>
  <si>
    <t>4c986b3c</t>
  </si>
  <si>
    <t>Ismael morango (27/07/2026) - Morangos de vendedor de rua</t>
  </si>
  <si>
    <t>Notas de Compras_Images/c28dcd6f.Foto.174132.jpg</t>
  </si>
  <si>
    <t>Morangos de vendedor de rua</t>
  </si>
  <si>
    <t>2295821</t>
  </si>
  <si>
    <t>Tuicial Indústria Gráfica e Editora LTDA (28/07/2026) - Potes e tampas</t>
  </si>
  <si>
    <t>R$ 480,00</t>
  </si>
  <si>
    <t>Notas de Compras_Images/6ce454a9.Foto.170742.jpg</t>
  </si>
  <si>
    <t>Potes e tampas</t>
  </si>
  <si>
    <t>Morango seu kinho (28/07/2026) - 4 kg</t>
  </si>
  <si>
    <t>Notas de Compras_Images/61b7685c.Foto.172111.jpg</t>
  </si>
  <si>
    <t>4 kg</t>
  </si>
  <si>
    <t>R$ 72,00</t>
  </si>
  <si>
    <t>fornecedor de pão caseiro</t>
  </si>
  <si>
    <t>Fruteira da marta (29/07/2026) - Frutas</t>
  </si>
  <si>
    <t>Notas de Compras_Images/e96f3d6f.Foto.175522.jpg</t>
  </si>
  <si>
    <t>2299484</t>
  </si>
  <si>
    <t>Amadelli (28/07/2026) - Gelados</t>
  </si>
  <si>
    <t>Notas de Compras_Images/19c759aa.Foto.135003.jpg</t>
  </si>
  <si>
    <t>Notas de Compras_Images/19c759aa.Foto 1.135003.jpg</t>
  </si>
  <si>
    <t>MASTER ATS SUPERMERCADO LTDA (27/07/2026) - Lanche</t>
  </si>
  <si>
    <t>Notas de Compras_Images/15998565.Foto.154909.jpg</t>
  </si>
  <si>
    <t>Lanche</t>
  </si>
  <si>
    <t>2300851</t>
  </si>
  <si>
    <t>Empórium ker mais (30/07/2026) - Spray</t>
  </si>
  <si>
    <t>Notas de Compras_Images/311dbb67.Foto.002816.jpg</t>
  </si>
  <si>
    <t>Spray</t>
  </si>
  <si>
    <t>2301918</t>
  </si>
  <si>
    <t>caixa mariane</t>
  </si>
  <si>
    <t>MASTER ATS SUPERMERCADO LTDA (30/07/2026) - Lanche</t>
  </si>
  <si>
    <t>Notas de Compras_Images/1bbb5850.Foto.003028.jpg</t>
  </si>
  <si>
    <t>2301928</t>
  </si>
  <si>
    <t>R$ 8,50</t>
  </si>
  <si>
    <t>Superviza Supermercado (01/08/2026) - Cafe funcionários</t>
  </si>
  <si>
    <t>Notas de Compras_Images/acaa0762.Foto.004055.jpg</t>
  </si>
  <si>
    <t>2305867</t>
  </si>
  <si>
    <t>Fruteira da marta (01/08/2026) - Frutas</t>
  </si>
  <si>
    <t>Notas de Compras_Images/16034984.Foto.004207.jpg</t>
  </si>
  <si>
    <t>2304688</t>
  </si>
  <si>
    <t>Notas de Compras_Images/63ec816c.Foto.004356.jpg</t>
  </si>
  <si>
    <t>R$ 207,21</t>
  </si>
  <si>
    <t>2304689</t>
  </si>
  <si>
    <t>Free-lancer Emanuele Gonçalves (02/08/2026) - Pgto Free-lancer Emanuele</t>
  </si>
  <si>
    <t>Notas de Compras_Images/5b48eaef.Foto.015049.jpg</t>
  </si>
  <si>
    <t>2309331</t>
  </si>
  <si>
    <t>Rafaela free-lancer (02/08/2026) - Pgto Free-lancer Rafaela</t>
  </si>
  <si>
    <t>Notas de Compras_Images/29e07a4e.Foto.015218.jpg</t>
  </si>
  <si>
    <t>R$ 30,44</t>
  </si>
  <si>
    <t>2309328</t>
  </si>
  <si>
    <t>Milena Himmer Free-lancer (02/08/2026) - Pgto Free-lancer milena</t>
  </si>
  <si>
    <t>Notas de Compras_Images/77072574.Foto.015510.jpg</t>
  </si>
  <si>
    <t>2309330</t>
  </si>
  <si>
    <t>Amadelli (29/07/2026) - Pedido 140849</t>
  </si>
  <si>
    <t>Notas de Compras_Images/cbc8f487.Foto.114430.jpg</t>
  </si>
  <si>
    <t>Pedido 140849</t>
  </si>
  <si>
    <t>canudos</t>
  </si>
  <si>
    <t>Notas de Compras_Images/cbc8f487.Foto 1.114430.jpg</t>
  </si>
  <si>
    <t>Notas de Compras_Images/cbc8f487.Foto 2.114430.jpg</t>
  </si>
  <si>
    <t>Notas de Compras_Images/cbc8f487.Foto 3.114433.jpg</t>
  </si>
  <si>
    <t>20f8c3df</t>
  </si>
  <si>
    <t>Amadelli (28/07/2026) - Pedido 141798</t>
  </si>
  <si>
    <t>Notas de Compras_Images/20f8c3df.Foto.191735.png</t>
  </si>
  <si>
    <t>Pedido 141798</t>
  </si>
  <si>
    <t>R$ 3,49</t>
  </si>
  <si>
    <t>leite</t>
  </si>
  <si>
    <t>Cópias cia (03/08/2026) - Impressão</t>
  </si>
  <si>
    <t>Notas de Compras_Images/89d3d8a3.Foto.005217.jpg</t>
  </si>
  <si>
    <t>2310078</t>
  </si>
  <si>
    <t>LM comércio e distribuidora de utilidades Ltda (03/08/2026) - Utensílios cozinha</t>
  </si>
  <si>
    <t>Notas de Compras_Images/602332b6.Foto.005354.jpg</t>
  </si>
  <si>
    <t>cx mariane sangria</t>
  </si>
  <si>
    <t>2310166</t>
  </si>
  <si>
    <t>Marcelo Rodrigo de Souza Reembolso (03/08/2026) - Reembolso mercado</t>
  </si>
  <si>
    <t>Notas de Compras_Images/c731902e.Foto.005516.jpg</t>
  </si>
  <si>
    <t>Reembolso mercado</t>
  </si>
  <si>
    <t>R$ 29,70</t>
  </si>
  <si>
    <t>Fruteira da marta (23/07/2026) - frutas</t>
  </si>
  <si>
    <t>Notas de Compras_Images/09fae2d2.Foto.005820.jpg</t>
  </si>
  <si>
    <t>2288877</t>
  </si>
  <si>
    <t>Fruteira da marta (03/08/2026) - Frutas</t>
  </si>
  <si>
    <t>Notas de Compras_Images/f97d44d5.Foto.010031.jpg</t>
  </si>
  <si>
    <t>mascara descartável</t>
  </si>
  <si>
    <t>CONSUMO MARIANE</t>
  </si>
  <si>
    <t>R$ 1.260,00</t>
  </si>
  <si>
    <t>R$ 33,40</t>
  </si>
  <si>
    <t>R$ 6,18</t>
  </si>
  <si>
    <t>R$ 38,84</t>
  </si>
  <si>
    <t>SANRIA MARIANE</t>
  </si>
  <si>
    <t>sangria mari</t>
  </si>
  <si>
    <t>jarras p/ cremes</t>
  </si>
  <si>
    <t>R$ 263,00</t>
  </si>
  <si>
    <t>R$ 418,00</t>
  </si>
  <si>
    <t>PGTO WILLIAN FREELANCER</t>
  </si>
  <si>
    <t>CX MARIANE</t>
  </si>
  <si>
    <t>troco Mariane</t>
  </si>
  <si>
    <t>sangria cx Mariane</t>
  </si>
  <si>
    <t>R$ 35,33</t>
  </si>
  <si>
    <t>R$ 75,98</t>
  </si>
  <si>
    <t>INFLUENCER CASAL</t>
  </si>
  <si>
    <t>R$ 10,60</t>
  </si>
  <si>
    <t>R$ 1.560,00</t>
  </si>
  <si>
    <t>SANGRIA</t>
  </si>
  <si>
    <t>R$ 420,00</t>
  </si>
  <si>
    <t>SANGRIA MACELO</t>
  </si>
  <si>
    <t>R$ 215,00</t>
  </si>
  <si>
    <t>PGTO SAMARA FREELANCER 13/09 E 14/09</t>
  </si>
  <si>
    <t>R$ 97,77</t>
  </si>
  <si>
    <t>R$ 274,00</t>
  </si>
  <si>
    <t>R$ 183,00</t>
  </si>
  <si>
    <t>R$ 43,00</t>
  </si>
  <si>
    <t>R$ 31,00</t>
  </si>
  <si>
    <t>PGTO 12/09 FREELANCER GABRIEL</t>
  </si>
  <si>
    <t>R$ 16,61</t>
  </si>
  <si>
    <t>R$ 17,00</t>
  </si>
  <si>
    <t>R$ 33,25</t>
  </si>
  <si>
    <t>CAIXA MARIANE 16/09/2025</t>
  </si>
  <si>
    <t>TROCO (CAIXA MARIANE 16/09/2025)</t>
  </si>
  <si>
    <t>R$ 55,00</t>
  </si>
  <si>
    <t>Caixa Sangria</t>
  </si>
  <si>
    <t>R$ 85,00</t>
  </si>
  <si>
    <t>R$ 15,85</t>
  </si>
  <si>
    <t>R$ 89,20</t>
  </si>
  <si>
    <t>R$ 294,23</t>
  </si>
  <si>
    <t>R$ 15,47</t>
  </si>
  <si>
    <t>R$ 15,98</t>
  </si>
  <si>
    <t>R$ 92,75</t>
  </si>
  <si>
    <t>dinheiro sobrando em caixa (algum erro)</t>
  </si>
  <si>
    <t>R$ 203,07</t>
  </si>
  <si>
    <t>frutas e cafe</t>
  </si>
  <si>
    <t>R$ 42,50</t>
  </si>
  <si>
    <t>CANUDOS</t>
  </si>
  <si>
    <t>R$ 104,00</t>
  </si>
  <si>
    <t>FREELANCER NATAN</t>
  </si>
  <si>
    <t>TROCO MARIANE</t>
  </si>
  <si>
    <t>R$ 39,90</t>
  </si>
  <si>
    <t>TOUCAS DESC BRANCA</t>
  </si>
  <si>
    <t>FREELANCER GABRIEL</t>
  </si>
  <si>
    <t>R$ 189,00</t>
  </si>
  <si>
    <t>FREELANCER WILLIAN</t>
  </si>
  <si>
    <t>R$ 1,44</t>
  </si>
  <si>
    <t>R$ 11,45</t>
  </si>
  <si>
    <t>RECIBOS</t>
  </si>
  <si>
    <t>R$ 17,61</t>
  </si>
  <si>
    <t>R$ 181,90</t>
  </si>
  <si>
    <t>AGUA PEREIRA 08/2025</t>
  </si>
  <si>
    <t>R$ 1,25</t>
  </si>
  <si>
    <t>R$ 150,33</t>
  </si>
  <si>
    <t>R$ 24,50</t>
  </si>
  <si>
    <t>R$ 18,95</t>
  </si>
  <si>
    <t>PANOS DE PRATO</t>
  </si>
  <si>
    <t>R$ 176,59</t>
  </si>
  <si>
    <t>FRUTAS E CAFE</t>
  </si>
  <si>
    <t>R$ 168,19</t>
  </si>
  <si>
    <t>CONSUMO MARCELO</t>
  </si>
  <si>
    <t>MOEDAS TROCO</t>
  </si>
  <si>
    <t>SANGRA MARCELO</t>
  </si>
  <si>
    <t>R$ 9,69</t>
  </si>
  <si>
    <t>R$ 113,72</t>
  </si>
  <si>
    <t>R$ 9,90</t>
  </si>
  <si>
    <t>R$ 62,90</t>
  </si>
  <si>
    <t>R$ 246,00</t>
  </si>
  <si>
    <t>FREELANCER PGTO WILLIAN</t>
  </si>
  <si>
    <t>R$ 186,00</t>
  </si>
  <si>
    <t>FREELANCER PGTO GABRIEL</t>
  </si>
  <si>
    <t>FREELANCER PGTO DIELE APARECIDA</t>
  </si>
  <si>
    <t>R$ 1.100,00</t>
  </si>
  <si>
    <t>sangria caixa Mariane</t>
  </si>
  <si>
    <t>manutenção</t>
  </si>
  <si>
    <t>GABRIEL FREELANCER</t>
  </si>
  <si>
    <t>R$ 14,00</t>
  </si>
  <si>
    <t>SANGRIA MARIANE 29/09/2025</t>
  </si>
  <si>
    <t>R$ 31,80</t>
  </si>
  <si>
    <t>CANUDOS MILK SHAKE</t>
  </si>
  <si>
    <t>R$ 273,54</t>
  </si>
  <si>
    <t>R$ 16,69</t>
  </si>
  <si>
    <t>SUCO ABX P/ BUFFET E 1 AÇUCAR P/ CAFÉ</t>
  </si>
  <si>
    <t>R$ 689,00</t>
  </si>
  <si>
    <t>TROCA POR MOEDAS - NOTAS DE 2 E 5</t>
  </si>
  <si>
    <t>R$ 16,07</t>
  </si>
  <si>
    <t>R$ 50,33</t>
  </si>
  <si>
    <t>TROCADOS 300,00 REAIS POR MOEDAS</t>
  </si>
  <si>
    <t>R$ 3,70</t>
  </si>
  <si>
    <t>R$ 115,00</t>
  </si>
  <si>
    <t>R$ 3,12</t>
  </si>
  <si>
    <t>ciringa para esgotar cobertura</t>
  </si>
  <si>
    <t>Marcelo</t>
  </si>
  <si>
    <t>R$ 70,57</t>
  </si>
  <si>
    <t>influencer fabiele</t>
  </si>
  <si>
    <t>R$ 11,96</t>
  </si>
  <si>
    <t>FREELANCER DIELE</t>
  </si>
  <si>
    <t>R$ 370,00</t>
  </si>
  <si>
    <t>R$ 320,00</t>
  </si>
  <si>
    <t>R$ 252,69</t>
  </si>
  <si>
    <t>SAIDA FEITA ERRADA ID 1723348</t>
  </si>
  <si>
    <t>FRUTAS ESTE ESTA CERTO (ID1723348 CANCELADO MAS ESTAVA CERTO)</t>
  </si>
  <si>
    <t>R$ 173,50</t>
  </si>
  <si>
    <t>ID 1723553 É SANGRIA MARIANE 1.450,00</t>
  </si>
  <si>
    <t>R$ 6,80</t>
  </si>
  <si>
    <t>CX MARIANE SANGRIA</t>
  </si>
  <si>
    <t>R$ 14,09</t>
  </si>
  <si>
    <t>CONSUMO ISABELLY</t>
  </si>
  <si>
    <t>R$ 56,11</t>
  </si>
  <si>
    <t>R$ 147,37</t>
  </si>
  <si>
    <t>R$ 18,74</t>
  </si>
  <si>
    <t>R$ 24,99</t>
  </si>
  <si>
    <t>TERMOMETRO</t>
  </si>
  <si>
    <t>R$ 21,86</t>
  </si>
  <si>
    <t>R$ 68,50</t>
  </si>
  <si>
    <t>R$ 64,95</t>
  </si>
  <si>
    <t>leite po</t>
  </si>
  <si>
    <t>R$ 54,60</t>
  </si>
  <si>
    <t>R$ 24,78</t>
  </si>
  <si>
    <t>R$ 244,40</t>
  </si>
  <si>
    <t>R$ 173,03</t>
  </si>
  <si>
    <t>MATERIAL MARKETING DIA DAS CRIANÇAS</t>
  </si>
  <si>
    <t>MATERIAL LIMPEZA</t>
  </si>
  <si>
    <t>MOTOBOY REF 26/10/2025</t>
  </si>
  <si>
    <t>R$ 640,00</t>
  </si>
  <si>
    <t>R$ 78,12</t>
  </si>
  <si>
    <t>R$ 249,00</t>
  </si>
  <si>
    <t>R$ 526,49</t>
  </si>
  <si>
    <t>ENFEITE DE NATAL</t>
  </si>
  <si>
    <t>R$ 2.530,00</t>
  </si>
  <si>
    <t>R$ 19,98</t>
  </si>
  <si>
    <t>EFEITE NATAL</t>
  </si>
  <si>
    <t>R$ 152,42</t>
  </si>
  <si>
    <t>R$ 131,08</t>
  </si>
  <si>
    <t>CONSUMO INFLUENCER CASA JUNIOR</t>
  </si>
  <si>
    <t>R$ 62,05</t>
  </si>
  <si>
    <t>CAFE FUNCIONARIOS E SUCO ABX PARA CUBA (BANANA)</t>
  </si>
  <si>
    <t>R$ 61,20</t>
  </si>
  <si>
    <t>R$ 18,37</t>
  </si>
  <si>
    <t>AGUA PEREIRA 09/2025</t>
  </si>
  <si>
    <t>R$ 536,07</t>
  </si>
  <si>
    <t>MATERIAIS DE LIMPEZA</t>
  </si>
  <si>
    <t>R$ 329,90</t>
  </si>
  <si>
    <t>R$ 225,20</t>
  </si>
  <si>
    <t>R$ 134,99</t>
  </si>
  <si>
    <t>R$ 17,70</t>
  </si>
  <si>
    <t>BOBINA TERMICA</t>
  </si>
  <si>
    <t>MOEDAS</t>
  </si>
  <si>
    <t>R$ 276,90</t>
  </si>
  <si>
    <t>R$ 20,25</t>
  </si>
  <si>
    <t>CONSUMO ISBELI</t>
  </si>
  <si>
    <t>R$ 97,10</t>
  </si>
  <si>
    <t>DIELE FREELANCER</t>
  </si>
  <si>
    <t>R$ 161,76</t>
  </si>
  <si>
    <t>BEBIDAS</t>
  </si>
  <si>
    <t>WILLIAN FREELANCER</t>
  </si>
  <si>
    <t>R$ 930,00</t>
  </si>
  <si>
    <t>PGTO FREELANCER ESTER DE JESUS</t>
  </si>
  <si>
    <t>R$ 94,00</t>
  </si>
  <si>
    <t>PGTO KAROLAYNE FREE-LANCER</t>
  </si>
  <si>
    <t>R$ 19,50</t>
  </si>
  <si>
    <t>R$ 108,00</t>
  </si>
  <si>
    <t>R$ 2.200,00</t>
  </si>
  <si>
    <t>R$ 230,00</t>
  </si>
  <si>
    <t>R$ 17,74</t>
  </si>
  <si>
    <t>PGTO CAROL FREELANCER</t>
  </si>
  <si>
    <t>R$ 5,77</t>
  </si>
  <si>
    <t>ID 1774500 PGTO GABRIEL LANÇADO ERRADO</t>
  </si>
  <si>
    <t>R$ 12,40</t>
  </si>
  <si>
    <t>R$ 219,91</t>
  </si>
  <si>
    <t>R$ 133,14</t>
  </si>
  <si>
    <t>PATRICIA EVENTO - DECORAÇÃO DIA DAS CRIANÇAS</t>
  </si>
  <si>
    <t>R$ 13,71</t>
  </si>
  <si>
    <t>CONSUMO ISABELLI</t>
  </si>
  <si>
    <t>R$ 26,04</t>
  </si>
  <si>
    <t>R$ 49,40</t>
  </si>
  <si>
    <t>R$ 27,24</t>
  </si>
  <si>
    <t>R$ 58,00</t>
  </si>
  <si>
    <t>R$ 5,41</t>
  </si>
  <si>
    <t>R$ 33,46</t>
  </si>
  <si>
    <t>MATERIAL ESCRITORIO E LUZ NATAL</t>
  </si>
  <si>
    <t>R$ 1.460,00</t>
  </si>
  <si>
    <t>R$ 117,00</t>
  </si>
  <si>
    <t>R$ 5,10</t>
  </si>
  <si>
    <t>R$ 10,99</t>
  </si>
  <si>
    <t>R$ 4,50</t>
  </si>
  <si>
    <t>CAIXA MARIANE 04/11/25</t>
  </si>
  <si>
    <t>TROCO - MOEDAS</t>
  </si>
  <si>
    <t>TOCA FECHADURA DE 2 PORTAS COM PROBLEMA</t>
  </si>
  <si>
    <t>R$ 425,50</t>
  </si>
  <si>
    <t>R$ 145,50</t>
  </si>
  <si>
    <t>MANUTENÇÃO LOJA</t>
  </si>
  <si>
    <t>PGTO AGUA PARTE DO PEREIRA</t>
  </si>
  <si>
    <t>R$ 24,60</t>
  </si>
  <si>
    <t>sangria helena</t>
  </si>
  <si>
    <t>R$ 68,31</t>
  </si>
  <si>
    <t>troca por moedas</t>
  </si>
  <si>
    <t>R$ 2.500,00</t>
  </si>
  <si>
    <t>sangria Helena</t>
  </si>
  <si>
    <t>R$ 3,75</t>
  </si>
  <si>
    <t>sangria isabeli</t>
  </si>
  <si>
    <t>R$ 87,93</t>
  </si>
  <si>
    <t>R$ 12,71</t>
  </si>
  <si>
    <t>R$ 244,84</t>
  </si>
  <si>
    <t>prendedor de roupas</t>
  </si>
  <si>
    <t>R$ 303,00</t>
  </si>
  <si>
    <t>PGTO RAYANE FREE-LANCER</t>
  </si>
  <si>
    <t>SANGRIA ISABELI</t>
  </si>
  <si>
    <t>R$ 59,99</t>
  </si>
  <si>
    <t>mop limpa vidro</t>
  </si>
  <si>
    <t>R$ 89,90</t>
  </si>
  <si>
    <t>R$ 14,90</t>
  </si>
  <si>
    <t>balde</t>
  </si>
  <si>
    <t>R$ 7,13</t>
  </si>
  <si>
    <t>Relação de Notas de Compras não enviadas</t>
  </si>
  <si>
    <t>R$ 51,20</t>
  </si>
  <si>
    <t>cortesia francisco por serviço prestado</t>
  </si>
  <si>
    <t>R$ 19,12</t>
  </si>
  <si>
    <t>sangria 07/11/25, não cadastrada no dia</t>
  </si>
  <si>
    <t>R$ 106,43</t>
  </si>
  <si>
    <t>Fabiele Marketing</t>
  </si>
  <si>
    <t>R$ 10,44</t>
  </si>
  <si>
    <t>R$ 2.610,00</t>
  </si>
  <si>
    <t>R$ 592,00</t>
  </si>
  <si>
    <t>PGTO FREELANCER GABRIEL 10/11 A 16/11</t>
  </si>
  <si>
    <t>PGTO FREE-LANCCER GABRIEL 09/11</t>
  </si>
  <si>
    <t>R$ 433,00</t>
  </si>
  <si>
    <t>PGTO FREE-LANCER WILLIAN</t>
  </si>
  <si>
    <t>R$ 15,40</t>
  </si>
  <si>
    <t>R$ 25,90</t>
  </si>
  <si>
    <t>DECORAÇÃO NATAL</t>
  </si>
  <si>
    <t>MATERIAL COZINHA</t>
  </si>
  <si>
    <t>R$ 33,09</t>
  </si>
  <si>
    <t>R$ 34,09</t>
  </si>
  <si>
    <t>CONSUMO POR TROCA DE MOEDAS</t>
  </si>
  <si>
    <t>R$ 33,30</t>
  </si>
  <si>
    <t>R$ 28,80</t>
  </si>
  <si>
    <t>EMBALAGENS - duplicidade, valor sem desconto ID  1806046</t>
  </si>
  <si>
    <t>R$ 97,93</t>
  </si>
  <si>
    <t>R$ 43,76</t>
  </si>
  <si>
    <t>R$ 97,98</t>
  </si>
  <si>
    <t>enfeite natal</t>
  </si>
  <si>
    <t>R$ 36,84</t>
  </si>
  <si>
    <t>saida feito errada ID 1809080, feito uma entrada no mesmo valor para anular</t>
  </si>
  <si>
    <t>R$ 37,98</t>
  </si>
  <si>
    <t>PGTO FREE - LANCER EMANUELE</t>
  </si>
  <si>
    <t>R$ 155,34</t>
  </si>
  <si>
    <t>CONSUMO INFLUENCER JUNIOR E FAMILIA</t>
  </si>
  <si>
    <t>helena por fora 07/11</t>
  </si>
  <si>
    <t>MOTOBOY MARCELO</t>
  </si>
  <si>
    <t>PGTO FREELANCER HELENA</t>
  </si>
  <si>
    <t>R$ 11,67</t>
  </si>
  <si>
    <t>R$ 16,71</t>
  </si>
  <si>
    <t>R$ 63,65</t>
  </si>
  <si>
    <t>R$ 309,10</t>
  </si>
  <si>
    <t>DECORAÇÃO DE NATAL</t>
  </si>
  <si>
    <t>R$ 143,00</t>
  </si>
  <si>
    <t>R$ 47,17</t>
  </si>
  <si>
    <t>doação socorrista SAMU</t>
  </si>
  <si>
    <t>MATERIAIS ESCRITORIO</t>
  </si>
  <si>
    <t>R$ 14,95</t>
  </si>
  <si>
    <t>Gabriel Azevedo</t>
  </si>
  <si>
    <t>William Fonseca</t>
  </si>
  <si>
    <t>R$ 13,33</t>
  </si>
  <si>
    <t>R$ 21,51</t>
  </si>
  <si>
    <t>ID 1822138 MANUTENÇÃO</t>
  </si>
  <si>
    <t>R$ 34,22</t>
  </si>
  <si>
    <t>INFLUENCER JUNIOR E FAMILIA (CASAL)</t>
  </si>
  <si>
    <t>R$ 155,15</t>
  </si>
  <si>
    <t>CAFE FUNCIONARIOS E FRUTAS</t>
  </si>
  <si>
    <t>MANUTENÇÃO</t>
  </si>
  <si>
    <t>Registrar Sangria Mariane 750 - atualizar esse valor R$0,01</t>
  </si>
  <si>
    <t>R$ 64,41</t>
  </si>
  <si>
    <t>DOAÇÃO SAMU</t>
  </si>
  <si>
    <t>R$ 7,04</t>
  </si>
  <si>
    <t>doaçao</t>
  </si>
  <si>
    <t>R$ 119,76</t>
  </si>
  <si>
    <t>INFLUENCER JUNIOR E FABIELE</t>
  </si>
  <si>
    <t>SANGRIA CX MARI</t>
  </si>
  <si>
    <t>R$ 64,54</t>
  </si>
  <si>
    <t>INFLUENCER ILHEANARA</t>
  </si>
  <si>
    <t>R$ 362,00</t>
  </si>
  <si>
    <t>PGTO FREE-LANCER GABRIL</t>
  </si>
  <si>
    <t>R$ 304,00</t>
  </si>
  <si>
    <t>PGTO FREE-LANCER EMANOELI GONÇALVES</t>
  </si>
  <si>
    <t>R$ 341,00</t>
  </si>
  <si>
    <t>R$ 75,92</t>
  </si>
  <si>
    <t>SANGRIA CAIXA MARI</t>
  </si>
  <si>
    <t>R$ 11,30</t>
  </si>
  <si>
    <t>R$ 5,79</t>
  </si>
  <si>
    <t>corridas motoboy</t>
  </si>
  <si>
    <t>R$ 238,77</t>
  </si>
  <si>
    <t>R$ 17,49</t>
  </si>
  <si>
    <t>FITA DUREX</t>
  </si>
  <si>
    <t>MATA MOSQUITO</t>
  </si>
  <si>
    <t>CONSUMO GABRIEL</t>
  </si>
  <si>
    <t>R$ 36,48</t>
  </si>
  <si>
    <t>CONSUMO WYLLIAN</t>
  </si>
  <si>
    <t>cx Mari sangria</t>
  </si>
  <si>
    <t>Markting Junior e fabielly</t>
  </si>
  <si>
    <t>R$ 107,00</t>
  </si>
  <si>
    <t>impressões e copias</t>
  </si>
  <si>
    <t>R$ 95,00</t>
  </si>
  <si>
    <t>PGTO ISABELI</t>
  </si>
  <si>
    <t>R$ 47,05</t>
  </si>
  <si>
    <t>DOAÇÃO SOCORRISTAS SAMU</t>
  </si>
  <si>
    <t>R$ 17,36</t>
  </si>
  <si>
    <t>CONSUMO INFLUENCER JUNIOR E FABIELLY</t>
  </si>
  <si>
    <t>R$ 39,96</t>
  </si>
  <si>
    <t>CANUDOS REFRIGERANTES</t>
  </si>
  <si>
    <t>BAND AID CURATIVO</t>
  </si>
  <si>
    <t>R$ 162,96</t>
  </si>
  <si>
    <t>R$ 244,00</t>
  </si>
  <si>
    <t>COMEMORAÇÃO ANIVERSARIO</t>
  </si>
  <si>
    <t>R$ 119,00</t>
  </si>
  <si>
    <t>R$ 58,25</t>
  </si>
  <si>
    <t>CONSUMO INFLUENCER elianara markintig</t>
  </si>
  <si>
    <t>R$ 7,67</t>
  </si>
  <si>
    <t>R$ 44,28</t>
  </si>
  <si>
    <t>R$ 102,00</t>
  </si>
  <si>
    <t>PGTO FREE-LANCER EMANOELI</t>
  </si>
  <si>
    <t>R$ 2.100,00</t>
  </si>
  <si>
    <t>R$ 16,95</t>
  </si>
  <si>
    <t>R$ 27,05</t>
  </si>
  <si>
    <t>R$ 440,00</t>
  </si>
  <si>
    <t>R$ 272,71</t>
  </si>
  <si>
    <t>2 CESTA DE NATAL</t>
  </si>
  <si>
    <t>R$ 199,80</t>
  </si>
  <si>
    <t>CESTA DE NATAL</t>
  </si>
  <si>
    <t>R$ 183,07</t>
  </si>
  <si>
    <t>PANETONES</t>
  </si>
  <si>
    <t>sangra marcelo cx 09/12/2025</t>
  </si>
  <si>
    <t>R$ 18,24</t>
  </si>
  <si>
    <t>consumo garrafinha gabriel</t>
  </si>
  <si>
    <t>sangria isabely</t>
  </si>
  <si>
    <t>R$ 19,59</t>
  </si>
  <si>
    <t>R$ 160,00</t>
  </si>
  <si>
    <t>PGTO RAYANE FREE-LANCER 15/11 E 22/11</t>
  </si>
  <si>
    <t>R$ 83,81</t>
  </si>
  <si>
    <t>R$ 13,53</t>
  </si>
  <si>
    <t>GUARDA MUNICIPAL, DOAÇÃO</t>
  </si>
  <si>
    <t>R$ 120,52</t>
  </si>
  <si>
    <t>MARKTING JUNIOR E FABI CASAL INFLUENCER</t>
  </si>
  <si>
    <t>AGUA PEREIRA 11/2025</t>
  </si>
  <si>
    <t>R$ 108,77</t>
  </si>
  <si>
    <t>SANGUIA MARI</t>
  </si>
  <si>
    <t>PGTO EMANUELI FREE-LANCER</t>
  </si>
  <si>
    <t>R$ 36,90</t>
  </si>
  <si>
    <t>R$ 73,10</t>
  </si>
  <si>
    <t>R$ 17,45</t>
  </si>
  <si>
    <t>R$ 84,69</t>
  </si>
  <si>
    <t>isabeli grassmann</t>
  </si>
  <si>
    <t>R$ 95,89</t>
  </si>
  <si>
    <t>R$ 22,01</t>
  </si>
  <si>
    <t>consumo gabriel</t>
  </si>
  <si>
    <t>R$ 1.850,00</t>
  </si>
  <si>
    <t>CONSUMO WILLIAN</t>
  </si>
  <si>
    <t>R$ 31,93</t>
  </si>
  <si>
    <t>consumo willian</t>
  </si>
  <si>
    <t>R$ 6,42</t>
  </si>
  <si>
    <t>R$ 112,72</t>
  </si>
  <si>
    <t>CONSUMO INFLUENCER JUNIOR E FABIELE</t>
  </si>
  <si>
    <t>R$ 38,34</t>
  </si>
  <si>
    <t>CONSUMO SAMU</t>
  </si>
  <si>
    <t>R$ 44,41</t>
  </si>
  <si>
    <t>DOAÇÃO GURDA MUNICIPAL</t>
  </si>
  <si>
    <t>CX SANGRIA MARI</t>
  </si>
  <si>
    <t>sangria ID 1885817 700,00 É DO DIA 23/12/25</t>
  </si>
  <si>
    <t>R$ 226,15</t>
  </si>
  <si>
    <t>R$ 260,00</t>
  </si>
  <si>
    <t>troca por troco</t>
  </si>
  <si>
    <t>R$ 12,31</t>
  </si>
  <si>
    <t>R$ 162,00</t>
  </si>
  <si>
    <t>13º SALARIO- Willian</t>
  </si>
  <si>
    <t>ID 1871112 13º SALARIO WILLIAN</t>
  </si>
  <si>
    <t>R$ 16,59</t>
  </si>
  <si>
    <t>R$ 27,30</t>
  </si>
  <si>
    <t>R$ 53,97</t>
  </si>
  <si>
    <t>R$ 72,71</t>
  </si>
  <si>
    <t>CONSUMO ELIANARA INFLUENCER</t>
  </si>
  <si>
    <t>PANETONE CAMPANHA</t>
  </si>
  <si>
    <t>R$ 47,30</t>
  </si>
  <si>
    <t>R$ 51,94</t>
  </si>
  <si>
    <t>EMBALGEM</t>
  </si>
  <si>
    <t>R$ 39,44</t>
  </si>
  <si>
    <t>PGTO EMANUELE 20/12 E 21/12 FREE-LANCER</t>
  </si>
  <si>
    <t>R$ 81,95</t>
  </si>
  <si>
    <t>MATERIAIS DE COZINHA</t>
  </si>
  <si>
    <t>R$ 10,06</t>
  </si>
  <si>
    <t>troca por trocados</t>
  </si>
  <si>
    <t>ID 1890851 - SAIDA FEITO ERRADA , NF DE CARTAO DE CREDITO (SERA REEMBOLSO)</t>
  </si>
  <si>
    <t>R$ 60,89</t>
  </si>
  <si>
    <t>INFLUENCER - ELEANARA</t>
  </si>
  <si>
    <t>R$ 157,00</t>
  </si>
  <si>
    <t>SAIDA ID 1894290 FEITO SEM CONSIDERAR ADIANTAMENTO 40,00, CONFORME DESCONTO EM RECIBO ID 1894290</t>
  </si>
  <si>
    <t>R$ 70,45</t>
  </si>
  <si>
    <t>DOAÇÃO TRABALHADORES QUE LIMPARAM A FOSSA, 3 PESSOAS</t>
  </si>
  <si>
    <t>R$ 335,85</t>
  </si>
  <si>
    <t>id 1897385 entrada troco</t>
  </si>
  <si>
    <t>R$ 22,52</t>
  </si>
  <si>
    <t>R$ 232,30</t>
  </si>
  <si>
    <t>MATERIAIS COZINHA</t>
  </si>
  <si>
    <t>R$ 45,97</t>
  </si>
  <si>
    <t>MATERIAIS COZINHA E DECORAÇÃO</t>
  </si>
  <si>
    <t>R$ 36,00</t>
  </si>
  <si>
    <t>IMPRESSÃO</t>
  </si>
  <si>
    <t>R$ 730,00</t>
  </si>
  <si>
    <t>R$ 131,27</t>
  </si>
  <si>
    <t>R$ 14,81</t>
  </si>
  <si>
    <t>SANGRIA MARIANE REF 02/01/2025</t>
  </si>
  <si>
    <t>SANGRIA ID 1904227 REF 02/01</t>
  </si>
  <si>
    <t>R$ 34,96</t>
  </si>
  <si>
    <t>R$ 71,40</t>
  </si>
  <si>
    <t>AGUA SEM GAS</t>
  </si>
  <si>
    <t>R$ 32,04</t>
  </si>
  <si>
    <t>AGUAS</t>
  </si>
  <si>
    <t>R$ 110,50</t>
  </si>
  <si>
    <t>PGTO WILLIAN FONSECA FREE-LANCER</t>
  </si>
  <si>
    <t>R$ 216,10</t>
  </si>
  <si>
    <t>sangria ID1959175 , ref 26/01</t>
  </si>
  <si>
    <t>R$ 125,10</t>
  </si>
  <si>
    <t>sangria Marcelo ref 26/01</t>
  </si>
  <si>
    <t>R$ 18,46</t>
  </si>
  <si>
    <t>TESTE</t>
  </si>
  <si>
    <t>R$ 41,39</t>
  </si>
  <si>
    <t>R$ 25,80</t>
  </si>
  <si>
    <t>EMBALAGENS REF 27/01</t>
  </si>
  <si>
    <t>sangria mariane 05/12/26</t>
  </si>
  <si>
    <t>R$ 14,59</t>
  </si>
  <si>
    <t>R$ 89,37</t>
  </si>
  <si>
    <t>CAFE FUNCIONARIOS REF 27/01</t>
  </si>
  <si>
    <t>R$ 11,44</t>
  </si>
  <si>
    <t>R$ 51,96</t>
  </si>
  <si>
    <t>LIMPEZA LOJA</t>
  </si>
  <si>
    <t>sangria marcelo ref 29/01/26</t>
  </si>
  <si>
    <t>limpeza loja</t>
  </si>
  <si>
    <t>ENTRADA ID 1965840 REF 29/01/26</t>
  </si>
  <si>
    <t>R$ 41,77</t>
  </si>
  <si>
    <t>R$ 152,34</t>
  </si>
  <si>
    <t>INFLUENCER CASAL (FABY) E JUNIOR REF 30/01/26</t>
  </si>
  <si>
    <t>R$ 25,86</t>
  </si>
  <si>
    <t>SANGRIA MARCELO REF 30/01/26</t>
  </si>
  <si>
    <t>R$ 356,45</t>
  </si>
  <si>
    <t>CAIXA 28/09/2025 MARCELO (ESTAMOS USANDO UM CAIXA MARIANE)</t>
  </si>
  <si>
    <t>PGTO LUCIMARA FREE-LANCER</t>
  </si>
  <si>
    <t>R$ 375,00</t>
  </si>
  <si>
    <t>R$ 234,00</t>
  </si>
  <si>
    <t>FREE-LANCER GABRIELE</t>
  </si>
  <si>
    <t>R$ 478,25</t>
  </si>
  <si>
    <t>FREE-LANCER EMANUELI</t>
  </si>
  <si>
    <t>FREE-LANCER WILLIAN</t>
  </si>
  <si>
    <t>R$ 1.280,00</t>
  </si>
  <si>
    <t>R$ 14,97</t>
  </si>
  <si>
    <t>R$ 22,14</t>
  </si>
  <si>
    <t>R$ 90,45</t>
  </si>
  <si>
    <t>R$ 118,52</t>
  </si>
  <si>
    <t>R$ 20,10</t>
  </si>
  <si>
    <t>R$ 16,23</t>
  </si>
  <si>
    <t>TROCO , MOEDAS DE 1,00</t>
  </si>
  <si>
    <t>R$ 65,40</t>
  </si>
  <si>
    <t>R$ 316,25</t>
  </si>
  <si>
    <t>RESCISÃO WILLIAN</t>
  </si>
  <si>
    <t>R$ 48,60</t>
  </si>
  <si>
    <t>R$ 71,80</t>
  </si>
  <si>
    <t>R$ 150,66</t>
  </si>
  <si>
    <t>Outros - FRUTAS</t>
  </si>
  <si>
    <t>ID 1919057 REF FRUTAS</t>
  </si>
  <si>
    <t>R$ 21,48</t>
  </si>
  <si>
    <t>R$ 109,80</t>
  </si>
  <si>
    <t>R$ 13,08</t>
  </si>
  <si>
    <t>INFLUENCER FABI E JUNIOR (CASAL)</t>
  </si>
  <si>
    <t>R$ 6,29</t>
  </si>
  <si>
    <t>Doação</t>
  </si>
  <si>
    <t>R$ 20,44</t>
  </si>
  <si>
    <t>SAIDA CONSUMO HELENA</t>
  </si>
  <si>
    <t>R$ 27,27</t>
  </si>
  <si>
    <t>SAIDA CONSUMO GABRIEL</t>
  </si>
  <si>
    <t>R$ 88,25</t>
  </si>
  <si>
    <t>R$ 53,84</t>
  </si>
  <si>
    <t>SAIDA CONSUMO MARCELO</t>
  </si>
  <si>
    <t>R$ 59,82</t>
  </si>
  <si>
    <t>SAIDA CONSUMO MARIANE</t>
  </si>
  <si>
    <t>R$ 2,59</t>
  </si>
  <si>
    <t>R$ 22,36</t>
  </si>
  <si>
    <t>VINAGRE</t>
  </si>
  <si>
    <t>R$ 133,00</t>
  </si>
  <si>
    <t>PGTO FREE-LANCER EMANUELI</t>
  </si>
  <si>
    <t>R$ 112,42</t>
  </si>
  <si>
    <t>FRUTAS CAFE FUNCIONARIOS</t>
  </si>
  <si>
    <t>PGTO WILLIAN FREE-LANCER</t>
  </si>
  <si>
    <t>R$ 24,66</t>
  </si>
  <si>
    <t>R$ 17,59</t>
  </si>
  <si>
    <t>R$ 43,68</t>
  </si>
  <si>
    <t>R$ 134,98</t>
  </si>
  <si>
    <t>CONSUMO INFLUENCER CASAL FABI E JUNIOR</t>
  </si>
  <si>
    <t>R$ 23,77</t>
  </si>
  <si>
    <t>R$ 7,80</t>
  </si>
  <si>
    <t>R$ 50,19</t>
  </si>
  <si>
    <t>SANGRIA MARCELO 12/01/26</t>
  </si>
  <si>
    <t>R$ 2.400,00</t>
  </si>
  <si>
    <t>DEDETIZAÇÃO 13/01/26</t>
  </si>
  <si>
    <t>R$ 310,00</t>
  </si>
  <si>
    <t>SANGRIA MARCELO 13/01</t>
  </si>
  <si>
    <t>R$ 167,00</t>
  </si>
  <si>
    <t>R$ 38,85</t>
  </si>
  <si>
    <t>PGTO FREE-LANCER GABRIELE</t>
  </si>
  <si>
    <t>VALOR 400,00 SANGRIA CAIXA MARI</t>
  </si>
  <si>
    <t>Outros - consumo isabeli</t>
  </si>
  <si>
    <t>ID 1932375 CONSUMO ISABELI</t>
  </si>
  <si>
    <t>R$ 20,47</t>
  </si>
  <si>
    <t>R$ 990,00</t>
  </si>
  <si>
    <t>R$ 29,67</t>
  </si>
  <si>
    <t>R$ 39,25</t>
  </si>
  <si>
    <t>R$ 66,30</t>
  </si>
  <si>
    <t>R$ 146,18</t>
  </si>
  <si>
    <t>influencer fabi e junior</t>
  </si>
  <si>
    <t>PGTO FREELANCER EMANUELE</t>
  </si>
  <si>
    <t>R$ 19,85</t>
  </si>
  <si>
    <t>R$ 21,61</t>
  </si>
  <si>
    <t>CONSUMO ISABELI GRASMANI</t>
  </si>
  <si>
    <t>R$ 111,75</t>
  </si>
  <si>
    <t>CAFÉ FUNCIONARIOS</t>
  </si>
  <si>
    <t>R$ 690,00</t>
  </si>
  <si>
    <t>R$ 52,73</t>
  </si>
  <si>
    <t>R$ 4,79</t>
  </si>
  <si>
    <t>R$ 38,38</t>
  </si>
  <si>
    <t>doacao lar acolimento lar das meninas</t>
  </si>
  <si>
    <t>R$ 39,56</t>
  </si>
  <si>
    <t>R$ 40,75</t>
  </si>
  <si>
    <t>R$ 377,91</t>
  </si>
  <si>
    <t>R$ 860,00</t>
  </si>
  <si>
    <t>R$ 1.570,00</t>
  </si>
  <si>
    <t>R$ 6,35</t>
  </si>
  <si>
    <t>ADIANTAMENTO DE SALARIO HELENA</t>
  </si>
  <si>
    <t>R$ 20,36</t>
  </si>
  <si>
    <t>consumo Isabeli grassmann</t>
  </si>
  <si>
    <t>R$ 1.910,00</t>
  </si>
  <si>
    <t>R$ 327,00</t>
  </si>
  <si>
    <t>troco (troca de moedas)</t>
  </si>
  <si>
    <t>R$ 20,38</t>
  </si>
  <si>
    <t>R$ 67,43</t>
  </si>
  <si>
    <t>INFLUENCER ELEONARA</t>
  </si>
  <si>
    <t>R$ 223,00</t>
  </si>
  <si>
    <t>R$ 54,55</t>
  </si>
  <si>
    <t>R$ 780,00</t>
  </si>
  <si>
    <t>R$ 29,80</t>
  </si>
  <si>
    <t>CANUDOS MILK-SHAKE</t>
  </si>
  <si>
    <t>R$ 174,19</t>
  </si>
  <si>
    <t>R$ 17,86</t>
  </si>
  <si>
    <t>pgto free-lancer Erick</t>
  </si>
  <si>
    <t>R$ 222,00</t>
  </si>
  <si>
    <t>pgto free-lancer Emanuele</t>
  </si>
  <si>
    <t>R$ 19,90</t>
  </si>
  <si>
    <t>joana brinde de aniversario</t>
  </si>
  <si>
    <t>R$ 83,49</t>
  </si>
  <si>
    <t>consumo helena cardoso</t>
  </si>
  <si>
    <t>R$ 27,90</t>
  </si>
  <si>
    <t>R$ 46,04</t>
  </si>
  <si>
    <t>Influencer Elianara</t>
  </si>
  <si>
    <t>R$ 50,95</t>
  </si>
  <si>
    <t>R$ 122,50</t>
  </si>
  <si>
    <t>R$ 124,55</t>
  </si>
  <si>
    <t>influencer fabiely casal</t>
  </si>
  <si>
    <t>R$ 193,35</t>
  </si>
  <si>
    <t>R$ 15,60</t>
  </si>
  <si>
    <t>consumo Gabriel</t>
  </si>
  <si>
    <t>R$ 41,88</t>
  </si>
  <si>
    <t>suco abx e frutas</t>
  </si>
  <si>
    <t>suco abx</t>
  </si>
  <si>
    <t>R$ 23,50</t>
  </si>
  <si>
    <t>sangria Marcelo 350,00 ref 24/02/2026, conversado com o Jairo 02/03/26</t>
  </si>
  <si>
    <t>PARTE DO PGTO DO PEREIRA FATURA DE AGUA</t>
  </si>
  <si>
    <t>sangria Mariane 01/03/26 ref ao caixa do dia 01/03/26 esta com 100,00 a mais no envelope, registrado 2.100,00, estava com 2.200,00</t>
  </si>
  <si>
    <t>sangria Mariane 01/03/26 2.100,00, estava com 2.200,00,</t>
  </si>
  <si>
    <t>R$ 42,39</t>
  </si>
  <si>
    <t>CONSUMO HELENA CARDOSO</t>
  </si>
  <si>
    <t>R$ 62,65</t>
  </si>
  <si>
    <t>PGTO FREE-LANCER KAUAN</t>
  </si>
  <si>
    <t>R$ 40,23</t>
  </si>
  <si>
    <t>CAFÉ FUNCIONÁRIOS E FRUTAS</t>
  </si>
  <si>
    <t>R$ 18,12</t>
  </si>
  <si>
    <t>R$ 52,87</t>
  </si>
  <si>
    <t>R$ 8,82</t>
  </si>
  <si>
    <t>R$ 31,82</t>
  </si>
  <si>
    <t>R$ 17,98</t>
  </si>
  <si>
    <t>confraternização aniversario Isabele</t>
  </si>
  <si>
    <t>R$ 46,00</t>
  </si>
  <si>
    <t>R$ 940,00</t>
  </si>
  <si>
    <t>R$ 92,51</t>
  </si>
  <si>
    <t>R$ 48,25</t>
  </si>
  <si>
    <t>UTENSILIOS COZINHA</t>
  </si>
  <si>
    <t>R$ 34,85</t>
  </si>
  <si>
    <t>R$ 101,14</t>
  </si>
  <si>
    <t>Influencer Junior e Fabi</t>
  </si>
  <si>
    <t>SANGRIA MARCELO REF 24/01/2026</t>
  </si>
  <si>
    <t>R$ 271,00</t>
  </si>
  <si>
    <t>R$ 102,67</t>
  </si>
  <si>
    <t>Enfeite pascoa</t>
  </si>
  <si>
    <t>SANGRIA MARCELO REF 24/01/26</t>
  </si>
  <si>
    <t>R$ 187,79</t>
  </si>
  <si>
    <t>Enfeite Pascoa</t>
  </si>
  <si>
    <t>R$ 128,65</t>
  </si>
  <si>
    <t>R$ 71,58</t>
  </si>
  <si>
    <t>R$ 113,14</t>
  </si>
  <si>
    <t>R$ 154,40</t>
  </si>
  <si>
    <t>R$ 8,68</t>
  </si>
  <si>
    <t>PARTE DO PEREIRA FATURA DE AGUA 03/2026</t>
  </si>
  <si>
    <t>R$ 71,00</t>
  </si>
  <si>
    <t>VINICIUS FREE-LANCER</t>
  </si>
  <si>
    <t>R$ 195,25</t>
  </si>
  <si>
    <t>EMANUELI FREE-LANCER</t>
  </si>
  <si>
    <t>WILLIAN FREE-LANCER</t>
  </si>
  <si>
    <t>R$ 235,00</t>
  </si>
  <si>
    <t>GABRIELI SCOLARO FREE-LANCER</t>
  </si>
  <si>
    <t>DECORAÇÃO PASCOA</t>
  </si>
  <si>
    <t>R$ 2.130,00</t>
  </si>
  <si>
    <t>R$ 38,50</t>
  </si>
  <si>
    <t>CANUDOS DE REFRIGERANTES</t>
  </si>
  <si>
    <t>R$ 52,97</t>
  </si>
  <si>
    <t>R$ 99,48</t>
  </si>
  <si>
    <t>R$ 2,95</t>
  </si>
  <si>
    <t>sangria cx Mari</t>
  </si>
  <si>
    <t>R$ 144,04</t>
  </si>
  <si>
    <t>INFLUENCER FABIELE E JUNIOR CASAL</t>
  </si>
  <si>
    <t>R$ 144,89</t>
  </si>
  <si>
    <t>INFLUENCER FABIELE E JUNIOR (CASAL)</t>
  </si>
  <si>
    <t>R$ 24,13</t>
  </si>
  <si>
    <t>R$ 7,59</t>
  </si>
  <si>
    <t>DECORAÇÃO LOJA (ANA JULIA )</t>
  </si>
  <si>
    <t>R$ 27,98</t>
  </si>
  <si>
    <t>R$ 505,00</t>
  </si>
  <si>
    <t>R$ 1.750,00</t>
  </si>
  <si>
    <t>R$ 94,55</t>
  </si>
  <si>
    <t>R$ 78,06</t>
  </si>
  <si>
    <t>R$ 67,93</t>
  </si>
  <si>
    <t>INFLUENCER ILEANARA</t>
  </si>
  <si>
    <t>R$ 34,48</t>
  </si>
  <si>
    <t>R$ 5,40</t>
  </si>
  <si>
    <t>R$ 71,71</t>
  </si>
  <si>
    <t>Influencer ILHEANARA</t>
  </si>
  <si>
    <t>FREE-LANCER EMANUELE</t>
  </si>
  <si>
    <t>R$ 37,46</t>
  </si>
  <si>
    <t>MIMO DIA DAS MULHERES E CAFE FUNCIONARIOS</t>
  </si>
  <si>
    <t>R$ 224,00</t>
  </si>
  <si>
    <t>R$ 2.310,00</t>
  </si>
  <si>
    <t>CONSUMO ISABELI GRASSMANN</t>
  </si>
  <si>
    <t>R$ 1.240,00</t>
  </si>
  <si>
    <t>R$ 9,81</t>
  </si>
  <si>
    <t>R$ 11,97</t>
  </si>
  <si>
    <t>consumo GABRIEL</t>
  </si>
  <si>
    <t>R$ 39,83</t>
  </si>
  <si>
    <t>R$ 26,50</t>
  </si>
  <si>
    <t>frutas e materiais cozinha</t>
  </si>
  <si>
    <t>AGUA PARTE DO PEREIRA</t>
  </si>
  <si>
    <t>R$ 29,99</t>
  </si>
  <si>
    <t>FREE-LANCER EMANUELE 11/03</t>
  </si>
  <si>
    <t>R$ 17,56</t>
  </si>
  <si>
    <t>R$ 12,20</t>
  </si>
  <si>
    <t>R$ 8,75</t>
  </si>
  <si>
    <t>R$ 77,74</t>
  </si>
  <si>
    <t>influencer faby e junior</t>
  </si>
  <si>
    <t>R$ 32,96</t>
  </si>
  <si>
    <t>R$ 79,43</t>
  </si>
  <si>
    <t>R$ 173,00</t>
  </si>
  <si>
    <t>R$ 165,56</t>
  </si>
  <si>
    <t>R$ 170,00</t>
  </si>
  <si>
    <t>RAFAELA FREE-LANCER</t>
  </si>
  <si>
    <t>R$ 38,36</t>
  </si>
  <si>
    <t>R$ 10,32</t>
  </si>
  <si>
    <t>CONSUMO SAIDA GABRIEL</t>
  </si>
  <si>
    <t>R$ 69,50</t>
  </si>
  <si>
    <t>PGTO GABRIELE FREE-LANCER</t>
  </si>
  <si>
    <t>R$ 103,92</t>
  </si>
  <si>
    <t>consumo HELENA</t>
  </si>
  <si>
    <t>R$ 14,98</t>
  </si>
  <si>
    <t>lucro maquina de premio</t>
  </si>
  <si>
    <t>R$ 70,22</t>
  </si>
  <si>
    <t>R$ 13,96</t>
  </si>
  <si>
    <t>R$ 77,08</t>
  </si>
  <si>
    <t>R$ 72,45</t>
  </si>
  <si>
    <t>INFLUENCER faby influencer</t>
  </si>
  <si>
    <t>R$ 13,04</t>
  </si>
  <si>
    <t>CONSUMO helena</t>
  </si>
  <si>
    <t>R$ 6,92</t>
  </si>
  <si>
    <t>R$ 15,83</t>
  </si>
  <si>
    <t>R$ 31,05</t>
  </si>
  <si>
    <t>R$ 84,04</t>
  </si>
  <si>
    <t>consumo isabeli grassmann</t>
  </si>
  <si>
    <t>R$ 221,00</t>
  </si>
  <si>
    <t>R$ 53,00</t>
  </si>
  <si>
    <t>R$ 15,70</t>
  </si>
  <si>
    <t>R$ 30,40</t>
  </si>
  <si>
    <t>R$ 159,90</t>
  </si>
  <si>
    <t>R$ 11,98</t>
  </si>
  <si>
    <t>consumo Isabele</t>
  </si>
  <si>
    <t>R$ 770,00</t>
  </si>
  <si>
    <t>R$ 90,30</t>
  </si>
  <si>
    <t>R$ 70,90</t>
  </si>
  <si>
    <t>INFLUENCER fabielly e junior</t>
  </si>
  <si>
    <t>sangria Mariane reff 26/03/2026</t>
  </si>
  <si>
    <t>R$ 59,38</t>
  </si>
  <si>
    <t>influencer Elianara marketing</t>
  </si>
  <si>
    <t>ID 2086916 REF 26/03/2026</t>
  </si>
  <si>
    <t>R$ 83,87</t>
  </si>
  <si>
    <t>FRUTAS E CAFE FUNCIONARIOS REF 26/03/26</t>
  </si>
  <si>
    <t>R$ 6,00</t>
  </si>
  <si>
    <t>material escritorio</t>
  </si>
  <si>
    <t>R$ 66,12</t>
  </si>
  <si>
    <t>R$ 40,46</t>
  </si>
  <si>
    <t>materiais de cozinha</t>
  </si>
  <si>
    <t>R$ 1.190,00</t>
  </si>
  <si>
    <t>R$ 168,04</t>
  </si>
  <si>
    <t>R$ 8,99</t>
  </si>
  <si>
    <t>R$ 70,80</t>
  </si>
  <si>
    <t>R$ 207,00</t>
  </si>
  <si>
    <t>R$ 191,00</t>
  </si>
  <si>
    <t>PGTO FREE-LANCER GABRIELA</t>
  </si>
  <si>
    <t>R$ 264,00</t>
  </si>
  <si>
    <t>PGTO FREE-LANCER RAFAELA</t>
  </si>
  <si>
    <t>R$ 54,00</t>
  </si>
  <si>
    <t>R$ 106,00</t>
  </si>
  <si>
    <t>R$ 255,65</t>
  </si>
  <si>
    <t>R$ 160,01</t>
  </si>
  <si>
    <t>R$ 1.270,00</t>
  </si>
  <si>
    <t>R$ 11,42</t>
  </si>
  <si>
    <t>R$ 3,80</t>
  </si>
  <si>
    <t>pgto Emanuele free-lancer</t>
  </si>
  <si>
    <t>R$ 870,00</t>
  </si>
  <si>
    <t>R$ 40,03</t>
  </si>
  <si>
    <t>R$ 16,21</t>
  </si>
  <si>
    <t>R$ 15,37</t>
  </si>
  <si>
    <t>R$ 10,17</t>
  </si>
  <si>
    <t>R$ 77,91</t>
  </si>
  <si>
    <t>R$ 19,95</t>
  </si>
  <si>
    <t>presente de pascoa equipe</t>
  </si>
  <si>
    <t>R$ 8,43</t>
  </si>
  <si>
    <t>R$ 44,61</t>
  </si>
  <si>
    <t>mimo funcionarios pascoa</t>
  </si>
  <si>
    <t>R$ 17,60</t>
  </si>
  <si>
    <t>troco nf caixa dia 03/04/2026</t>
  </si>
  <si>
    <t>nf 132,61 cafe funcionarios, nao lançado dia anterior - nf e troco 80,00 lançado caixa dia 03/04/2026</t>
  </si>
  <si>
    <t>R$ 17,99</t>
  </si>
  <si>
    <t>R$ 42,80</t>
  </si>
  <si>
    <t>pgto rafaela free-lancer</t>
  </si>
  <si>
    <t>R$ 411,00</t>
  </si>
  <si>
    <t>pgto tiago free-lancer</t>
  </si>
  <si>
    <t>R$ 313,00</t>
  </si>
  <si>
    <t>R$ 103,00</t>
  </si>
  <si>
    <t>pgto Gabriela free-lancer</t>
  </si>
  <si>
    <t>R$ 79,99</t>
  </si>
  <si>
    <t>materiais banheiro</t>
  </si>
  <si>
    <t>R$ 33,74</t>
  </si>
  <si>
    <t>R$ 68,82</t>
  </si>
  <si>
    <t>R$ 18,87</t>
  </si>
  <si>
    <t>R$ 340,92</t>
  </si>
  <si>
    <t>R$ 59,13</t>
  </si>
  <si>
    <t>GABRIELA FREE-LANCER</t>
  </si>
  <si>
    <t>R$ 267,00</t>
  </si>
  <si>
    <t>PGTO GABRIELA FREE-LANCER</t>
  </si>
  <si>
    <t>R$ 227,00</t>
  </si>
  <si>
    <t>R$ 324,00</t>
  </si>
  <si>
    <t>PGTO TIAGO FREE-LANCER (TESTE)</t>
  </si>
  <si>
    <t>R$ 35,34</t>
  </si>
  <si>
    <t>R$ 21,18</t>
  </si>
  <si>
    <t>R$ 25,11</t>
  </si>
  <si>
    <t>R$ 49,70</t>
  </si>
  <si>
    <t>IMPRESSAO</t>
  </si>
  <si>
    <t>R$ 16,78</t>
  </si>
  <si>
    <t>PARTE AGUA PEREIRA REF 03/2026</t>
  </si>
  <si>
    <t>R$ 186,39</t>
  </si>
  <si>
    <t>frutas e café funcionários</t>
  </si>
  <si>
    <t>R$ 116,91</t>
  </si>
  <si>
    <t>R$ 28,68</t>
  </si>
  <si>
    <t>R$ 56,49</t>
  </si>
  <si>
    <t>influencer Ilheanara ref 19/04/2026</t>
  </si>
  <si>
    <t>R$ 63,40</t>
  </si>
  <si>
    <t>Consumo Isabele</t>
  </si>
  <si>
    <t>sangria Mariane ref 19/04/2026</t>
  </si>
  <si>
    <t>FRUTAS E CAFÉ FUNCIONÁRIOS</t>
  </si>
  <si>
    <t>R$ 27,96</t>
  </si>
  <si>
    <t>PGTO FREE-LANCER TIAGO FERNANDO</t>
  </si>
  <si>
    <t>R$ 157,85</t>
  </si>
  <si>
    <t>INFLUENCER FABI E JUNIOR</t>
  </si>
  <si>
    <t>R$ 331,00</t>
  </si>
  <si>
    <t>R$ 314,00</t>
  </si>
  <si>
    <t>PGTO FREE - LANCER RAFAELA</t>
  </si>
  <si>
    <t>PGTO FREE - LANCER GABRIELA</t>
  </si>
  <si>
    <t>varal</t>
  </si>
  <si>
    <t>R$ 69,41</t>
  </si>
  <si>
    <t>R$ 21,39</t>
  </si>
  <si>
    <t>R$ 460,00</t>
  </si>
  <si>
    <t>R$ 10,01</t>
  </si>
  <si>
    <t>R$ 17,96</t>
  </si>
  <si>
    <t>R$ 318,63</t>
  </si>
  <si>
    <t>R$ 93,85</t>
  </si>
  <si>
    <t>consumo isabelly</t>
  </si>
  <si>
    <t>R$ 16,10</t>
  </si>
  <si>
    <t>R$ 123,00</t>
  </si>
  <si>
    <t>FREE-LANCER CAMILE TESTE</t>
  </si>
  <si>
    <t>FREE-LANCER ELOIDIA TESTE</t>
  </si>
  <si>
    <t>R$ 230,25</t>
  </si>
  <si>
    <t>R$ 5,99</t>
  </si>
  <si>
    <t>R$ 11,80</t>
  </si>
  <si>
    <t>bobina termica</t>
  </si>
  <si>
    <t>R$ 314,12</t>
  </si>
  <si>
    <t>PGTO FRUTARIA MARTA ESQUECIDO DE LANÇAR NO TBA</t>
  </si>
  <si>
    <t>R$ 74,94</t>
  </si>
  <si>
    <t>CONSUMO FABIEELY E JUNIOR</t>
  </si>
  <si>
    <t>CAFE FUNCIONARIOS DIA TRABALHADOR</t>
  </si>
  <si>
    <t>R$ 101,61</t>
  </si>
  <si>
    <t>CAFE FUNCIONARIOS DIA DOS TRABALHADOR</t>
  </si>
  <si>
    <t>motoboy ref 01/05/2026</t>
  </si>
  <si>
    <t>pgto emanuele free-lancer ref 01/05/26</t>
  </si>
  <si>
    <t>R$ 16,73</t>
  </si>
  <si>
    <t>R$ 44,66</t>
  </si>
  <si>
    <t>R$ 91,64</t>
  </si>
  <si>
    <t>café funcionarios</t>
  </si>
  <si>
    <t>R$ 9,29</t>
  </si>
  <si>
    <t>R$ 93,23</t>
  </si>
  <si>
    <t>ENTREGA MOTOBOY 04/05 E 03/05</t>
  </si>
  <si>
    <t>R$ 111,74</t>
  </si>
  <si>
    <t>influencer fabielly marcheting</t>
  </si>
  <si>
    <t>PARTE FATURA DE AGUA PEREIRA 05/2026</t>
  </si>
  <si>
    <t>R$ 475,00</t>
  </si>
  <si>
    <t>R$ 9,18</t>
  </si>
  <si>
    <t>R$ 119,63</t>
  </si>
  <si>
    <t>impressões</t>
  </si>
  <si>
    <t>material escritório</t>
  </si>
  <si>
    <t>R$ 13,82</t>
  </si>
  <si>
    <t>motoboy 09/05 e 11/05</t>
  </si>
  <si>
    <t>R$ 88,54</t>
  </si>
  <si>
    <t>INFLUENCER JUNIOR E FABI</t>
  </si>
  <si>
    <t>R$ 90,20</t>
  </si>
  <si>
    <t>R$ 6,54</t>
  </si>
  <si>
    <t>R$ 94,41</t>
  </si>
  <si>
    <t>freelancer Emanuele</t>
  </si>
  <si>
    <t>R$ 11,83</t>
  </si>
  <si>
    <t>R$ 4,34</t>
  </si>
  <si>
    <t>R$ 75,49</t>
  </si>
  <si>
    <t>R$ 163,76</t>
  </si>
  <si>
    <t>R$ 24,98</t>
  </si>
  <si>
    <t>utensilios cozinha</t>
  </si>
  <si>
    <t>TAXA DE ENTREGA MOTOBOY</t>
  </si>
  <si>
    <t>R$ 127,00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</si>
</sst>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R$&quot;\ #,##0.00"/>
    <numFmt numFmtId="165" formatCode="dd/mm/yyyy hh:mm:ss"/>
    <numFmt numFmtId="166" formatCode="d/m/yyyy"/>
    <numFmt numFmtId="167" formatCode="dd/mm/yyyy"/>
    <numFmt numFmtId="168" formatCode="[$R$ -416]#,##0.00"/>
    <numFmt numFmtId="169" formatCode="d/m"/>
    <numFmt numFmtId="170" formatCode="dd/MM/yyyy"/>
  </numFmts>
  <fonts count="3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color theme="1"/>
      <name val="Arial"/>
    </font>
    <font>
      <sz val="11.0"/>
      <color rgb="FF000000"/>
      <name val="Roboto"/>
    </font>
    <font>
      <color theme="1"/>
      <name val="Arial"/>
      <scheme val="minor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17.0"/>
      <color theme="1"/>
      <name val="Calibri"/>
    </font>
    <font>
      <b/>
      <sz val="14.0"/>
      <color theme="1"/>
      <name val="Calibri"/>
    </font>
    <font>
      <b/>
      <color theme="1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0.0"/>
      <color theme="1"/>
      <name val="Calibri"/>
    </font>
    <font>
      <sz val="12.0"/>
      <color theme="1"/>
      <name val="Calibri"/>
    </font>
    <font>
      <b/>
      <sz val="14.0"/>
      <color rgb="FF000000"/>
      <name val="Calibri"/>
    </font>
    <font>
      <b/>
      <sz val="10.0"/>
      <color theme="1"/>
      <name val="Arial"/>
      <scheme val="minor"/>
    </font>
    <font>
      <sz val="12.0"/>
      <color rgb="FF000000"/>
      <name val="Calibri"/>
    </font>
    <font>
      <b/>
      <sz val="13.0"/>
      <color theme="1"/>
      <name val="Calibri"/>
    </font>
    <font>
      <b/>
      <color theme="1"/>
      <name val="Arial"/>
      <scheme val="minor"/>
    </font>
    <font>
      <color rgb="FF000000"/>
      <name val="Roboto"/>
    </font>
    <font>
      <b/>
      <sz val="10.0"/>
      <color rgb="FF000000"/>
      <name val="&quot;Google Sans Mono&quot;"/>
    </font>
    <font>
      <sz val="9.0"/>
      <color rgb="FF434343"/>
      <name val="&quot;Google Sans Mono&quot;"/>
    </font>
    <font>
      <b/>
      <sz val="14.0"/>
      <color theme="1"/>
      <name val="Roboto"/>
    </font>
    <font>
      <b/>
      <sz val="11.0"/>
      <color theme="1"/>
      <name val="Roboto"/>
    </font>
    <font>
      <sz val="11.0"/>
      <color rgb="FFFF0000"/>
      <name val="Calibri"/>
    </font>
    <font>
      <b/>
      <sz val="12.0"/>
      <color theme="1"/>
      <name val="Roboto"/>
    </font>
    <font>
      <b/>
      <color theme="1"/>
      <name val="Roboto"/>
    </font>
    <font>
      <b/>
      <color rgb="FF434343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BBC04"/>
        <bgColor rgb="FFFBBC04"/>
      </patternFill>
    </fill>
    <fill>
      <patternFill patternType="solid">
        <fgColor rgb="FFD9D9D9"/>
        <bgColor rgb="FFD9D9D9"/>
      </patternFill>
    </fill>
    <fill>
      <patternFill patternType="solid">
        <fgColor rgb="FFFAFAFA"/>
        <bgColor rgb="FFFAFAFA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8">
    <border/>
    <border>
      <left style="thick">
        <color rgb="FF000000"/>
      </left>
    </border>
    <border>
      <bottom style="thin">
        <color rgb="FFF0F0F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2" fontId="1" numFmtId="164" xfId="0" applyAlignment="1" applyFont="1" applyNumberFormat="1">
      <alignment horizontal="center" vertical="bottom"/>
    </xf>
    <xf borderId="0" fillId="3" fontId="2" numFmtId="0" xfId="0" applyAlignment="1" applyFont="1">
      <alignment vertical="bottom"/>
    </xf>
    <xf borderId="1" fillId="4" fontId="2" numFmtId="0" xfId="0" applyAlignment="1" applyBorder="1" applyFill="1" applyFont="1">
      <alignment vertical="bottom"/>
    </xf>
    <xf borderId="0" fillId="4" fontId="2" numFmtId="0" xfId="0" applyAlignment="1" applyFont="1">
      <alignment vertical="bottom"/>
    </xf>
    <xf borderId="0" fillId="4" fontId="3" numFmtId="0" xfId="0" applyAlignment="1" applyFont="1">
      <alignment horizontal="center" vertical="bottom"/>
    </xf>
    <xf borderId="0" fillId="4" fontId="1" numFmtId="164" xfId="0" applyAlignment="1" applyFont="1" applyNumberFormat="1">
      <alignment horizontal="center" vertical="bottom"/>
    </xf>
    <xf borderId="0" fillId="4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2" fillId="0" fontId="4" numFmtId="0" xfId="0" applyAlignment="1" applyBorder="1" applyFont="1">
      <alignment horizontal="left" readingOrder="0" shrinkToFit="0" wrapText="1"/>
    </xf>
    <xf borderId="2" fillId="0" fontId="4" numFmtId="165" xfId="0" applyAlignment="1" applyBorder="1" applyFont="1" applyNumberFormat="1">
      <alignment horizontal="left" readingOrder="0" shrinkToFit="0" wrapText="1"/>
    </xf>
    <xf borderId="0" fillId="0" fontId="2" numFmtId="0" xfId="0" applyAlignment="1" applyFont="1">
      <alignment horizontal="center" vertical="bottom"/>
    </xf>
    <xf borderId="2" fillId="0" fontId="4" numFmtId="0" xfId="0" applyAlignment="1" applyBorder="1" applyFont="1">
      <alignment horizontal="left"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5" numFmtId="0" xfId="0" applyAlignment="1" applyFont="1">
      <alignment readingOrder="0"/>
    </xf>
    <xf borderId="2" fillId="5" fontId="4" numFmtId="0" xfId="0" applyAlignment="1" applyBorder="1" applyFill="1" applyFont="1">
      <alignment horizontal="left" shrinkToFit="0" wrapText="1"/>
    </xf>
    <xf borderId="0" fillId="0" fontId="5" numFmtId="14" xfId="0" applyAlignment="1" applyFont="1" applyNumberFormat="1">
      <alignment readingOrder="0"/>
    </xf>
    <xf quotePrefix="1" borderId="0" fillId="0" fontId="5" numFmtId="0" xfId="0" applyAlignment="1" applyFont="1">
      <alignment readingOrder="0"/>
    </xf>
    <xf borderId="0" fillId="6" fontId="6" numFmtId="164" xfId="0" applyAlignment="1" applyFill="1" applyFont="1" applyNumberFormat="1">
      <alignment horizontal="center" vertical="bottom"/>
    </xf>
    <xf borderId="0" fillId="6" fontId="5" numFmtId="0" xfId="0" applyFont="1"/>
    <xf borderId="0" fillId="6" fontId="5" numFmtId="0" xfId="0" applyFont="1"/>
    <xf borderId="3" fillId="7" fontId="7" numFmtId="164" xfId="0" applyAlignment="1" applyBorder="1" applyFill="1" applyFont="1" applyNumberFormat="1">
      <alignment horizontal="center" readingOrder="0" vertical="bottom"/>
    </xf>
    <xf borderId="4" fillId="0" fontId="8" numFmtId="0" xfId="0" applyBorder="1" applyFont="1"/>
    <xf borderId="5" fillId="0" fontId="8" numFmtId="0" xfId="0" applyBorder="1" applyFont="1"/>
    <xf borderId="3" fillId="7" fontId="9" numFmtId="0" xfId="0" applyAlignment="1" applyBorder="1" applyFont="1">
      <alignment horizontal="center" readingOrder="0"/>
    </xf>
    <xf borderId="6" fillId="8" fontId="10" numFmtId="0" xfId="0" applyAlignment="1" applyBorder="1" applyFill="1" applyFont="1">
      <alignment horizontal="center" readingOrder="0"/>
    </xf>
    <xf borderId="7" fillId="0" fontId="8" numFmtId="0" xfId="0" applyBorder="1" applyFont="1"/>
    <xf borderId="8" fillId="8" fontId="10" numFmtId="164" xfId="0" applyAlignment="1" applyBorder="1" applyFont="1" applyNumberFormat="1">
      <alignment horizontal="center" vertical="bottom"/>
    </xf>
    <xf borderId="9" fillId="8" fontId="10" numFmtId="164" xfId="0" applyAlignment="1" applyBorder="1" applyFont="1" applyNumberFormat="1">
      <alignment horizontal="center" vertical="bottom"/>
    </xf>
    <xf borderId="10" fillId="0" fontId="8" numFmtId="0" xfId="0" applyBorder="1" applyFont="1"/>
    <xf borderId="0" fillId="6" fontId="10" numFmtId="0" xfId="0" applyAlignment="1" applyFont="1">
      <alignment horizontal="center" vertical="bottom"/>
    </xf>
    <xf borderId="3" fillId="8" fontId="10" numFmtId="164" xfId="0" applyAlignment="1" applyBorder="1" applyFont="1" applyNumberFormat="1">
      <alignment horizontal="center" vertical="bottom"/>
    </xf>
    <xf borderId="4" fillId="6" fontId="10" numFmtId="164" xfId="0" applyAlignment="1" applyBorder="1" applyFont="1" applyNumberFormat="1">
      <alignment horizontal="center" vertical="bottom"/>
    </xf>
    <xf borderId="4" fillId="8" fontId="10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/>
    </xf>
    <xf borderId="11" fillId="9" fontId="11" numFmtId="0" xfId="0" applyAlignment="1" applyBorder="1" applyFill="1" applyFont="1">
      <alignment readingOrder="0"/>
    </xf>
    <xf borderId="0" fillId="5" fontId="1" numFmtId="164" xfId="0" applyAlignment="1" applyFont="1" applyNumberFormat="1">
      <alignment horizontal="left" vertical="bottom"/>
    </xf>
    <xf borderId="11" fillId="5" fontId="12" numFmtId="168" xfId="0" applyAlignment="1" applyBorder="1" applyFont="1" applyNumberFormat="1">
      <alignment horizontal="right" vertical="bottom"/>
    </xf>
    <xf borderId="12" fillId="5" fontId="1" numFmtId="164" xfId="0" applyAlignment="1" applyBorder="1" applyFont="1" applyNumberFormat="1">
      <alignment horizontal="left" vertical="bottom"/>
    </xf>
    <xf borderId="13" fillId="5" fontId="12" numFmtId="168" xfId="0" applyAlignment="1" applyBorder="1" applyFont="1" applyNumberFormat="1">
      <alignment horizontal="right" vertical="bottom"/>
    </xf>
    <xf borderId="1" fillId="5" fontId="6" numFmtId="0" xfId="0" applyAlignment="1" applyBorder="1" applyFont="1">
      <alignment vertical="bottom"/>
    </xf>
    <xf borderId="0" fillId="5" fontId="6" numFmtId="0" xfId="0" applyAlignment="1" applyFont="1">
      <alignment vertical="bottom"/>
    </xf>
    <xf borderId="13" fillId="5" fontId="6" numFmtId="0" xfId="0" applyAlignment="1" applyBorder="1" applyFont="1">
      <alignment vertical="bottom"/>
    </xf>
    <xf borderId="0" fillId="6" fontId="6" numFmtId="0" xfId="0" applyAlignment="1" applyFont="1">
      <alignment vertical="bottom"/>
    </xf>
    <xf borderId="0" fillId="9" fontId="13" numFmtId="0" xfId="0" applyFont="1"/>
    <xf borderId="13" fillId="9" fontId="13" numFmtId="0" xfId="0" applyBorder="1" applyFont="1"/>
    <xf borderId="1" fillId="5" fontId="12" numFmtId="165" xfId="0" applyAlignment="1" applyBorder="1" applyFont="1" applyNumberFormat="1">
      <alignment horizontal="left" vertical="bottom"/>
    </xf>
    <xf borderId="0" fillId="5" fontId="12" numFmtId="0" xfId="0" applyAlignment="1" applyFont="1">
      <alignment horizontal="left" vertical="bottom"/>
    </xf>
    <xf borderId="13" fillId="5" fontId="12" numFmtId="0" xfId="0" applyAlignment="1" applyBorder="1" applyFont="1">
      <alignment horizontal="left" vertical="bottom"/>
    </xf>
    <xf borderId="0" fillId="6" fontId="12" numFmtId="0" xfId="0" applyAlignment="1" applyFont="1">
      <alignment vertical="bottom"/>
    </xf>
    <xf borderId="1" fillId="0" fontId="5" numFmtId="0" xfId="0" applyAlignment="1" applyBorder="1" applyFont="1">
      <alignment horizontal="left" readingOrder="0"/>
    </xf>
    <xf borderId="12" fillId="5" fontId="1" numFmtId="0" xfId="0" applyAlignment="1" applyBorder="1" applyFont="1">
      <alignment horizontal="left" vertical="bottom"/>
    </xf>
    <xf borderId="14" fillId="5" fontId="6" numFmtId="164" xfId="0" applyAlignment="1" applyBorder="1" applyFont="1" applyNumberFormat="1">
      <alignment horizontal="center" vertical="bottom"/>
    </xf>
    <xf borderId="15" fillId="0" fontId="8" numFmtId="0" xfId="0" applyBorder="1" applyFont="1"/>
    <xf borderId="16" fillId="5" fontId="6" numFmtId="164" xfId="0" applyAlignment="1" applyBorder="1" applyFont="1" applyNumberFormat="1">
      <alignment horizontal="center" vertical="bottom"/>
    </xf>
    <xf borderId="17" fillId="0" fontId="8" numFmtId="0" xfId="0" applyBorder="1" applyFont="1"/>
    <xf borderId="0" fillId="6" fontId="6" numFmtId="0" xfId="0" applyAlignment="1" applyFont="1">
      <alignment horizontal="center" vertical="bottom"/>
    </xf>
    <xf borderId="0" fillId="5" fontId="14" numFmtId="164" xfId="0" applyAlignment="1" applyFont="1" applyNumberFormat="1">
      <alignment vertical="bottom"/>
    </xf>
    <xf borderId="11" fillId="5" fontId="15" numFmtId="0" xfId="0" applyAlignment="1" applyBorder="1" applyFont="1">
      <alignment readingOrder="0" vertical="bottom"/>
    </xf>
    <xf borderId="12" fillId="5" fontId="14" numFmtId="164" xfId="0" applyAlignment="1" applyBorder="1" applyFont="1" applyNumberFormat="1">
      <alignment vertical="bottom"/>
    </xf>
    <xf borderId="11" fillId="5" fontId="15" numFmtId="169" xfId="0" applyAlignment="1" applyBorder="1" applyFont="1" applyNumberFormat="1">
      <alignment vertical="bottom"/>
    </xf>
    <xf borderId="11" fillId="5" fontId="15" numFmtId="169" xfId="0" applyAlignment="1" applyBorder="1" applyFont="1" applyNumberFormat="1">
      <alignment readingOrder="0" vertical="bottom"/>
    </xf>
    <xf borderId="13" fillId="5" fontId="15" numFmtId="164" xfId="0" applyAlignment="1" applyBorder="1" applyFont="1" applyNumberFormat="1">
      <alignment vertical="bottom"/>
    </xf>
    <xf borderId="0" fillId="6" fontId="15" numFmtId="0" xfId="0" applyAlignment="1" applyFont="1">
      <alignment vertical="bottom"/>
    </xf>
    <xf borderId="18" fillId="5" fontId="14" numFmtId="164" xfId="0" applyAlignment="1" applyBorder="1" applyFont="1" applyNumberFormat="1">
      <alignment vertical="bottom"/>
    </xf>
    <xf borderId="19" fillId="5" fontId="15" numFmtId="164" xfId="0" applyAlignment="1" applyBorder="1" applyFont="1" applyNumberFormat="1">
      <alignment readingOrder="0" vertical="bottom"/>
    </xf>
    <xf borderId="20" fillId="5" fontId="14" numFmtId="164" xfId="0" applyAlignment="1" applyBorder="1" applyFont="1" applyNumberFormat="1">
      <alignment vertical="bottom"/>
    </xf>
    <xf borderId="19" fillId="5" fontId="15" numFmtId="164" xfId="0" applyAlignment="1" applyBorder="1" applyFont="1" applyNumberFormat="1">
      <alignment vertical="bottom"/>
    </xf>
    <xf borderId="21" fillId="5" fontId="15" numFmtId="164" xfId="0" applyAlignment="1" applyBorder="1" applyFont="1" applyNumberFormat="1">
      <alignment vertical="bottom"/>
    </xf>
    <xf borderId="22" fillId="8" fontId="10" numFmtId="164" xfId="0" applyAlignment="1" applyBorder="1" applyFont="1" applyNumberFormat="1">
      <alignment horizontal="center" vertical="bottom"/>
    </xf>
    <xf borderId="23" fillId="0" fontId="8" numFmtId="0" xfId="0" applyBorder="1" applyFont="1"/>
    <xf borderId="24" fillId="8" fontId="10" numFmtId="164" xfId="0" applyAlignment="1" applyBorder="1" applyFont="1" applyNumberFormat="1">
      <alignment horizontal="center" vertical="bottom"/>
    </xf>
    <xf borderId="25" fillId="0" fontId="8" numFmtId="0" xfId="0" applyBorder="1" applyFont="1"/>
    <xf borderId="0" fillId="5" fontId="12" numFmtId="0" xfId="0" applyAlignment="1" applyFont="1">
      <alignment horizontal="left" vertical="bottom"/>
    </xf>
    <xf borderId="13" fillId="5" fontId="12" numFmtId="0" xfId="0" applyAlignment="1" applyBorder="1" applyFont="1">
      <alignment horizontal="left" vertical="bottom"/>
    </xf>
    <xf borderId="0" fillId="6" fontId="12" numFmtId="0" xfId="0" applyAlignment="1" applyFont="1">
      <alignment vertical="bottom"/>
    </xf>
    <xf borderId="1" fillId="9" fontId="12" numFmtId="0" xfId="0" applyAlignment="1" applyBorder="1" applyFont="1">
      <alignment readingOrder="0" vertical="bottom"/>
    </xf>
    <xf borderId="11" fillId="9" fontId="1" numFmtId="0" xfId="0" applyAlignment="1" applyBorder="1" applyFont="1">
      <alignment readingOrder="0" vertical="bottom"/>
    </xf>
    <xf borderId="0" fillId="5" fontId="14" numFmtId="164" xfId="0" applyAlignment="1" applyFont="1" applyNumberFormat="1">
      <alignment horizontal="left" vertical="bottom"/>
    </xf>
    <xf borderId="11" fillId="5" fontId="15" numFmtId="168" xfId="0" applyAlignment="1" applyBorder="1" applyFont="1" applyNumberFormat="1">
      <alignment horizontal="right" vertical="bottom"/>
    </xf>
    <xf borderId="12" fillId="5" fontId="14" numFmtId="164" xfId="0" applyAlignment="1" applyBorder="1" applyFont="1" applyNumberFormat="1">
      <alignment horizontal="left" vertical="bottom"/>
    </xf>
    <xf borderId="13" fillId="5" fontId="15" numFmtId="168" xfId="0" applyAlignment="1" applyBorder="1" applyFont="1" applyNumberFormat="1">
      <alignment horizontal="right" vertical="bottom"/>
    </xf>
    <xf borderId="1" fillId="5" fontId="2" numFmtId="0" xfId="0" applyAlignment="1" applyBorder="1" applyFont="1">
      <alignment horizontal="left" vertical="bottom"/>
    </xf>
    <xf borderId="0" fillId="5" fontId="2" numFmtId="0" xfId="0" applyAlignment="1" applyFont="1">
      <alignment horizontal="left" vertical="bottom"/>
    </xf>
    <xf borderId="13" fillId="5" fontId="2" numFmtId="0" xfId="0" applyAlignment="1" applyBorder="1" applyFont="1">
      <alignment horizontal="left" vertical="bottom"/>
    </xf>
    <xf borderId="0" fillId="6" fontId="2" numFmtId="0" xfId="0" applyAlignment="1" applyFont="1">
      <alignment vertical="bottom"/>
    </xf>
    <xf borderId="1" fillId="9" fontId="12" numFmtId="0" xfId="0" applyAlignment="1" applyBorder="1" applyFont="1">
      <alignment vertical="bottom"/>
    </xf>
    <xf borderId="11" fillId="9" fontId="1" numFmtId="0" xfId="0" applyAlignment="1" applyBorder="1" applyFont="1">
      <alignment vertical="bottom"/>
    </xf>
    <xf borderId="12" fillId="5" fontId="14" numFmtId="0" xfId="0" applyAlignment="1" applyBorder="1" applyFont="1">
      <alignment horizontal="left" vertical="bottom"/>
    </xf>
    <xf borderId="26" fillId="9" fontId="12" numFmtId="0" xfId="0" applyAlignment="1" applyBorder="1" applyFont="1">
      <alignment vertical="bottom"/>
    </xf>
    <xf borderId="27" fillId="9" fontId="1" numFmtId="0" xfId="0" applyAlignment="1" applyBorder="1" applyFont="1">
      <alignment vertical="bottom"/>
    </xf>
    <xf borderId="28" fillId="5" fontId="14" numFmtId="164" xfId="0" applyAlignment="1" applyBorder="1" applyFont="1" applyNumberFormat="1">
      <alignment vertical="bottom"/>
    </xf>
    <xf borderId="27" fillId="5" fontId="15" numFmtId="164" xfId="0" applyAlignment="1" applyBorder="1" applyFont="1" applyNumberFormat="1">
      <alignment readingOrder="0" vertical="bottom"/>
    </xf>
    <xf borderId="29" fillId="5" fontId="14" numFmtId="164" xfId="0" applyAlignment="1" applyBorder="1" applyFont="1" applyNumberFormat="1">
      <alignment vertical="bottom"/>
    </xf>
    <xf borderId="27" fillId="5" fontId="15" numFmtId="164" xfId="0" applyAlignment="1" applyBorder="1" applyFont="1" applyNumberFormat="1">
      <alignment vertical="bottom"/>
    </xf>
    <xf borderId="30" fillId="5" fontId="15" numFmtId="164" xfId="0" applyAlignment="1" applyBorder="1" applyFont="1" applyNumberFormat="1">
      <alignment vertical="bottom"/>
    </xf>
    <xf borderId="0" fillId="6" fontId="9" numFmtId="0" xfId="0" applyAlignment="1" applyFont="1">
      <alignment horizontal="center" readingOrder="0" vertical="bottom"/>
    </xf>
    <xf borderId="31" fillId="7" fontId="5" numFmtId="0" xfId="0" applyBorder="1" applyFont="1"/>
    <xf borderId="32" fillId="0" fontId="8" numFmtId="0" xfId="0" applyBorder="1" applyFont="1"/>
    <xf borderId="33" fillId="7" fontId="9" numFmtId="0" xfId="0" applyAlignment="1" applyBorder="1" applyFont="1">
      <alignment horizontal="center" readingOrder="0" vertical="bottom"/>
    </xf>
    <xf borderId="34" fillId="0" fontId="8" numFmtId="0" xfId="0" applyBorder="1" applyFont="1"/>
    <xf borderId="35" fillId="0" fontId="8" numFmtId="0" xfId="0" applyBorder="1" applyFont="1"/>
    <xf borderId="1" fillId="5" fontId="2" numFmtId="0" xfId="0" applyAlignment="1" applyBorder="1" applyFont="1">
      <alignment horizontal="left" vertical="bottom"/>
    </xf>
    <xf borderId="0" fillId="5" fontId="2" numFmtId="0" xfId="0" applyAlignment="1" applyFont="1">
      <alignment horizontal="left" vertical="bottom"/>
    </xf>
    <xf borderId="0" fillId="6" fontId="2" numFmtId="0" xfId="0" applyAlignment="1" applyFont="1">
      <alignment vertical="bottom"/>
    </xf>
    <xf borderId="13" fillId="5" fontId="2" numFmtId="0" xfId="0" applyAlignment="1" applyBorder="1" applyFont="1">
      <alignment horizontal="left" vertical="bottom"/>
    </xf>
    <xf borderId="36" fillId="8" fontId="10" numFmtId="164" xfId="0" applyAlignment="1" applyBorder="1" applyFont="1" applyNumberFormat="1">
      <alignment horizontal="center" vertical="bottom"/>
    </xf>
    <xf borderId="37" fillId="0" fontId="8" numFmtId="0" xfId="0" applyBorder="1" applyFont="1"/>
    <xf borderId="38" fillId="0" fontId="8" numFmtId="0" xfId="0" applyBorder="1" applyFont="1"/>
    <xf borderId="39" fillId="8" fontId="10" numFmtId="164" xfId="0" applyAlignment="1" applyBorder="1" applyFont="1" applyNumberFormat="1">
      <alignment horizontal="center" vertical="bottom"/>
    </xf>
    <xf borderId="40" fillId="8" fontId="16" numFmtId="168" xfId="0" applyBorder="1" applyFont="1" applyNumberFormat="1"/>
    <xf borderId="41" fillId="8" fontId="10" numFmtId="164" xfId="0" applyAlignment="1" applyBorder="1" applyFont="1" applyNumberFormat="1">
      <alignment horizontal="center" vertical="bottom"/>
    </xf>
    <xf borderId="42" fillId="8" fontId="10" numFmtId="16" xfId="0" applyAlignment="1" applyBorder="1" applyFont="1" applyNumberFormat="1">
      <alignment horizontal="center" vertical="bottom"/>
    </xf>
    <xf borderId="36" fillId="8" fontId="10" numFmtId="164" xfId="0" applyAlignment="1" applyBorder="1" applyFont="1" applyNumberFormat="1">
      <alignment horizontal="center" readingOrder="0" vertical="bottom"/>
    </xf>
    <xf borderId="1" fillId="9" fontId="2" numFmtId="0" xfId="0" applyAlignment="1" applyBorder="1" applyFont="1">
      <alignment horizontal="left" vertical="bottom"/>
    </xf>
    <xf borderId="0" fillId="9" fontId="2" numFmtId="0" xfId="0" applyAlignment="1" applyFont="1">
      <alignment horizontal="left" vertical="bottom"/>
    </xf>
    <xf borderId="34" fillId="6" fontId="10" numFmtId="164" xfId="0" applyAlignment="1" applyBorder="1" applyFont="1" applyNumberFormat="1">
      <alignment horizontal="center" vertical="bottom"/>
    </xf>
    <xf borderId="34" fillId="8" fontId="10" numFmtId="164" xfId="0" applyAlignment="1" applyBorder="1" applyFont="1" applyNumberFormat="1">
      <alignment horizontal="center" vertical="bottom"/>
    </xf>
    <xf borderId="43" fillId="0" fontId="8" numFmtId="0" xfId="0" applyBorder="1" applyFont="1"/>
    <xf borderId="0" fillId="6" fontId="5" numFmtId="0" xfId="0" applyAlignment="1" applyFont="1">
      <alignment horizontal="left" readingOrder="0"/>
    </xf>
    <xf borderId="44" fillId="5" fontId="14" numFmtId="164" xfId="0" applyAlignment="1" applyBorder="1" applyFont="1" applyNumberFormat="1">
      <alignment horizontal="left" vertical="bottom"/>
    </xf>
    <xf borderId="45" fillId="5" fontId="15" numFmtId="168" xfId="0" applyAlignment="1" applyBorder="1" applyFont="1" applyNumberFormat="1">
      <alignment horizontal="right" vertical="bottom"/>
    </xf>
    <xf borderId="11" fillId="5" fontId="15" numFmtId="168" xfId="0" applyAlignment="1" applyBorder="1" applyFont="1" applyNumberFormat="1">
      <alignment readingOrder="0"/>
    </xf>
    <xf borderId="0" fillId="5" fontId="17" numFmtId="0" xfId="0" applyAlignment="1" applyFont="1">
      <alignment readingOrder="0"/>
    </xf>
    <xf borderId="45" fillId="5" fontId="15" numFmtId="168" xfId="0" applyAlignment="1" applyBorder="1" applyFont="1" applyNumberFormat="1">
      <alignment readingOrder="0"/>
    </xf>
    <xf borderId="46" fillId="5" fontId="15" numFmtId="164" xfId="0" applyAlignment="1" applyBorder="1" applyFont="1" applyNumberFormat="1">
      <alignment horizontal="center" vertical="bottom"/>
    </xf>
    <xf borderId="47" fillId="5" fontId="15" numFmtId="168" xfId="0" applyAlignment="1" applyBorder="1" applyFont="1" applyNumberFormat="1">
      <alignment horizontal="center" vertical="bottom"/>
    </xf>
    <xf borderId="44" fillId="5" fontId="14" numFmtId="164" xfId="0" applyAlignment="1" applyBorder="1" applyFont="1" applyNumberFormat="1">
      <alignment horizontal="left" readingOrder="0" vertical="bottom"/>
    </xf>
    <xf borderId="45" fillId="5" fontId="15" numFmtId="168" xfId="0" applyAlignment="1" applyBorder="1" applyFont="1" applyNumberFormat="1">
      <alignment horizontal="left" vertical="bottom"/>
    </xf>
    <xf borderId="1" fillId="10" fontId="2" numFmtId="0" xfId="0" applyAlignment="1" applyBorder="1" applyFill="1" applyFont="1">
      <alignment horizontal="left" vertical="bottom"/>
    </xf>
    <xf borderId="0" fillId="10" fontId="2" numFmtId="0" xfId="0" applyAlignment="1" applyFont="1">
      <alignment horizontal="left" vertical="bottom"/>
    </xf>
    <xf borderId="0" fillId="6" fontId="12" numFmtId="164" xfId="0" applyAlignment="1" applyFont="1" applyNumberFormat="1">
      <alignment horizontal="left" vertical="bottom"/>
    </xf>
    <xf borderId="46" fillId="5" fontId="15" numFmtId="164" xfId="0" applyAlignment="1" applyBorder="1" applyFont="1" applyNumberFormat="1">
      <alignment vertical="bottom"/>
    </xf>
    <xf borderId="47" fillId="5" fontId="15" numFmtId="16" xfId="0" applyAlignment="1" applyBorder="1" applyFont="1" applyNumberFormat="1">
      <alignment vertical="bottom"/>
    </xf>
    <xf borderId="44" fillId="5" fontId="14" numFmtId="0" xfId="0" applyAlignment="1" applyBorder="1" applyFont="1">
      <alignment horizontal="left" vertical="bottom"/>
    </xf>
    <xf borderId="23" fillId="5" fontId="15" numFmtId="168" xfId="0" applyAlignment="1" applyBorder="1" applyFont="1" applyNumberFormat="1">
      <alignment horizontal="right" vertical="bottom"/>
    </xf>
    <xf borderId="24" fillId="5" fontId="14" numFmtId="164" xfId="0" applyAlignment="1" applyBorder="1" applyFont="1" applyNumberFormat="1">
      <alignment horizontal="left" readingOrder="0" vertical="bottom"/>
    </xf>
    <xf borderId="48" fillId="5" fontId="15" numFmtId="168" xfId="0" applyAlignment="1" applyBorder="1" applyFont="1" applyNumberFormat="1">
      <alignment horizontal="right" vertical="bottom"/>
    </xf>
    <xf borderId="49" fillId="8" fontId="10" numFmtId="164" xfId="0" applyAlignment="1" applyBorder="1" applyFont="1" applyNumberFormat="1">
      <alignment horizontal="center" readingOrder="0" vertical="center"/>
    </xf>
    <xf borderId="50" fillId="0" fontId="8" numFmtId="0" xfId="0" applyBorder="1" applyFont="1"/>
    <xf borderId="0" fillId="6" fontId="1" numFmtId="168" xfId="0" applyAlignment="1" applyFont="1" applyNumberFormat="1">
      <alignment horizontal="center" readingOrder="0" vertical="center"/>
    </xf>
    <xf borderId="51" fillId="5" fontId="6" numFmtId="164" xfId="0" applyAlignment="1" applyBorder="1" applyFont="1" applyNumberFormat="1">
      <alignment horizontal="center" vertical="bottom"/>
    </xf>
    <xf borderId="52" fillId="0" fontId="8" numFmtId="0" xfId="0" applyBorder="1" applyFont="1"/>
    <xf borderId="12" fillId="5" fontId="14" numFmtId="164" xfId="0" applyAlignment="1" applyBorder="1" applyFont="1" applyNumberFormat="1">
      <alignment horizontal="center" readingOrder="0" vertical="bottom"/>
    </xf>
    <xf borderId="45" fillId="0" fontId="8" numFmtId="0" xfId="0" applyBorder="1" applyFont="1"/>
    <xf borderId="18" fillId="9" fontId="18" numFmtId="164" xfId="0" applyAlignment="1" applyBorder="1" applyFont="1" applyNumberFormat="1">
      <alignment horizontal="center"/>
    </xf>
    <xf borderId="53" fillId="0" fontId="8" numFmtId="0" xfId="0" applyBorder="1" applyFont="1"/>
    <xf borderId="0" fillId="6" fontId="1" numFmtId="168" xfId="0" applyAlignment="1" applyFont="1" applyNumberFormat="1">
      <alignment horizontal="center" vertical="center"/>
    </xf>
    <xf borderId="44" fillId="5" fontId="14" numFmtId="164" xfId="0" applyAlignment="1" applyBorder="1" applyFont="1" applyNumberFormat="1">
      <alignment vertical="bottom"/>
    </xf>
    <xf borderId="45" fillId="5" fontId="15" numFmtId="164" xfId="0" applyAlignment="1" applyBorder="1" applyFont="1" applyNumberFormat="1">
      <alignment vertical="bottom"/>
    </xf>
    <xf borderId="45" fillId="5" fontId="15" numFmtId="168" xfId="0" applyAlignment="1" applyBorder="1" applyFont="1" applyNumberFormat="1">
      <alignment horizontal="right" vertical="bottom"/>
    </xf>
    <xf borderId="44" fillId="8" fontId="10" numFmtId="164" xfId="0" applyAlignment="1" applyBorder="1" applyFont="1" applyNumberFormat="1">
      <alignment horizontal="center" readingOrder="0" vertical="bottom"/>
    </xf>
    <xf borderId="54" fillId="5" fontId="14" numFmtId="164" xfId="0" applyAlignment="1" applyBorder="1" applyFont="1" applyNumberFormat="1">
      <alignment vertical="bottom"/>
    </xf>
    <xf borderId="53" fillId="5" fontId="15" numFmtId="164" xfId="0" applyAlignment="1" applyBorder="1" applyFont="1" applyNumberFormat="1">
      <alignment vertical="bottom"/>
    </xf>
    <xf borderId="20" fillId="5" fontId="14" numFmtId="164" xfId="0" applyAlignment="1" applyBorder="1" applyFont="1" applyNumberFormat="1">
      <alignment horizontal="left" readingOrder="0" vertical="bottom"/>
    </xf>
    <xf borderId="53" fillId="5" fontId="15" numFmtId="168" xfId="0" applyAlignment="1" applyBorder="1" applyFont="1" applyNumberFormat="1">
      <alignment horizontal="right" vertical="bottom"/>
    </xf>
    <xf borderId="54" fillId="5" fontId="14" numFmtId="164" xfId="0" applyAlignment="1" applyBorder="1" applyFont="1" applyNumberFormat="1">
      <alignment horizontal="left" vertical="bottom"/>
    </xf>
    <xf borderId="53" fillId="5" fontId="15" numFmtId="168" xfId="0" applyAlignment="1" applyBorder="1" applyFont="1" applyNumberFormat="1">
      <alignment horizontal="left" vertical="bottom"/>
    </xf>
    <xf borderId="0" fillId="6" fontId="1" numFmtId="164" xfId="0" applyAlignment="1" applyFont="1" applyNumberFormat="1">
      <alignment readingOrder="0" vertical="bottom"/>
    </xf>
    <xf borderId="0" fillId="6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center" vertical="bottom"/>
    </xf>
    <xf borderId="0" fillId="6" fontId="1" numFmtId="0" xfId="0" applyAlignment="1" applyFont="1">
      <alignment horizontal="center" vertical="bottom"/>
    </xf>
    <xf borderId="0" fillId="6" fontId="19" numFmtId="164" xfId="0" applyAlignment="1" applyFont="1" applyNumberFormat="1">
      <alignment horizontal="center" readingOrder="0" vertical="bottom"/>
    </xf>
    <xf borderId="31" fillId="7" fontId="19" numFmtId="164" xfId="0" applyAlignment="1" applyBorder="1" applyFont="1" applyNumberFormat="1">
      <alignment horizontal="center" readingOrder="0" vertical="bottom"/>
    </xf>
    <xf borderId="55" fillId="0" fontId="8" numFmtId="0" xfId="0" applyBorder="1" applyFont="1"/>
    <xf borderId="0" fillId="6" fontId="1" numFmtId="0" xfId="0" applyAlignment="1" applyFont="1">
      <alignment readingOrder="0"/>
    </xf>
    <xf borderId="44" fillId="8" fontId="1" numFmtId="0" xfId="0" applyAlignment="1" applyBorder="1" applyFont="1">
      <alignment readingOrder="0"/>
    </xf>
    <xf borderId="0" fillId="8" fontId="1" numFmtId="164" xfId="0" applyAlignment="1" applyFont="1" applyNumberFormat="1">
      <alignment horizontal="center" readingOrder="0" vertical="bottom"/>
    </xf>
    <xf borderId="0" fillId="8" fontId="1" numFmtId="164" xfId="0" applyAlignment="1" applyFont="1" applyNumberFormat="1">
      <alignment horizontal="center" vertical="bottom"/>
    </xf>
    <xf borderId="0" fillId="8" fontId="5" numFmtId="0" xfId="0" applyFont="1"/>
    <xf borderId="0" fillId="8" fontId="20" numFmtId="0" xfId="0" applyAlignment="1" applyFont="1">
      <alignment horizontal="center" readingOrder="0"/>
    </xf>
    <xf borderId="45" fillId="8" fontId="1" numFmtId="164" xfId="0" applyAlignment="1" applyBorder="1" applyFont="1" applyNumberFormat="1">
      <alignment horizontal="center" readingOrder="0" vertical="bottom"/>
    </xf>
    <xf borderId="0" fillId="6" fontId="4" numFmtId="0" xfId="0" applyAlignment="1" applyFont="1">
      <alignment horizontal="left" readingOrder="0" shrinkToFit="0" wrapText="1"/>
    </xf>
    <xf borderId="2" fillId="0" fontId="4" numFmtId="164" xfId="0" applyAlignment="1" applyBorder="1" applyFont="1" applyNumberFormat="1">
      <alignment horizontal="left" readingOrder="0" shrinkToFit="0" wrapText="1"/>
    </xf>
    <xf borderId="2" fillId="0" fontId="4" numFmtId="4" xfId="0" applyAlignment="1" applyBorder="1" applyFont="1" applyNumberFormat="1">
      <alignment horizontal="left" readingOrder="0" shrinkToFit="0" wrapText="1"/>
    </xf>
    <xf borderId="2" fillId="0" fontId="4" numFmtId="164" xfId="0" applyAlignment="1" applyBorder="1" applyFont="1" applyNumberFormat="1">
      <alignment horizontal="left" shrinkToFit="0" wrapText="1"/>
    </xf>
    <xf borderId="0" fillId="10" fontId="21" numFmtId="164" xfId="0" applyAlignment="1" applyFont="1" applyNumberFormat="1">
      <alignment horizontal="left" shrinkToFit="0" wrapText="0"/>
    </xf>
    <xf borderId="0" fillId="10" fontId="12" numFmtId="164" xfId="0" applyAlignment="1" applyFont="1" applyNumberFormat="1">
      <alignment readingOrder="0" vertical="bottom"/>
    </xf>
    <xf borderId="45" fillId="9" fontId="22" numFmtId="0" xfId="0" applyAlignment="1" applyBorder="1" applyFont="1">
      <alignment horizontal="center"/>
    </xf>
    <xf borderId="0" fillId="6" fontId="23" numFmtId="0" xfId="0" applyFont="1"/>
    <xf borderId="0" fillId="0" fontId="21" numFmtId="164" xfId="0" applyAlignment="1" applyFont="1" applyNumberFormat="1">
      <alignment horizontal="left" shrinkToFit="0" wrapText="0"/>
    </xf>
    <xf borderId="0" fillId="0" fontId="12" numFmtId="164" xfId="0" applyAlignment="1" applyFont="1" applyNumberFormat="1">
      <alignment readingOrder="0" vertical="bottom"/>
    </xf>
    <xf borderId="2" fillId="5" fontId="4" numFmtId="164" xfId="0" applyAlignment="1" applyBorder="1" applyFont="1" applyNumberFormat="1">
      <alignment horizontal="left" shrinkToFit="0" wrapText="1"/>
    </xf>
    <xf borderId="0" fillId="0" fontId="12" numFmtId="164" xfId="0" applyAlignment="1" applyFont="1" applyNumberFormat="1">
      <alignment vertical="bottom"/>
    </xf>
    <xf borderId="0" fillId="0" fontId="12" numFmtId="164" xfId="0" applyFont="1" applyNumberFormat="1"/>
    <xf borderId="0" fillId="0" fontId="5" numFmtId="0" xfId="0" applyFont="1"/>
    <xf borderId="0" fillId="0" fontId="2" numFmtId="14" xfId="0" applyAlignment="1" applyFont="1" applyNumberFormat="1">
      <alignment vertical="bottom"/>
    </xf>
    <xf borderId="56" fillId="8" fontId="10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left" readingOrder="0" vertical="bottom"/>
    </xf>
    <xf borderId="0" fillId="5" fontId="2" numFmtId="14" xfId="0" applyAlignment="1" applyFont="1" applyNumberFormat="1">
      <alignment horizontal="left" readingOrder="0" vertical="bottom"/>
    </xf>
    <xf borderId="0" fillId="5" fontId="2" numFmtId="0" xfId="0" applyAlignment="1" applyFont="1">
      <alignment horizontal="left" readingOrder="0" vertical="bottom"/>
    </xf>
    <xf borderId="0" fillId="5" fontId="2" numFmtId="0" xfId="0" applyAlignment="1" applyFont="1">
      <alignment horizontal="left" readingOrder="0" vertical="bottom"/>
    </xf>
    <xf borderId="2" fillId="9" fontId="4" numFmtId="164" xfId="0" applyAlignment="1" applyBorder="1" applyFont="1" applyNumberFormat="1">
      <alignment horizontal="left" shrinkToFit="0" wrapText="1"/>
    </xf>
    <xf borderId="0" fillId="0" fontId="5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1" fillId="0" fontId="5" numFmtId="0" xfId="0" applyBorder="1" applyFont="1"/>
    <xf borderId="0" fillId="0" fontId="5" numFmtId="0" xfId="0" applyFont="1"/>
    <xf borderId="13" fillId="0" fontId="5" numFmtId="0" xfId="0" applyBorder="1" applyFont="1"/>
    <xf borderId="26" fillId="0" fontId="5" numFmtId="0" xfId="0" applyBorder="1" applyFont="1"/>
    <xf borderId="28" fillId="0" fontId="5" numFmtId="0" xfId="0" applyBorder="1" applyFont="1"/>
    <xf borderId="28" fillId="6" fontId="2" numFmtId="0" xfId="0" applyAlignment="1" applyBorder="1" applyFont="1">
      <alignment vertical="bottom"/>
    </xf>
    <xf borderId="30" fillId="0" fontId="5" numFmtId="0" xfId="0" applyBorder="1" applyFont="1"/>
    <xf borderId="0" fillId="10" fontId="5" numFmtId="0" xfId="0" applyFont="1"/>
    <xf borderId="16" fillId="7" fontId="24" numFmtId="0" xfId="0" applyAlignment="1" applyBorder="1" applyFont="1">
      <alignment horizontal="center" vertical="bottom"/>
    </xf>
    <xf borderId="14" fillId="0" fontId="8" numFmtId="0" xfId="0" applyBorder="1" applyFont="1"/>
    <xf borderId="12" fillId="0" fontId="8" numFmtId="0" xfId="0" applyBorder="1" applyFont="1"/>
    <xf borderId="11" fillId="0" fontId="8" numFmtId="0" xfId="0" applyBorder="1" applyFont="1"/>
    <xf borderId="12" fillId="8" fontId="25" numFmtId="0" xfId="0" applyAlignment="1" applyBorder="1" applyFont="1">
      <alignment vertical="bottom"/>
    </xf>
    <xf borderId="0" fillId="8" fontId="25" numFmtId="0" xfId="0" applyAlignment="1" applyFont="1">
      <alignment vertical="bottom"/>
    </xf>
    <xf borderId="0" fillId="8" fontId="25" numFmtId="0" xfId="0" applyAlignment="1" applyFont="1">
      <alignment horizontal="center" vertical="bottom"/>
    </xf>
    <xf borderId="12" fillId="5" fontId="2" numFmtId="0" xfId="0" applyAlignment="1" applyBorder="1" applyFont="1">
      <alignment horizontal="left" readingOrder="0" vertical="bottom"/>
    </xf>
    <xf borderId="0" fillId="11" fontId="2" numFmtId="0" xfId="0" applyAlignment="1" applyFill="1" applyFont="1">
      <alignment horizontal="center" vertical="bottom"/>
    </xf>
    <xf borderId="11" fillId="11" fontId="2" numFmtId="0" xfId="0" applyAlignment="1" applyBorder="1" applyFont="1">
      <alignment vertical="bottom"/>
    </xf>
    <xf borderId="0" fillId="9" fontId="2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9" fontId="2" numFmtId="0" xfId="0" applyAlignment="1" applyFont="1">
      <alignment horizontal="center" vertical="bottom"/>
    </xf>
    <xf borderId="12" fillId="9" fontId="2" numFmtId="0" xfId="0" applyAlignment="1" applyBorder="1" applyFont="1">
      <alignment horizontal="center" readingOrder="0" vertical="bottom"/>
    </xf>
    <xf borderId="0" fillId="9" fontId="2" numFmtId="14" xfId="0" applyAlignment="1" applyFont="1" applyNumberFormat="1">
      <alignment horizontal="center" readingOrder="0" vertical="bottom"/>
    </xf>
    <xf borderId="0" fillId="9" fontId="2" numFmtId="0" xfId="0" applyAlignment="1" applyFont="1">
      <alignment horizontal="center" readingOrder="0" vertical="bottom"/>
    </xf>
    <xf borderId="0" fillId="9" fontId="2" numFmtId="168" xfId="0" applyAlignment="1" applyFont="1" applyNumberFormat="1">
      <alignment horizontal="center" readingOrder="0" vertical="bottom"/>
    </xf>
    <xf borderId="12" fillId="11" fontId="2" numFmtId="0" xfId="0" applyAlignment="1" applyBorder="1" applyFont="1">
      <alignment horizontal="center" vertical="bottom"/>
    </xf>
    <xf borderId="0" fillId="11" fontId="2" numFmtId="14" xfId="0" applyAlignment="1" applyFont="1" applyNumberFormat="1">
      <alignment horizontal="center" vertical="bottom"/>
    </xf>
    <xf borderId="0" fillId="11" fontId="2" numFmtId="168" xfId="0" applyAlignment="1" applyFont="1" applyNumberFormat="1">
      <alignment horizontal="center" vertical="bottom"/>
    </xf>
    <xf borderId="12" fillId="9" fontId="2" numFmtId="0" xfId="0" applyAlignment="1" applyBorder="1" applyFont="1">
      <alignment horizontal="center" vertical="bottom"/>
    </xf>
    <xf borderId="0" fillId="9" fontId="2" numFmtId="14" xfId="0" applyAlignment="1" applyFont="1" applyNumberFormat="1">
      <alignment horizontal="center" vertical="bottom"/>
    </xf>
    <xf borderId="0" fillId="9" fontId="2" numFmtId="168" xfId="0" applyAlignment="1" applyFont="1" applyNumberFormat="1">
      <alignment horizontal="center" vertical="bottom"/>
    </xf>
    <xf borderId="11" fillId="9" fontId="2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12" fillId="5" fontId="2" numFmtId="0" xfId="0" applyAlignment="1" applyBorder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5" fontId="2" numFmtId="168" xfId="0" applyAlignment="1" applyFont="1" applyNumberFormat="1">
      <alignment horizontal="center" vertical="bottom"/>
    </xf>
    <xf borderId="0" fillId="5" fontId="12" numFmtId="165" xfId="0" applyAlignment="1" applyFont="1" applyNumberFormat="1">
      <alignment horizontal="left" vertical="bottom"/>
    </xf>
    <xf borderId="24" fillId="5" fontId="2" numFmtId="0" xfId="0" applyAlignment="1" applyBorder="1" applyFont="1">
      <alignment horizontal="center" vertical="bottom"/>
    </xf>
    <xf borderId="22" fillId="5" fontId="2" numFmtId="0" xfId="0" applyAlignment="1" applyBorder="1" applyFont="1">
      <alignment horizontal="center" vertical="bottom"/>
    </xf>
    <xf borderId="22" fillId="5" fontId="2" numFmtId="168" xfId="0" applyAlignment="1" applyBorder="1" applyFont="1" applyNumberFormat="1">
      <alignment horizontal="center" vertical="bottom"/>
    </xf>
    <xf borderId="23" fillId="9" fontId="2" numFmtId="0" xfId="0" applyAlignment="1" applyBorder="1" applyFont="1">
      <alignment vertical="bottom"/>
    </xf>
    <xf borderId="2" fillId="0" fontId="4" numFmtId="167" xfId="0" applyAlignment="1" applyBorder="1" applyFont="1" applyNumberFormat="1">
      <alignment horizontal="left" readingOrder="0" shrinkToFit="0" wrapText="1"/>
    </xf>
    <xf borderId="44" fillId="0" fontId="4" numFmtId="0" xfId="0" applyAlignment="1" applyBorder="1" applyFont="1">
      <alignment horizontal="left" readingOrder="0" shrinkToFit="0" wrapText="1"/>
    </xf>
    <xf borderId="0" fillId="0" fontId="4" numFmtId="165" xfId="0" applyAlignment="1" applyFont="1" applyNumberFormat="1">
      <alignment horizontal="left" readingOrder="0" shrinkToFit="0" wrapText="1"/>
    </xf>
    <xf borderId="0" fillId="0" fontId="4" numFmtId="164" xfId="0" applyAlignment="1" applyFont="1" applyNumberFormat="1">
      <alignment horizontal="left" readingOrder="0" shrinkToFit="0" wrapText="1"/>
    </xf>
    <xf borderId="0" fillId="0" fontId="4" numFmtId="4" xfId="0" applyAlignment="1" applyFont="1" applyNumberFormat="1">
      <alignment horizontal="left" readingOrder="0" shrinkToFit="0" wrapText="1"/>
    </xf>
    <xf borderId="0" fillId="0" fontId="4" numFmtId="164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1"/>
    </xf>
    <xf borderId="0" fillId="5" fontId="4" numFmtId="164" xfId="0" applyAlignment="1" applyFont="1" applyNumberFormat="1">
      <alignment horizontal="left" shrinkToFit="0" wrapText="1"/>
    </xf>
    <xf borderId="0" fillId="0" fontId="5" numFmtId="0" xfId="0" applyAlignment="1" applyFont="1">
      <alignment shrinkToFit="0" wrapText="0"/>
    </xf>
    <xf borderId="44" fillId="0" fontId="5" numFmtId="0" xfId="0" applyBorder="1" applyFont="1"/>
    <xf borderId="0" fillId="9" fontId="12" numFmtId="170" xfId="0" applyAlignment="1" applyFont="1" applyNumberFormat="1">
      <alignment horizontal="center"/>
    </xf>
    <xf borderId="44" fillId="9" fontId="5" numFmtId="0" xfId="0" applyBorder="1" applyFont="1"/>
    <xf borderId="0" fillId="0" fontId="26" numFmtId="4" xfId="0" applyFont="1" applyNumberFormat="1"/>
    <xf borderId="0" fillId="0" fontId="12" numFmtId="164" xfId="0" applyAlignment="1" applyFont="1" applyNumberFormat="1">
      <alignment shrinkToFit="0" wrapText="0"/>
    </xf>
    <xf borderId="0" fillId="0" fontId="5" numFmtId="169" xfId="0" applyAlignment="1" applyFont="1" applyNumberFormat="1">
      <alignment readingOrder="0"/>
    </xf>
    <xf borderId="54" fillId="9" fontId="5" numFmtId="0" xfId="0" applyBorder="1" applyFont="1"/>
    <xf borderId="18" fillId="9" fontId="12" numFmtId="170" xfId="0" applyAlignment="1" applyBorder="1" applyFont="1" applyNumberFormat="1">
      <alignment horizontal="center"/>
    </xf>
    <xf borderId="18" fillId="0" fontId="12" numFmtId="164" xfId="0" applyBorder="1" applyFont="1" applyNumberFormat="1"/>
    <xf borderId="18" fillId="0" fontId="26" numFmtId="4" xfId="0" applyBorder="1" applyFont="1" applyNumberFormat="1"/>
    <xf borderId="18" fillId="0" fontId="12" numFmtId="164" xfId="0" applyAlignment="1" applyBorder="1" applyFont="1" applyNumberFormat="1">
      <alignment shrinkToFit="0" wrapText="0"/>
    </xf>
    <xf borderId="18" fillId="0" fontId="12" numFmtId="164" xfId="0" applyAlignment="1" applyBorder="1" applyFont="1" applyNumberFormat="1">
      <alignment vertical="bottom"/>
    </xf>
    <xf borderId="39" fillId="8" fontId="10" numFmtId="164" xfId="0" applyAlignment="1" applyBorder="1" applyFont="1" applyNumberFormat="1">
      <alignment horizontal="center" readingOrder="0" vertical="bottom"/>
    </xf>
    <xf borderId="0" fillId="5" fontId="2" numFmtId="165" xfId="0" applyAlignment="1" applyFont="1" applyNumberFormat="1">
      <alignment horizontal="left" vertical="bottom"/>
    </xf>
    <xf borderId="57" fillId="8" fontId="1" numFmtId="164" xfId="0" applyAlignment="1" applyBorder="1" applyFont="1" applyNumberFormat="1">
      <alignment horizontal="center" readingOrder="0" vertical="bottom"/>
    </xf>
    <xf borderId="0" fillId="8" fontId="1" numFmtId="0" xfId="0" applyAlignment="1" applyFont="1">
      <alignment horizontal="center" vertical="bottom"/>
    </xf>
    <xf borderId="57" fillId="9" fontId="22" numFmtId="0" xfId="0" applyAlignment="1" applyBorder="1" applyFont="1">
      <alignment horizontal="center"/>
    </xf>
    <xf borderId="0" fillId="12" fontId="3" numFmtId="0" xfId="0" applyAlignment="1" applyFill="1" applyFont="1">
      <alignment vertical="bottom"/>
    </xf>
    <xf borderId="0" fillId="9" fontId="3" numFmtId="0" xfId="0" applyAlignment="1" applyFont="1">
      <alignment vertical="bottom"/>
    </xf>
    <xf borderId="0" fillId="13" fontId="3" numFmtId="0" xfId="0" applyAlignment="1" applyFill="1" applyFont="1">
      <alignment vertical="bottom"/>
    </xf>
    <xf borderId="0" fillId="11" fontId="3" numFmtId="0" xfId="0" applyAlignment="1" applyFont="1">
      <alignment vertical="bottom"/>
    </xf>
    <xf borderId="0" fillId="6" fontId="2" numFmtId="0" xfId="0" applyAlignment="1" applyFont="1">
      <alignment horizontal="left" vertical="bottom"/>
    </xf>
    <xf borderId="0" fillId="2" fontId="3" numFmtId="0" xfId="0" applyAlignment="1" applyFont="1">
      <alignment vertical="bottom"/>
    </xf>
    <xf borderId="43" fillId="6" fontId="10" numFmtId="164" xfId="0" applyAlignment="1" applyBorder="1" applyFont="1" applyNumberFormat="1">
      <alignment horizontal="center" vertical="bottom"/>
    </xf>
    <xf borderId="0" fillId="6" fontId="13" numFmtId="0" xfId="0" applyFont="1"/>
    <xf borderId="13" fillId="6" fontId="13" numFmtId="0" xfId="0" applyBorder="1" applyFont="1"/>
    <xf borderId="0" fillId="6" fontId="12" numFmtId="0" xfId="0" applyAlignment="1" applyFont="1">
      <alignment horizontal="left" vertical="bottom"/>
    </xf>
    <xf borderId="13" fillId="6" fontId="12" numFmtId="0" xfId="0" applyAlignment="1" applyBorder="1" applyFont="1">
      <alignment horizontal="left" vertical="bottom"/>
    </xf>
    <xf borderId="0" fillId="6" fontId="12" numFmtId="0" xfId="0" applyAlignment="1" applyFont="1">
      <alignment horizontal="left" vertical="bottom"/>
    </xf>
    <xf borderId="13" fillId="6" fontId="12" numFmtId="0" xfId="0" applyAlignment="1" applyBorder="1" applyFont="1">
      <alignment horizontal="left" vertical="bottom"/>
    </xf>
    <xf borderId="0" fillId="6" fontId="2" numFmtId="0" xfId="0" applyAlignment="1" applyFont="1">
      <alignment horizontal="left" vertical="bottom"/>
    </xf>
    <xf borderId="13" fillId="6" fontId="2" numFmtId="0" xfId="0" applyAlignment="1" applyBorder="1" applyFont="1">
      <alignment horizontal="left" vertical="bottom"/>
    </xf>
    <xf borderId="13" fillId="6" fontId="2" numFmtId="0" xfId="0" applyAlignment="1" applyBorder="1" applyFont="1">
      <alignment horizontal="left" vertical="bottom"/>
    </xf>
    <xf borderId="13" fillId="6" fontId="5" numFmtId="0" xfId="0" applyBorder="1" applyFont="1"/>
    <xf borderId="0" fillId="11" fontId="2" numFmtId="0" xfId="0" applyAlignment="1" applyFont="1">
      <alignment vertical="bottom"/>
    </xf>
    <xf borderId="0" fillId="7" fontId="27" numFmtId="168" xfId="0" applyAlignment="1" applyFont="1" applyNumberFormat="1">
      <alignment horizontal="center" vertical="bottom"/>
    </xf>
    <xf borderId="0" fillId="8" fontId="28" numFmtId="0" xfId="0" applyAlignment="1" applyFont="1">
      <alignment horizontal="center" vertical="bottom"/>
    </xf>
    <xf borderId="0" fillId="8" fontId="28" numFmtId="168" xfId="0" applyAlignment="1" applyFont="1" applyNumberFormat="1">
      <alignment horizontal="center" vertical="bottom"/>
    </xf>
    <xf borderId="0" fillId="8" fontId="29" numFmtId="0" xfId="0" applyAlignment="1" applyFont="1">
      <alignment horizontal="center" vertical="bottom"/>
    </xf>
    <xf borderId="0" fillId="11" fontId="3" numFmtId="0" xfId="0" applyAlignment="1" applyFont="1">
      <alignment horizontal="center" vertical="bottom"/>
    </xf>
    <xf borderId="0" fillId="11" fontId="3" numFmtId="165" xfId="0" applyAlignment="1" applyFont="1" applyNumberFormat="1">
      <alignment horizontal="right" vertical="bottom"/>
    </xf>
    <xf borderId="0" fillId="11" fontId="3" numFmtId="168" xfId="0" applyAlignment="1" applyFont="1" applyNumberFormat="1">
      <alignment horizontal="center" vertical="bottom"/>
    </xf>
    <xf borderId="0" fillId="11" fontId="3" numFmtId="0" xfId="0" applyAlignment="1" applyFont="1">
      <alignment horizontal="center" vertical="bottom"/>
    </xf>
    <xf borderId="0" fillId="9" fontId="3" numFmtId="0" xfId="0" applyAlignment="1" applyFont="1">
      <alignment horizontal="center" vertical="bottom"/>
    </xf>
    <xf borderId="0" fillId="9" fontId="3" numFmtId="165" xfId="0" applyAlignment="1" applyFont="1" applyNumberFormat="1">
      <alignment horizontal="right" vertical="bottom"/>
    </xf>
    <xf borderId="0" fillId="9" fontId="3" numFmtId="168" xfId="0" applyAlignment="1" applyFont="1" applyNumberFormat="1">
      <alignment horizontal="center" vertical="bottom"/>
    </xf>
    <xf borderId="0" fillId="9" fontId="3" numFmtId="0" xfId="0" applyAlignment="1" applyFont="1">
      <alignment horizontal="center" vertical="bottom"/>
    </xf>
    <xf borderId="0" fillId="9" fontId="2" numFmtId="0" xfId="0" applyAlignment="1" applyFont="1">
      <alignment horizontal="center" vertical="bottom"/>
    </xf>
    <xf borderId="0" fillId="9" fontId="2" numFmtId="165" xfId="0" applyAlignment="1" applyFont="1" applyNumberFormat="1">
      <alignment horizontal="right" vertical="bottom"/>
    </xf>
    <xf borderId="0" fillId="9" fontId="2" numFmtId="168" xfId="0" applyAlignment="1" applyFont="1" applyNumberFormat="1">
      <alignment horizontal="center" vertical="bottom"/>
    </xf>
    <xf borderId="0" fillId="9" fontId="2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11" fontId="2" numFmtId="165" xfId="0" applyAlignment="1" applyFont="1" applyNumberFormat="1">
      <alignment horizontal="right" vertical="bottom"/>
    </xf>
    <xf borderId="0" fillId="11" fontId="2" numFmtId="168" xfId="0" applyAlignment="1" applyFont="1" applyNumberFormat="1">
      <alignment horizontal="center" vertical="bottom"/>
    </xf>
    <xf borderId="0" fillId="11" fontId="2" numFmtId="0" xfId="0" applyAlignment="1" applyFont="1">
      <alignment horizontal="center" vertical="bottom"/>
    </xf>
    <xf borderId="0" fillId="9" fontId="2" numFmtId="14" xfId="0" applyAlignment="1" applyFont="1" applyNumberFormat="1">
      <alignment horizontal="center" vertical="bottom"/>
    </xf>
    <xf borderId="0" fillId="9" fontId="2" numFmtId="14" xfId="0" applyAlignment="1" applyFont="1" applyNumberFormat="1">
      <alignment horizontal="right" vertical="bottom"/>
    </xf>
    <xf borderId="0" fillId="11" fontId="2" numFmtId="0" xfId="0" applyAlignment="1" applyFont="1">
      <alignment horizontal="right" vertical="bottom"/>
    </xf>
    <xf borderId="0" fillId="9" fontId="2" numFmtId="0" xfId="0" applyAlignment="1" applyFont="1">
      <alignment horizontal="right" vertical="bottom"/>
    </xf>
    <xf borderId="0" fillId="11" fontId="2" numFmtId="0" xfId="0" applyAlignment="1" applyFont="1">
      <alignment horizontal="right" vertical="bottom"/>
    </xf>
    <xf borderId="0" fillId="0" fontId="4" numFmtId="0" xfId="0" applyAlignment="1" applyFont="1">
      <alignment horizontal="left" shrinkToFit="0" wrapText="1"/>
    </xf>
    <xf borderId="0" fillId="0" fontId="4" numFmtId="165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horizontal="left" shrinkToFit="0" wrapText="1"/>
    </xf>
    <xf borderId="0" fillId="0" fontId="4" numFmtId="4" xfId="0" applyAlignment="1" applyFont="1" applyNumberFormat="1">
      <alignment horizontal="left" shrinkToFit="0" wrapText="1"/>
    </xf>
    <xf borderId="1" fillId="5" fontId="2" numFmtId="165" xfId="0" applyAlignment="1" applyBorder="1" applyFont="1" applyNumberFormat="1">
      <alignment horizontal="left" vertical="bottom"/>
    </xf>
    <xf borderId="1" fillId="5" fontId="2" numFmtId="165" xfId="0" applyAlignment="1" applyBorder="1" applyFont="1" applyNumberFormat="1">
      <alignment horizontal="left" readingOrder="0" vertical="bottom"/>
    </xf>
    <xf borderId="0" fillId="9" fontId="5" numFmtId="0" xfId="0" applyFont="1"/>
    <xf borderId="0" fillId="9" fontId="2" numFmtId="0" xfId="0" applyAlignment="1" applyFont="1">
      <alignment horizontal="right" vertical="bottom"/>
    </xf>
    <xf borderId="2" fillId="14" fontId="4" numFmtId="164" xfId="0" applyAlignment="1" applyBorder="1" applyFill="1" applyFont="1" applyNumberFormat="1">
      <alignment horizontal="left" readingOrder="0" shrinkToFit="0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22">
    <tableStyle count="3" pivot="0" name="JUNHO 2025-style">
      <tableStyleElement dxfId="1" type="headerRow"/>
      <tableStyleElement dxfId="2" type="firstRowStripe"/>
      <tableStyleElement dxfId="3" type="secondRowStripe"/>
    </tableStyle>
    <tableStyle count="3" pivot="0" name="JUNHO 2025-style 2">
      <tableStyleElement dxfId="1" type="headerRow"/>
      <tableStyleElement dxfId="2" type="firstRowStripe"/>
      <tableStyleElement dxfId="3" type="secondRowStripe"/>
    </tableStyle>
    <tableStyle count="3" pivot="0" name="JUNHO 2025-style 3">
      <tableStyleElement dxfId="1" type="headerRow"/>
      <tableStyleElement dxfId="2" type="firstRowStripe"/>
      <tableStyleElement dxfId="3" type="secondRowStripe"/>
    </tableStyle>
    <tableStyle count="3" pivot="0" name="JUNHO 2025-style 4">
      <tableStyleElement dxfId="1" type="headerRow"/>
      <tableStyleElement dxfId="2" type="firstRowStripe"/>
      <tableStyleElement dxfId="3" type="secondRowStripe"/>
    </tableStyle>
    <tableStyle count="3" pivot="0" name="JUNHO 2025-style 5">
      <tableStyleElement dxfId="4" type="headerRow"/>
      <tableStyleElement dxfId="2" type="firstRowStripe"/>
      <tableStyleElement dxfId="3" type="secondRowStripe"/>
    </tableStyle>
    <tableStyle count="3" pivot="0" name="JUNHO 2025-style 6">
      <tableStyleElement dxfId="1" type="headerRow"/>
      <tableStyleElement dxfId="2" type="firstRowStripe"/>
      <tableStyleElement dxfId="3" type="secondRowStripe"/>
    </tableStyle>
    <tableStyle count="3" pivot="0" name="JUNHO 2025-style 7">
      <tableStyleElement dxfId="1" type="headerRow"/>
      <tableStyleElement dxfId="2" type="firstRowStripe"/>
      <tableStyleElement dxfId="3" type="secondRowStripe"/>
    </tableStyle>
    <tableStyle count="3" pivot="0" name="JUNHO 2025-style 8">
      <tableStyleElement dxfId="1" type="headerRow"/>
      <tableStyleElement dxfId="2" type="firstRowStripe"/>
      <tableStyleElement dxfId="3" type="secondRowStripe"/>
    </tableStyle>
    <tableStyle count="3" pivot="0" name="JUNHO 2025-style 9">
      <tableStyleElement dxfId="1" type="headerRow"/>
      <tableStyleElement dxfId="2" type="firstRowStripe"/>
      <tableStyleElement dxfId="3" type="secondRowStripe"/>
    </tableStyle>
    <tableStyle count="3" pivot="0" name="JUNHO 2025-style 10">
      <tableStyleElement dxfId="3" type="headerRow"/>
      <tableStyleElement dxfId="2" type="firstRowStripe"/>
      <tableStyleElement dxfId="3" type="secondRowStripe"/>
    </tableStyle>
    <tableStyle count="3" pivot="0" name="JULHO 2025-style">
      <tableStyleElement dxfId="1" type="headerRow"/>
      <tableStyleElement dxfId="2" type="firstRowStripe"/>
      <tableStyleElement dxfId="3" type="secondRowStripe"/>
    </tableStyle>
    <tableStyle count="3" pivot="0" name="JULHO 2025-style 2">
      <tableStyleElement dxfId="1" type="headerRow"/>
      <tableStyleElement dxfId="2" type="firstRowStripe"/>
      <tableStyleElement dxfId="3" type="secondRowStripe"/>
    </tableStyle>
    <tableStyle count="3" pivot="0" name="JULHO 2025-style 3">
      <tableStyleElement dxfId="1" type="headerRow"/>
      <tableStyleElement dxfId="2" type="firstRowStripe"/>
      <tableStyleElement dxfId="3" type="secondRowStripe"/>
    </tableStyle>
    <tableStyle count="3" pivot="0" name="JULHO 2025-style 4">
      <tableStyleElement dxfId="1" type="headerRow"/>
      <tableStyleElement dxfId="2" type="firstRowStripe"/>
      <tableStyleElement dxfId="3" type="secondRowStripe"/>
    </tableStyle>
    <tableStyle count="3" pivot="0" name="JULHO 2025-style 5">
      <tableStyleElement dxfId="4" type="headerRow"/>
      <tableStyleElement dxfId="2" type="firstRowStripe"/>
      <tableStyleElement dxfId="3" type="secondRowStripe"/>
    </tableStyle>
    <tableStyle count="3" pivot="0" name="JULHO 2025-style 6">
      <tableStyleElement dxfId="1" type="headerRow"/>
      <tableStyleElement dxfId="2" type="firstRowStripe"/>
      <tableStyleElement dxfId="3" type="secondRowStripe"/>
    </tableStyle>
    <tableStyle count="3" pivot="0" name="JULHO 2025-style 7">
      <tableStyleElement dxfId="1" type="headerRow"/>
      <tableStyleElement dxfId="2" type="firstRowStripe"/>
      <tableStyleElement dxfId="3" type="secondRowStripe"/>
    </tableStyle>
    <tableStyle count="3" pivot="0" name="JULHO 2025-style 8">
      <tableStyleElement dxfId="1" type="headerRow"/>
      <tableStyleElement dxfId="2" type="firstRowStripe"/>
      <tableStyleElement dxfId="3" type="secondRowStripe"/>
    </tableStyle>
    <tableStyle count="3" pivot="0" name="JULHO 2025-style 9">
      <tableStyleElement dxfId="1" type="headerRow"/>
      <tableStyleElement dxfId="2" type="firstRowStripe"/>
      <tableStyleElement dxfId="3" type="secondRowStripe"/>
    </tableStyle>
    <tableStyle count="3" pivot="0" name="JULHO 2025-style 10">
      <tableStyleElement dxfId="3" type="headerRow"/>
      <tableStyleElement dxfId="2" type="firstRowStripe"/>
      <tableStyleElement dxfId="3" type="secondRowStripe"/>
    </tableStyle>
    <tableStyle count="3" pivot="0" name="AGOSTO 2025-style">
      <tableStyleElement dxfId="1" type="headerRow"/>
      <tableStyleElement dxfId="2" type="firstRowStripe"/>
      <tableStyleElement dxfId="3" type="secondRowStripe"/>
    </tableStyle>
    <tableStyle count="3" pivot="0" name="AGOSTO 2025-style 2">
      <tableStyleElement dxfId="1" type="headerRow"/>
      <tableStyleElement dxfId="2" type="firstRowStripe"/>
      <tableStyleElement dxfId="3" type="secondRowStripe"/>
    </tableStyle>
    <tableStyle count="3" pivot="0" name="AGOSTO 2025-style 3">
      <tableStyleElement dxfId="1" type="headerRow"/>
      <tableStyleElement dxfId="2" type="firstRowStripe"/>
      <tableStyleElement dxfId="3" type="secondRowStripe"/>
    </tableStyle>
    <tableStyle count="3" pivot="0" name="AGOSTO 2025-style 4">
      <tableStyleElement dxfId="1" type="headerRow"/>
      <tableStyleElement dxfId="2" type="firstRowStripe"/>
      <tableStyleElement dxfId="3" type="secondRowStripe"/>
    </tableStyle>
    <tableStyle count="3" pivot="0" name="AGOSTO 2025-style 5">
      <tableStyleElement dxfId="4" type="headerRow"/>
      <tableStyleElement dxfId="2" type="firstRowStripe"/>
      <tableStyleElement dxfId="3" type="secondRowStripe"/>
    </tableStyle>
    <tableStyle count="3" pivot="0" name="AGOSTO 2025-style 6">
      <tableStyleElement dxfId="1" type="headerRow"/>
      <tableStyleElement dxfId="2" type="firstRowStripe"/>
      <tableStyleElement dxfId="3" type="secondRowStripe"/>
    </tableStyle>
    <tableStyle count="3" pivot="0" name="AGOSTO 2025-style 7">
      <tableStyleElement dxfId="1" type="headerRow"/>
      <tableStyleElement dxfId="2" type="firstRowStripe"/>
      <tableStyleElement dxfId="3" type="secondRowStripe"/>
    </tableStyle>
    <tableStyle count="3" pivot="0" name="AGOSTO 2025-style 8">
      <tableStyleElement dxfId="1" type="headerRow"/>
      <tableStyleElement dxfId="2" type="firstRowStripe"/>
      <tableStyleElement dxfId="3" type="secondRowStripe"/>
    </tableStyle>
    <tableStyle count="3" pivot="0" name="AGOSTO 2025-style 9">
      <tableStyleElement dxfId="1" type="headerRow"/>
      <tableStyleElement dxfId="2" type="firstRowStripe"/>
      <tableStyleElement dxfId="3" type="secondRowStripe"/>
    </tableStyle>
    <tableStyle count="3" pivot="0" name="AGOSTO 2025-style 10">
      <tableStyleElement dxfId="3" type="headerRow"/>
      <tableStyleElement dxfId="2" type="firstRowStripe"/>
      <tableStyleElement dxfId="3" type="secondRowStripe"/>
    </tableStyle>
    <tableStyle count="3" pivot="0" name="SETEMBRO 2025-style">
      <tableStyleElement dxfId="1" type="headerRow"/>
      <tableStyleElement dxfId="2" type="firstRowStripe"/>
      <tableStyleElement dxfId="3" type="secondRowStripe"/>
    </tableStyle>
    <tableStyle count="3" pivot="0" name="SETEMBRO 2025-style 2">
      <tableStyleElement dxfId="1" type="headerRow"/>
      <tableStyleElement dxfId="2" type="firstRowStripe"/>
      <tableStyleElement dxfId="3" type="secondRowStripe"/>
    </tableStyle>
    <tableStyle count="3" pivot="0" name="SETEMBRO 2025-style 3">
      <tableStyleElement dxfId="1" type="headerRow"/>
      <tableStyleElement dxfId="2" type="firstRowStripe"/>
      <tableStyleElement dxfId="3" type="secondRowStripe"/>
    </tableStyle>
    <tableStyle count="3" pivot="0" name="SETEMBRO 2025-style 4">
      <tableStyleElement dxfId="1" type="headerRow"/>
      <tableStyleElement dxfId="2" type="firstRowStripe"/>
      <tableStyleElement dxfId="3" type="secondRowStripe"/>
    </tableStyle>
    <tableStyle count="3" pivot="0" name="SETEMBRO 2025-style 5">
      <tableStyleElement dxfId="4" type="headerRow"/>
      <tableStyleElement dxfId="2" type="firstRowStripe"/>
      <tableStyleElement dxfId="3" type="secondRowStripe"/>
    </tableStyle>
    <tableStyle count="3" pivot="0" name="SETEMBRO 2025-style 6">
      <tableStyleElement dxfId="1" type="headerRow"/>
      <tableStyleElement dxfId="2" type="firstRowStripe"/>
      <tableStyleElement dxfId="3" type="secondRowStripe"/>
    </tableStyle>
    <tableStyle count="3" pivot="0" name="SETEMBRO 2025-style 7">
      <tableStyleElement dxfId="1" type="headerRow"/>
      <tableStyleElement dxfId="2" type="firstRowStripe"/>
      <tableStyleElement dxfId="3" type="secondRowStripe"/>
    </tableStyle>
    <tableStyle count="3" pivot="0" name="SETEMBRO 2025-style 8">
      <tableStyleElement dxfId="1" type="headerRow"/>
      <tableStyleElement dxfId="2" type="firstRowStripe"/>
      <tableStyleElement dxfId="3" type="secondRowStripe"/>
    </tableStyle>
    <tableStyle count="3" pivot="0" name="SETEMBRO 2025-style 9">
      <tableStyleElement dxfId="1" type="headerRow"/>
      <tableStyleElement dxfId="2" type="firstRowStripe"/>
      <tableStyleElement dxfId="3" type="secondRowStripe"/>
    </tableStyle>
    <tableStyle count="3" pivot="0" name="SETEMBRO 2025-style 10">
      <tableStyleElement dxfId="3" type="headerRow"/>
      <tableStyleElement dxfId="2" type="firstRowStripe"/>
      <tableStyleElement dxfId="3" type="secondRowStripe"/>
    </tableStyle>
    <tableStyle count="3" pivot="0" name="OUTUBRO 2025-style">
      <tableStyleElement dxfId="1" type="headerRow"/>
      <tableStyleElement dxfId="2" type="firstRowStripe"/>
      <tableStyleElement dxfId="3" type="secondRowStripe"/>
    </tableStyle>
    <tableStyle count="3" pivot="0" name="OUTUBRO 2025-style 2">
      <tableStyleElement dxfId="1" type="headerRow"/>
      <tableStyleElement dxfId="2" type="firstRowStripe"/>
      <tableStyleElement dxfId="3" type="secondRowStripe"/>
    </tableStyle>
    <tableStyle count="3" pivot="0" name="OUTUBRO 2025-style 3">
      <tableStyleElement dxfId="1" type="headerRow"/>
      <tableStyleElement dxfId="2" type="firstRowStripe"/>
      <tableStyleElement dxfId="3" type="secondRowStripe"/>
    </tableStyle>
    <tableStyle count="3" pivot="0" name="OUTUBRO 2025-style 4">
      <tableStyleElement dxfId="1" type="headerRow"/>
      <tableStyleElement dxfId="2" type="firstRowStripe"/>
      <tableStyleElement dxfId="3" type="secondRowStripe"/>
    </tableStyle>
    <tableStyle count="3" pivot="0" name="OUTUBRO 2025-style 5">
      <tableStyleElement dxfId="4" type="headerRow"/>
      <tableStyleElement dxfId="2" type="firstRowStripe"/>
      <tableStyleElement dxfId="3" type="secondRowStripe"/>
    </tableStyle>
    <tableStyle count="3" pivot="0" name="OUTUBRO 2025-style 6">
      <tableStyleElement dxfId="1" type="headerRow"/>
      <tableStyleElement dxfId="2" type="firstRowStripe"/>
      <tableStyleElement dxfId="3" type="secondRowStripe"/>
    </tableStyle>
    <tableStyle count="3" pivot="0" name="OUTUBRO 2025-style 7">
      <tableStyleElement dxfId="1" type="headerRow"/>
      <tableStyleElement dxfId="2" type="firstRowStripe"/>
      <tableStyleElement dxfId="3" type="secondRowStripe"/>
    </tableStyle>
    <tableStyle count="3" pivot="0" name="OUTUBRO 2025-style 8">
      <tableStyleElement dxfId="1" type="headerRow"/>
      <tableStyleElement dxfId="2" type="firstRowStripe"/>
      <tableStyleElement dxfId="3" type="secondRowStripe"/>
    </tableStyle>
    <tableStyle count="3" pivot="0" name="OUTUBRO 2025-style 9">
      <tableStyleElement dxfId="1" type="headerRow"/>
      <tableStyleElement dxfId="2" type="firstRowStripe"/>
      <tableStyleElement dxfId="3" type="secondRowStripe"/>
    </tableStyle>
    <tableStyle count="3" pivot="0" name="OUTUBRO 2025-style 10">
      <tableStyleElement dxfId="3" type="headerRow"/>
      <tableStyleElement dxfId="2" type="firstRowStripe"/>
      <tableStyleElement dxfId="3" type="secondRowStripe"/>
    </tableStyle>
    <tableStyle count="3" pivot="0" name="NOVEMBRO 2025-style">
      <tableStyleElement dxfId="1" type="headerRow"/>
      <tableStyleElement dxfId="2" type="firstRowStripe"/>
      <tableStyleElement dxfId="3" type="secondRowStripe"/>
    </tableStyle>
    <tableStyle count="3" pivot="0" name="NOVEMBRO 2025-style 2">
      <tableStyleElement dxfId="1" type="headerRow"/>
      <tableStyleElement dxfId="2" type="firstRowStripe"/>
      <tableStyleElement dxfId="3" type="secondRowStripe"/>
    </tableStyle>
    <tableStyle count="3" pivot="0" name="NOVEMBRO 2025-style 3">
      <tableStyleElement dxfId="1" type="headerRow"/>
      <tableStyleElement dxfId="2" type="firstRowStripe"/>
      <tableStyleElement dxfId="3" type="secondRowStripe"/>
    </tableStyle>
    <tableStyle count="3" pivot="0" name="NOVEMBRO 2025-style 4">
      <tableStyleElement dxfId="1" type="headerRow"/>
      <tableStyleElement dxfId="2" type="firstRowStripe"/>
      <tableStyleElement dxfId="3" type="secondRowStripe"/>
    </tableStyle>
    <tableStyle count="3" pivot="0" name="NOVEMBRO 2025-style 5">
      <tableStyleElement dxfId="4" type="headerRow"/>
      <tableStyleElement dxfId="2" type="firstRowStripe"/>
      <tableStyleElement dxfId="3" type="secondRowStripe"/>
    </tableStyle>
    <tableStyle count="3" pivot="0" name="NOVEMBRO 2025-style 6">
      <tableStyleElement dxfId="1" type="headerRow"/>
      <tableStyleElement dxfId="2" type="firstRowStripe"/>
      <tableStyleElement dxfId="3" type="secondRowStripe"/>
    </tableStyle>
    <tableStyle count="3" pivot="0" name="NOVEMBRO 2025-style 7">
      <tableStyleElement dxfId="1" type="headerRow"/>
      <tableStyleElement dxfId="2" type="firstRowStripe"/>
      <tableStyleElement dxfId="3" type="secondRowStripe"/>
    </tableStyle>
    <tableStyle count="3" pivot="0" name="NOVEMBRO 2025-style 8">
      <tableStyleElement dxfId="1" type="headerRow"/>
      <tableStyleElement dxfId="2" type="firstRowStripe"/>
      <tableStyleElement dxfId="3" type="secondRowStripe"/>
    </tableStyle>
    <tableStyle count="3" pivot="0" name="NOVEMBRO 2025-style 9">
      <tableStyleElement dxfId="3" type="headerRow"/>
      <tableStyleElement dxfId="2" type="firstRowStripe"/>
      <tableStyleElement dxfId="3" type="secondRowStripe"/>
    </tableStyle>
    <tableStyle count="3" pivot="0" name="DEZEMBRO 2025-style">
      <tableStyleElement dxfId="1" type="headerRow"/>
      <tableStyleElement dxfId="2" type="firstRowStripe"/>
      <tableStyleElement dxfId="3" type="secondRowStripe"/>
    </tableStyle>
    <tableStyle count="3" pivot="0" name="DEZEMBRO 2025-style 2">
      <tableStyleElement dxfId="1" type="headerRow"/>
      <tableStyleElement dxfId="2" type="firstRowStripe"/>
      <tableStyleElement dxfId="3" type="secondRowStripe"/>
    </tableStyle>
    <tableStyle count="3" pivot="0" name="DEZEMBRO 2025-style 3">
      <tableStyleElement dxfId="1" type="headerRow"/>
      <tableStyleElement dxfId="2" type="firstRowStripe"/>
      <tableStyleElement dxfId="3" type="secondRowStripe"/>
    </tableStyle>
    <tableStyle count="3" pivot="0" name="DEZEMBRO 2025-style 4">
      <tableStyleElement dxfId="1" type="headerRow"/>
      <tableStyleElement dxfId="2" type="firstRowStripe"/>
      <tableStyleElement dxfId="3" type="secondRowStripe"/>
    </tableStyle>
    <tableStyle count="3" pivot="0" name="DEZEMBRO 2025-style 5">
      <tableStyleElement dxfId="4" type="headerRow"/>
      <tableStyleElement dxfId="2" type="firstRowStripe"/>
      <tableStyleElement dxfId="3" type="secondRowStripe"/>
    </tableStyle>
    <tableStyle count="3" pivot="0" name="DEZEMBRO 2025-style 6">
      <tableStyleElement dxfId="1" type="headerRow"/>
      <tableStyleElement dxfId="2" type="firstRowStripe"/>
      <tableStyleElement dxfId="3" type="secondRowStripe"/>
    </tableStyle>
    <tableStyle count="3" pivot="0" name="DEZEMBRO 2025-style 7">
      <tableStyleElement dxfId="1" type="headerRow"/>
      <tableStyleElement dxfId="2" type="firstRowStripe"/>
      <tableStyleElement dxfId="3" type="secondRowStripe"/>
    </tableStyle>
    <tableStyle count="3" pivot="0" name="DEZEMBRO 2025-style 8">
      <tableStyleElement dxfId="1" type="headerRow"/>
      <tableStyleElement dxfId="2" type="firstRowStripe"/>
      <tableStyleElement dxfId="3" type="secondRowStripe"/>
    </tableStyle>
    <tableStyle count="3" pivot="0" name="DEZEMBRO 2025-style 9">
      <tableStyleElement dxfId="3" type="headerRow"/>
      <tableStyleElement dxfId="2" type="firstRowStripe"/>
      <tableStyleElement dxfId="3" type="secondRowStripe"/>
    </tableStyle>
    <tableStyle count="3" pivot="0" name="JANEIRO 2026-style">
      <tableStyleElement dxfId="1" type="headerRow"/>
      <tableStyleElement dxfId="2" type="firstRowStripe"/>
      <tableStyleElement dxfId="3" type="secondRowStripe"/>
    </tableStyle>
    <tableStyle count="3" pivot="0" name="JANEIRO 2026-style 2">
      <tableStyleElement dxfId="1" type="headerRow"/>
      <tableStyleElement dxfId="2" type="firstRowStripe"/>
      <tableStyleElement dxfId="3" type="secondRowStripe"/>
    </tableStyle>
    <tableStyle count="3" pivot="0" name="JANEIRO 2026-style 3">
      <tableStyleElement dxfId="1" type="headerRow"/>
      <tableStyleElement dxfId="2" type="firstRowStripe"/>
      <tableStyleElement dxfId="3" type="secondRowStripe"/>
    </tableStyle>
    <tableStyle count="3" pivot="0" name="JANEIRO 2026-style 4">
      <tableStyleElement dxfId="1" type="headerRow"/>
      <tableStyleElement dxfId="2" type="firstRowStripe"/>
      <tableStyleElement dxfId="3" type="secondRowStripe"/>
    </tableStyle>
    <tableStyle count="3" pivot="0" name="JANEIRO 2026-style 5">
      <tableStyleElement dxfId="4" type="headerRow"/>
      <tableStyleElement dxfId="2" type="firstRowStripe"/>
      <tableStyleElement dxfId="3" type="secondRowStripe"/>
    </tableStyle>
    <tableStyle count="3" pivot="0" name="JANEIRO 2026-style 6">
      <tableStyleElement dxfId="1" type="headerRow"/>
      <tableStyleElement dxfId="2" type="firstRowStripe"/>
      <tableStyleElement dxfId="3" type="secondRowStripe"/>
    </tableStyle>
    <tableStyle count="3" pivot="0" name="JANEIRO 2026-style 7">
      <tableStyleElement dxfId="1" type="headerRow"/>
      <tableStyleElement dxfId="2" type="firstRowStripe"/>
      <tableStyleElement dxfId="3" type="secondRowStripe"/>
    </tableStyle>
    <tableStyle count="3" pivot="0" name="JANEIRO 2026-style 8">
      <tableStyleElement dxfId="1" type="headerRow"/>
      <tableStyleElement dxfId="2" type="firstRowStripe"/>
      <tableStyleElement dxfId="3" type="secondRowStripe"/>
    </tableStyle>
    <tableStyle count="3" pivot="0" name="JANEIRO 2026-style 9">
      <tableStyleElement dxfId="3" type="headerRow"/>
      <tableStyleElement dxfId="2" type="firstRowStripe"/>
      <tableStyleElement dxfId="3" type="secondRowStripe"/>
    </tableStyle>
    <tableStyle count="3" pivot="0" name="FEVEREIRO 2026-style">
      <tableStyleElement dxfId="1" type="headerRow"/>
      <tableStyleElement dxfId="2" type="firstRowStripe"/>
      <tableStyleElement dxfId="3" type="secondRowStripe"/>
    </tableStyle>
    <tableStyle count="3" pivot="0" name="FEVEREIRO 2026-style 2">
      <tableStyleElement dxfId="1" type="headerRow"/>
      <tableStyleElement dxfId="2" type="firstRowStripe"/>
      <tableStyleElement dxfId="3" type="secondRowStripe"/>
    </tableStyle>
    <tableStyle count="3" pivot="0" name="FEVEREIRO 2026-style 3">
      <tableStyleElement dxfId="1" type="headerRow"/>
      <tableStyleElement dxfId="2" type="firstRowStripe"/>
      <tableStyleElement dxfId="3" type="secondRowStripe"/>
    </tableStyle>
    <tableStyle count="3" pivot="0" name="FEVEREIRO 2026-style 4">
      <tableStyleElement dxfId="1" type="headerRow"/>
      <tableStyleElement dxfId="2" type="firstRowStripe"/>
      <tableStyleElement dxfId="3" type="secondRowStripe"/>
    </tableStyle>
    <tableStyle count="3" pivot="0" name="FEVEREIRO 2026-style 5">
      <tableStyleElement dxfId="4" type="headerRow"/>
      <tableStyleElement dxfId="2" type="firstRowStripe"/>
      <tableStyleElement dxfId="3" type="secondRowStripe"/>
    </tableStyle>
    <tableStyle count="3" pivot="0" name="FEVEREIRO 2026-style 6">
      <tableStyleElement dxfId="1" type="headerRow"/>
      <tableStyleElement dxfId="2" type="firstRowStripe"/>
      <tableStyleElement dxfId="3" type="secondRowStripe"/>
    </tableStyle>
    <tableStyle count="3" pivot="0" name="FEVEREIRO 2026-style 7">
      <tableStyleElement dxfId="1" type="headerRow"/>
      <tableStyleElement dxfId="2" type="firstRowStripe"/>
      <tableStyleElement dxfId="3" type="secondRowStripe"/>
    </tableStyle>
    <tableStyle count="3" pivot="0" name="FEVEREIRO 2026-style 8">
      <tableStyleElement dxfId="1" type="headerRow"/>
      <tableStyleElement dxfId="2" type="firstRowStripe"/>
      <tableStyleElement dxfId="3" type="secondRowStripe"/>
    </tableStyle>
    <tableStyle count="3" pivot="0" name="FEVEREIRO 2026-style 9">
      <tableStyleElement dxfId="3" type="headerRow"/>
      <tableStyleElement dxfId="2" type="firstRowStripe"/>
      <tableStyleElement dxfId="3" type="secondRowStripe"/>
    </tableStyle>
    <tableStyle count="3" pivot="0" name="MARÇO 2026-style">
      <tableStyleElement dxfId="1" type="headerRow"/>
      <tableStyleElement dxfId="2" type="firstRowStripe"/>
      <tableStyleElement dxfId="3" type="secondRowStripe"/>
    </tableStyle>
    <tableStyle count="3" pivot="0" name="MARÇO 2026-style 2">
      <tableStyleElement dxfId="1" type="headerRow"/>
      <tableStyleElement dxfId="2" type="firstRowStripe"/>
      <tableStyleElement dxfId="3" type="secondRowStripe"/>
    </tableStyle>
    <tableStyle count="3" pivot="0" name="MARÇO 2026-style 3">
      <tableStyleElement dxfId="1" type="headerRow"/>
      <tableStyleElement dxfId="2" type="firstRowStripe"/>
      <tableStyleElement dxfId="3" type="secondRowStripe"/>
    </tableStyle>
    <tableStyle count="3" pivot="0" name="MARÇO 2026-style 4">
      <tableStyleElement dxfId="1" type="headerRow"/>
      <tableStyleElement dxfId="2" type="firstRowStripe"/>
      <tableStyleElement dxfId="3" type="secondRowStripe"/>
    </tableStyle>
    <tableStyle count="3" pivot="0" name="MARÇO 2026-style 5">
      <tableStyleElement dxfId="4" type="headerRow"/>
      <tableStyleElement dxfId="2" type="firstRowStripe"/>
      <tableStyleElement dxfId="3" type="secondRowStripe"/>
    </tableStyle>
    <tableStyle count="3" pivot="0" name="MARÇO 2026-style 6">
      <tableStyleElement dxfId="1" type="headerRow"/>
      <tableStyleElement dxfId="2" type="firstRowStripe"/>
      <tableStyleElement dxfId="3" type="secondRowStripe"/>
    </tableStyle>
    <tableStyle count="3" pivot="0" name="MARÇO 2026-style 7">
      <tableStyleElement dxfId="1" type="headerRow"/>
      <tableStyleElement dxfId="2" type="firstRowStripe"/>
      <tableStyleElement dxfId="3" type="secondRowStripe"/>
    </tableStyle>
    <tableStyle count="3" pivot="0" name="MARÇO 2026-style 8">
      <tableStyleElement dxfId="1" type="headerRow"/>
      <tableStyleElement dxfId="2" type="firstRowStripe"/>
      <tableStyleElement dxfId="3" type="secondRowStripe"/>
    </tableStyle>
    <tableStyle count="3" pivot="0" name="MARÇO 2026-style 9">
      <tableStyleElement dxfId="3" type="headerRow"/>
      <tableStyleElement dxfId="2" type="firstRowStripe"/>
      <tableStyleElement dxfId="3" type="secondRowStripe"/>
    </tableStyle>
    <tableStyle count="3" pivot="0" name="ABRIL 2026-style">
      <tableStyleElement dxfId="1" type="headerRow"/>
      <tableStyleElement dxfId="2" type="firstRowStripe"/>
      <tableStyleElement dxfId="3" type="secondRowStripe"/>
    </tableStyle>
    <tableStyle count="3" pivot="0" name="ABRIL 2026-style 2">
      <tableStyleElement dxfId="1" type="headerRow"/>
      <tableStyleElement dxfId="2" type="firstRowStripe"/>
      <tableStyleElement dxfId="3" type="secondRowStripe"/>
    </tableStyle>
    <tableStyle count="3" pivot="0" name="ABRIL 2026-style 3">
      <tableStyleElement dxfId="1" type="headerRow"/>
      <tableStyleElement dxfId="2" type="firstRowStripe"/>
      <tableStyleElement dxfId="3" type="secondRowStripe"/>
    </tableStyle>
    <tableStyle count="3" pivot="0" name="ABRIL 2026-style 4">
      <tableStyleElement dxfId="1" type="headerRow"/>
      <tableStyleElement dxfId="2" type="firstRowStripe"/>
      <tableStyleElement dxfId="3" type="secondRowStripe"/>
    </tableStyle>
    <tableStyle count="3" pivot="0" name="ABRIL 2026-style 5">
      <tableStyleElement dxfId="4" type="headerRow"/>
      <tableStyleElement dxfId="2" type="firstRowStripe"/>
      <tableStyleElement dxfId="3" type="secondRowStripe"/>
    </tableStyle>
    <tableStyle count="3" pivot="0" name="ABRIL 2026-style 6">
      <tableStyleElement dxfId="1" type="headerRow"/>
      <tableStyleElement dxfId="2" type="firstRowStripe"/>
      <tableStyleElement dxfId="3" type="secondRowStripe"/>
    </tableStyle>
    <tableStyle count="3" pivot="0" name="ABRIL 2026-style 7">
      <tableStyleElement dxfId="1" type="headerRow"/>
      <tableStyleElement dxfId="2" type="firstRowStripe"/>
      <tableStyleElement dxfId="3" type="secondRowStripe"/>
    </tableStyle>
    <tableStyle count="3" pivot="0" name="ABRIL 2026-style 8">
      <tableStyleElement dxfId="1" type="headerRow"/>
      <tableStyleElement dxfId="2" type="firstRowStripe"/>
      <tableStyleElement dxfId="3" type="secondRowStripe"/>
    </tableStyle>
    <tableStyle count="3" pivot="0" name="ABRIL 2026-style 9">
      <tableStyleElement dxfId="3" type="headerRow"/>
      <tableStyleElement dxfId="2" type="firstRowStripe"/>
      <tableStyleElement dxfId="3" type="secondRowStripe"/>
    </tableStyle>
    <tableStyle count="3" pivot="0" name="MAIO 2026-style">
      <tableStyleElement dxfId="1" type="headerRow"/>
      <tableStyleElement dxfId="2" type="firstRowStripe"/>
      <tableStyleElement dxfId="3" type="secondRowStripe"/>
    </tableStyle>
    <tableStyle count="3" pivot="0" name="MAIO 2026-style 2">
      <tableStyleElement dxfId="1" type="headerRow"/>
      <tableStyleElement dxfId="2" type="firstRowStripe"/>
      <tableStyleElement dxfId="3" type="secondRowStripe"/>
    </tableStyle>
    <tableStyle count="3" pivot="0" name="MAIO 2026-style 3">
      <tableStyleElement dxfId="1" type="headerRow"/>
      <tableStyleElement dxfId="2" type="firstRowStripe"/>
      <tableStyleElement dxfId="3" type="secondRowStripe"/>
    </tableStyle>
    <tableStyle count="3" pivot="0" name="MAIO 2026-style 4">
      <tableStyleElement dxfId="1" type="headerRow"/>
      <tableStyleElement dxfId="2" type="firstRowStripe"/>
      <tableStyleElement dxfId="3" type="secondRowStripe"/>
    </tableStyle>
    <tableStyle count="3" pivot="0" name="MAIO 2026-style 5">
      <tableStyleElement dxfId="4" type="headerRow"/>
      <tableStyleElement dxfId="2" type="firstRowStripe"/>
      <tableStyleElement dxfId="3" type="secondRowStripe"/>
    </tableStyle>
    <tableStyle count="3" pivot="0" name="MAIO 2026-style 6">
      <tableStyleElement dxfId="1" type="headerRow"/>
      <tableStyleElement dxfId="2" type="firstRowStripe"/>
      <tableStyleElement dxfId="3" type="secondRowStripe"/>
    </tableStyle>
    <tableStyle count="3" pivot="0" name="MAIO 2026-style 7">
      <tableStyleElement dxfId="1" type="headerRow"/>
      <tableStyleElement dxfId="2" type="firstRowStripe"/>
      <tableStyleElement dxfId="3" type="secondRowStripe"/>
    </tableStyle>
    <tableStyle count="3" pivot="0" name="MAIO 2026-style 8">
      <tableStyleElement dxfId="1" type="headerRow"/>
      <tableStyleElement dxfId="2" type="firstRowStripe"/>
      <tableStyleElement dxfId="3" type="secondRowStripe"/>
    </tableStyle>
    <tableStyle count="3" pivot="0" name="MAIO 2026-style 9">
      <tableStyleElement dxfId="3" type="headerRow"/>
      <tableStyleElement dxfId="2" type="firstRowStripe"/>
      <tableStyleElement dxfId="3" type="secondRowStripe"/>
    </tableStyle>
    <tableStyle count="3" pivot="0" name="JUNHO 2026-style">
      <tableStyleElement dxfId="1" type="headerRow"/>
      <tableStyleElement dxfId="2" type="firstRowStripe"/>
      <tableStyleElement dxfId="3" type="secondRowStripe"/>
    </tableStyle>
    <tableStyle count="3" pivot="0" name="JUNHO 2026-style 2">
      <tableStyleElement dxfId="1" type="headerRow"/>
      <tableStyleElement dxfId="2" type="firstRowStripe"/>
      <tableStyleElement dxfId="3" type="secondRowStripe"/>
    </tableStyle>
    <tableStyle count="3" pivot="0" name="JUNHO 2026-style 3">
      <tableStyleElement dxfId="1" type="headerRow"/>
      <tableStyleElement dxfId="2" type="firstRowStripe"/>
      <tableStyleElement dxfId="3" type="secondRowStripe"/>
    </tableStyle>
    <tableStyle count="3" pivot="0" name="JUNHO 2026-style 4">
      <tableStyleElement dxfId="1" type="headerRow"/>
      <tableStyleElement dxfId="2" type="firstRowStripe"/>
      <tableStyleElement dxfId="3" type="secondRowStripe"/>
    </tableStyle>
    <tableStyle count="3" pivot="0" name="JUNHO 2026-style 5">
      <tableStyleElement dxfId="4" type="headerRow"/>
      <tableStyleElement dxfId="2" type="firstRowStripe"/>
      <tableStyleElement dxfId="3" type="secondRowStripe"/>
    </tableStyle>
    <tableStyle count="3" pivot="0" name="JUNHO 2026-style 6">
      <tableStyleElement dxfId="1" type="headerRow"/>
      <tableStyleElement dxfId="2" type="firstRowStripe"/>
      <tableStyleElement dxfId="3" type="secondRowStripe"/>
    </tableStyle>
    <tableStyle count="3" pivot="0" name="JUNHO 2026-style 7">
      <tableStyleElement dxfId="1" type="headerRow"/>
      <tableStyleElement dxfId="2" type="firstRowStripe"/>
      <tableStyleElement dxfId="3" type="secondRowStripe"/>
    </tableStyle>
    <tableStyle count="3" pivot="0" name="JUNHO 2026-style 8">
      <tableStyleElement dxfId="1" type="headerRow"/>
      <tableStyleElement dxfId="2" type="firstRowStripe"/>
      <tableStyleElement dxfId="3" type="secondRowStripe"/>
    </tableStyle>
    <tableStyle count="3" pivot="0" name="JUNHO 2026-style 9">
      <tableStyleElement dxfId="3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N4:Q18" displayName="Table_1" name="Table_1" id="1">
  <tableColumns count="4">
    <tableColumn name="Data" id="1"/>
    <tableColumn name="Valor " id="2"/>
    <tableColumn name="Tipo" id="3"/>
    <tableColumn name="Funcionário" id="4"/>
  </tableColumns>
  <tableStyleInfo name="JUNHO 2025-style" showColumnStripes="0" showFirstColumn="1" showLastColumn="1" showRowStripes="1"/>
</table>
</file>

<file path=xl/tables/table2.xml><?xml version="1.0" encoding="utf-8"?>
<table xmlns="http://schemas.openxmlformats.org/spreadsheetml/2006/main" ref="S4:V18" displayName="Table_2" name="Table_2" id="2">
  <tableColumns count="4">
    <tableColumn name="Data" id="1"/>
    <tableColumn name="Valor " id="2"/>
    <tableColumn name="Tipo" id="3"/>
    <tableColumn name="Funcionário" id="4"/>
  </tableColumns>
  <tableStyleInfo name="JUNHO 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N20:Q3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JUNH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S20:V34" displayName="Table_4" name="Table_4" id="4">
  <tableColumns count="4">
    <tableColumn name="Data" id="1"/>
    <tableColumn name="Valor " id="2"/>
    <tableColumn name="Tipo" id="3"/>
    <tableColumn name="Funcionário" id="4"/>
  </tableColumns>
  <tableStyleInfo name="JUNHO 2025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9:L504" displayName="Table_5" name="Table_5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JUNH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N49:Q63" displayName="Table_6" name="Table_6" id="6">
  <tableColumns count="4">
    <tableColumn name="Data" id="1"/>
    <tableColumn name="Valor " id="2"/>
    <tableColumn name="Tipo" id="3"/>
    <tableColumn name="Funcionário" id="4"/>
  </tableColumns>
  <tableStyleInfo name="JUNHO 2025-style 6" showColumnStripes="0" showFirstColumn="1" showLastColumn="1" showRowStripes="1"/>
</table>
</file>

<file path=xl/tables/table7.xml><?xml version="1.0" encoding="utf-8"?>
<table xmlns="http://schemas.openxmlformats.org/spreadsheetml/2006/main" ref="S49:V63" displayName="Table_7" name="Table_7" id="7">
  <tableColumns count="4">
    <tableColumn name="Data" id="1"/>
    <tableColumn name="Valor " id="2"/>
    <tableColumn name="Tipo" id="3"/>
    <tableColumn name="Funcionário" id="4"/>
  </tableColumns>
  <tableStyleInfo name="JUNHO 2025-style 7" showColumnStripes="0" showFirstColumn="1" showLastColumn="1" showRowStripes="1"/>
</table>
</file>

<file path=xl/tables/table8.xml><?xml version="1.0" encoding="utf-8"?>
<table xmlns="http://schemas.openxmlformats.org/spreadsheetml/2006/main" ref="N69:Q88" displayName="Table_8" name="Table_8" id="8">
  <tableColumns count="4">
    <tableColumn name="Data" id="1"/>
    <tableColumn name="Valor " id="2"/>
    <tableColumn name="Tipo" id="3"/>
    <tableColumn name="Funcionário" id="4"/>
  </tableColumns>
  <tableStyleInfo name="JUNHO 2025-style 8" showColumnStripes="0" showFirstColumn="1" showLastColumn="1" showRowStripes="1"/>
</table>
</file>

<file path=xl/tables/table9.xml><?xml version="1.0" encoding="utf-8"?>
<table xmlns="http://schemas.openxmlformats.org/spreadsheetml/2006/main" ref="S69:V88" displayName="Table_9" name="Table_9" id="9">
  <tableColumns count="4">
    <tableColumn name="Data" id="1"/>
    <tableColumn name="Valor " id="2"/>
    <tableColumn name="Tipo" id="3"/>
    <tableColumn name="Funcionário" id="4"/>
  </tableColumns>
  <tableStyleInfo name="JUNHO 2025-style 9" showColumnStripes="0" showFirstColumn="1" showLastColumn="1" showRowStripes="1"/>
</table>
</file>

<file path=xl/tables/table10.xml><?xml version="1.0" encoding="utf-8"?>
<table xmlns="http://schemas.openxmlformats.org/spreadsheetml/2006/main" headerRowCount="0" ref="N96:S138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HO 202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N4:Q18" displayName="Table_11" name="Table_11" id="11">
  <tableColumns count="4">
    <tableColumn name="Data" id="1"/>
    <tableColumn name="Valor " id="2"/>
    <tableColumn name="Tipo" id="3"/>
    <tableColumn name="Funcionário" id="4"/>
  </tableColumns>
  <tableStyleInfo name="JULHO 2025-style" showColumnStripes="0" showFirstColumn="1" showLastColumn="1" showRowStripes="1"/>
</table>
</file>

<file path=xl/tables/table12.xml><?xml version="1.0" encoding="utf-8"?>
<table xmlns="http://schemas.openxmlformats.org/spreadsheetml/2006/main" ref="S4:V18" displayName="Table_12" name="Table_12" id="12">
  <tableColumns count="4">
    <tableColumn name="Data" id="1"/>
    <tableColumn name="Valor " id="2"/>
    <tableColumn name="Tipo" id="3"/>
    <tableColumn name="Funcionário" id="4"/>
  </tableColumns>
  <tableStyleInfo name="JULHO 2025-style 2" showColumnStripes="0" showFirstColumn="1" showLastColumn="1" showRowStripes="1"/>
</table>
</file>

<file path=xl/tables/table13.xml><?xml version="1.0" encoding="utf-8"?>
<table xmlns="http://schemas.openxmlformats.org/spreadsheetml/2006/main" headerRowCount="0" ref="N20:Q34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JULH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S20:V34" displayName="Table_14" name="Table_14" id="14">
  <tableColumns count="4">
    <tableColumn name="Data" id="1"/>
    <tableColumn name="Valor " id="2"/>
    <tableColumn name="Tipo" id="3"/>
    <tableColumn name="Funcionário" id="4"/>
  </tableColumns>
  <tableStyleInfo name="JULHO 2025-style 4" showColumnStripes="0" showFirstColumn="1" showLastColumn="1" showRowStripes="1"/>
</table>
</file>

<file path=xl/tables/table15.xml><?xml version="1.0" encoding="utf-8"?>
<table xmlns="http://schemas.openxmlformats.org/spreadsheetml/2006/main" headerRowCount="0" ref="B29:L504" displayName="Table_15" name="Table_15" id="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JULH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ref="N49:Q63" displayName="Table_16" name="Table_16" id="16">
  <tableColumns count="4">
    <tableColumn name="Data" id="1"/>
    <tableColumn name="Valor " id="2"/>
    <tableColumn name="Tipo" id="3"/>
    <tableColumn name="Funcionário" id="4"/>
  </tableColumns>
  <tableStyleInfo name="JULHO 2025-style 6" showColumnStripes="0" showFirstColumn="1" showLastColumn="1" showRowStripes="1"/>
</table>
</file>

<file path=xl/tables/table17.xml><?xml version="1.0" encoding="utf-8"?>
<table xmlns="http://schemas.openxmlformats.org/spreadsheetml/2006/main" ref="S49:V63" displayName="Table_17" name="Table_17" id="17">
  <tableColumns count="4">
    <tableColumn name="Data" id="1"/>
    <tableColumn name="Valor " id="2"/>
    <tableColumn name="Tipo" id="3"/>
    <tableColumn name="Funcionário" id="4"/>
  </tableColumns>
  <tableStyleInfo name="JULHO 2025-style 7" showColumnStripes="0" showFirstColumn="1" showLastColumn="1" showRowStripes="1"/>
</table>
</file>

<file path=xl/tables/table18.xml><?xml version="1.0" encoding="utf-8"?>
<table xmlns="http://schemas.openxmlformats.org/spreadsheetml/2006/main" ref="N69:Q88" displayName="Table_18" name="Table_18" id="18">
  <tableColumns count="4">
    <tableColumn name="Data" id="1"/>
    <tableColumn name="Valor " id="2"/>
    <tableColumn name="Tipo" id="3"/>
    <tableColumn name="Funcionário" id="4"/>
  </tableColumns>
  <tableStyleInfo name="JULHO 2025-style 8" showColumnStripes="0" showFirstColumn="1" showLastColumn="1" showRowStripes="1"/>
</table>
</file>

<file path=xl/tables/table19.xml><?xml version="1.0" encoding="utf-8"?>
<table xmlns="http://schemas.openxmlformats.org/spreadsheetml/2006/main" ref="S69:V88" displayName="Table_19" name="Table_19" id="19">
  <tableColumns count="4">
    <tableColumn name="Data" id="1"/>
    <tableColumn name="Valor " id="2"/>
    <tableColumn name="Tipo" id="3"/>
    <tableColumn name="Funcionário" id="4"/>
  </tableColumns>
  <tableStyleInfo name="JULHO 2025-style 9" showColumnStripes="0" showFirstColumn="1" showLastColumn="1" showRowStripes="1"/>
</table>
</file>

<file path=xl/tables/table20.xml><?xml version="1.0" encoding="utf-8"?>
<table xmlns="http://schemas.openxmlformats.org/spreadsheetml/2006/main" headerRowCount="0" ref="N96:S138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LHO 202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ref="N4:Q18" displayName="Table_21" name="Table_21" id="21">
  <tableColumns count="4">
    <tableColumn name="Data" id="1"/>
    <tableColumn name="Valor " id="2"/>
    <tableColumn name="Tipo" id="3"/>
    <tableColumn name="Funcionário" id="4"/>
  </tableColumns>
  <tableStyleInfo name="AGOSTO 2025-style" showColumnStripes="0" showFirstColumn="1" showLastColumn="1" showRowStripes="1"/>
</table>
</file>

<file path=xl/tables/table22.xml><?xml version="1.0" encoding="utf-8"?>
<table xmlns="http://schemas.openxmlformats.org/spreadsheetml/2006/main" ref="S4:V18" displayName="Table_22" name="Table_22" id="22">
  <tableColumns count="4">
    <tableColumn name="Data" id="1"/>
    <tableColumn name="Valor " id="2"/>
    <tableColumn name="Tipo" id="3"/>
    <tableColumn name="Funcionário" id="4"/>
  </tableColumns>
  <tableStyleInfo name="AGOSTO 2025-style 2" showColumnStripes="0" showFirstColumn="1" showLastColumn="1" showRowStripes="1"/>
</table>
</file>

<file path=xl/tables/table23.xml><?xml version="1.0" encoding="utf-8"?>
<table xmlns="http://schemas.openxmlformats.org/spreadsheetml/2006/main" headerRowCount="0" ref="N20:Q34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AGOST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ref="S20:V34" displayName="Table_24" name="Table_24" id="24">
  <tableColumns count="4">
    <tableColumn name="Data" id="1"/>
    <tableColumn name="Valor " id="2"/>
    <tableColumn name="Tipo" id="3"/>
    <tableColumn name="Funcionário" id="4"/>
  </tableColumns>
  <tableStyleInfo name="AGOSTO 2025-style 4" showColumnStripes="0" showFirstColumn="1" showLastColumn="1" showRowStripes="1"/>
</table>
</file>

<file path=xl/tables/table25.xml><?xml version="1.0" encoding="utf-8"?>
<table xmlns="http://schemas.openxmlformats.org/spreadsheetml/2006/main" headerRowCount="0" ref="B29:L504" displayName="Table_25" name="Table_25" id="2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GOST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ref="N49:Q63" displayName="Table_26" name="Table_26" id="26">
  <tableColumns count="4">
    <tableColumn name="Data" id="1"/>
    <tableColumn name="Valor " id="2"/>
    <tableColumn name="Tipo" id="3"/>
    <tableColumn name="Funcionário" id="4"/>
  </tableColumns>
  <tableStyleInfo name="AGOSTO 2025-style 6" showColumnStripes="0" showFirstColumn="1" showLastColumn="1" showRowStripes="1"/>
</table>
</file>

<file path=xl/tables/table27.xml><?xml version="1.0" encoding="utf-8"?>
<table xmlns="http://schemas.openxmlformats.org/spreadsheetml/2006/main" ref="S49:V63" displayName="Table_27" name="Table_27" id="27">
  <tableColumns count="4">
    <tableColumn name="Data" id="1"/>
    <tableColumn name="Valor " id="2"/>
    <tableColumn name="Tipo" id="3"/>
    <tableColumn name="Funcionário" id="4"/>
  </tableColumns>
  <tableStyleInfo name="AGOSTO 2025-style 7" showColumnStripes="0" showFirstColumn="1" showLastColumn="1" showRowStripes="1"/>
</table>
</file>

<file path=xl/tables/table28.xml><?xml version="1.0" encoding="utf-8"?>
<table xmlns="http://schemas.openxmlformats.org/spreadsheetml/2006/main" ref="N69:Q88" displayName="Table_28" name="Table_28" id="28">
  <tableColumns count="4">
    <tableColumn name="Data" id="1"/>
    <tableColumn name="Valor " id="2"/>
    <tableColumn name="Tipo" id="3"/>
    <tableColumn name="Funcionário" id="4"/>
  </tableColumns>
  <tableStyleInfo name="AGOSTO 2025-style 8" showColumnStripes="0" showFirstColumn="1" showLastColumn="1" showRowStripes="1"/>
</table>
</file>

<file path=xl/tables/table29.xml><?xml version="1.0" encoding="utf-8"?>
<table xmlns="http://schemas.openxmlformats.org/spreadsheetml/2006/main" ref="S69:V88" displayName="Table_29" name="Table_29" id="29">
  <tableColumns count="4">
    <tableColumn name="Data" id="1"/>
    <tableColumn name="Valor " id="2"/>
    <tableColumn name="Tipo" id="3"/>
    <tableColumn name="Funcionário" id="4"/>
  </tableColumns>
  <tableStyleInfo name="AGOSTO 2025-style 9" showColumnStripes="0" showFirstColumn="1" showLastColumn="1" showRowStripes="1"/>
</table>
</file>

<file path=xl/tables/table30.xml><?xml version="1.0" encoding="utf-8"?>
<table xmlns="http://schemas.openxmlformats.org/spreadsheetml/2006/main" headerRowCount="0" ref="N96:S138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GOSTO 202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ref="N4:Q18" displayName="Table_31" name="Table_31" id="31">
  <tableColumns count="4">
    <tableColumn name="Data" id="1"/>
    <tableColumn name="Valor " id="2"/>
    <tableColumn name="Tipo" id="3"/>
    <tableColumn name="Funcionário" id="4"/>
  </tableColumns>
  <tableStyleInfo name="SETEMBRO 2025-style" showColumnStripes="0" showFirstColumn="1" showLastColumn="1" showRowStripes="1"/>
</table>
</file>

<file path=xl/tables/table32.xml><?xml version="1.0" encoding="utf-8"?>
<table xmlns="http://schemas.openxmlformats.org/spreadsheetml/2006/main" ref="S4:V18" displayName="Table_32" name="Table_32" id="32">
  <tableColumns count="4">
    <tableColumn name="Data" id="1"/>
    <tableColumn name="Valor " id="2"/>
    <tableColumn name="Tipo" id="3"/>
    <tableColumn name="Funcionário" id="4"/>
  </tableColumns>
  <tableStyleInfo name="SETEMBRO 2025-style 2" showColumnStripes="0" showFirstColumn="1" showLastColumn="1" showRowStripes="1"/>
</table>
</file>

<file path=xl/tables/table33.xml><?xml version="1.0" encoding="utf-8"?>
<table xmlns="http://schemas.openxmlformats.org/spreadsheetml/2006/main" headerRowCount="0" ref="N20:Q34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SETEMBR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ref="S20:V34" displayName="Table_34" name="Table_34" id="34">
  <tableColumns count="4">
    <tableColumn name="Data" id="1"/>
    <tableColumn name="Valor " id="2"/>
    <tableColumn name="Tipo" id="3"/>
    <tableColumn name="Funcionário" id="4"/>
  </tableColumns>
  <tableStyleInfo name="SETEMBRO 2025-style 4" showColumnStripes="0" showFirstColumn="1" showLastColumn="1" showRowStripes="1"/>
</table>
</file>

<file path=xl/tables/table35.xml><?xml version="1.0" encoding="utf-8"?>
<table xmlns="http://schemas.openxmlformats.org/spreadsheetml/2006/main" headerRowCount="0" ref="B29:L504" displayName="Table_35" name="Table_35" id="3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ETEMBR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ref="N49:Q63" displayName="Table_36" name="Table_36" id="36">
  <tableColumns count="4">
    <tableColumn name="Data" id="1"/>
    <tableColumn name="Valor " id="2"/>
    <tableColumn name="Tipo" id="3"/>
    <tableColumn name="Funcionário" id="4"/>
  </tableColumns>
  <tableStyleInfo name="SETEMBRO 2025-style 6" showColumnStripes="0" showFirstColumn="1" showLastColumn="1" showRowStripes="1"/>
</table>
</file>

<file path=xl/tables/table37.xml><?xml version="1.0" encoding="utf-8"?>
<table xmlns="http://schemas.openxmlformats.org/spreadsheetml/2006/main" ref="S49:V63" displayName="Table_37" name="Table_37" id="37">
  <tableColumns count="4">
    <tableColumn name="Data" id="1"/>
    <tableColumn name="Valor " id="2"/>
    <tableColumn name="Tipo" id="3"/>
    <tableColumn name="Funcionário" id="4"/>
  </tableColumns>
  <tableStyleInfo name="SETEMBRO 2025-style 7" showColumnStripes="0" showFirstColumn="1" showLastColumn="1" showRowStripes="1"/>
</table>
</file>

<file path=xl/tables/table38.xml><?xml version="1.0" encoding="utf-8"?>
<table xmlns="http://schemas.openxmlformats.org/spreadsheetml/2006/main" ref="N69:Q88" displayName="Table_38" name="Table_38" id="38">
  <tableColumns count="4">
    <tableColumn name="Data" id="1"/>
    <tableColumn name="Valor " id="2"/>
    <tableColumn name="Tipo" id="3"/>
    <tableColumn name="Funcionário" id="4"/>
  </tableColumns>
  <tableStyleInfo name="SETEMBRO 2025-style 8" showColumnStripes="0" showFirstColumn="1" showLastColumn="1" showRowStripes="1"/>
</table>
</file>

<file path=xl/tables/table39.xml><?xml version="1.0" encoding="utf-8"?>
<table xmlns="http://schemas.openxmlformats.org/spreadsheetml/2006/main" ref="S69:V88" displayName="Table_39" name="Table_39" id="39">
  <tableColumns count="4">
    <tableColumn name="Data" id="1"/>
    <tableColumn name="Valor " id="2"/>
    <tableColumn name="Tipo" id="3"/>
    <tableColumn name="Funcionário" id="4"/>
  </tableColumns>
  <tableStyleInfo name="SETEMBRO 2025-style 9" showColumnStripes="0" showFirstColumn="1" showLastColumn="1" showRowStripes="1"/>
</table>
</file>

<file path=xl/tables/table40.xml><?xml version="1.0" encoding="utf-8"?>
<table xmlns="http://schemas.openxmlformats.org/spreadsheetml/2006/main" headerRowCount="0" ref="N96:S138" displayName="Table_40" name="Table_40" id="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EMBRO 202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ref="N4:Q18" displayName="Table_41" name="Table_41" id="41">
  <tableColumns count="4">
    <tableColumn name="Data" id="1"/>
    <tableColumn name="Valor " id="2"/>
    <tableColumn name="Tipo" id="3"/>
    <tableColumn name="Funcionário" id="4"/>
  </tableColumns>
  <tableStyleInfo name="OUTUBRO 2025-style" showColumnStripes="0" showFirstColumn="1" showLastColumn="1" showRowStripes="1"/>
</table>
</file>

<file path=xl/tables/table42.xml><?xml version="1.0" encoding="utf-8"?>
<table xmlns="http://schemas.openxmlformats.org/spreadsheetml/2006/main" ref="S4:V18" displayName="Table_42" name="Table_42" id="42">
  <tableColumns count="4">
    <tableColumn name="Data" id="1"/>
    <tableColumn name="Valor " id="2"/>
    <tableColumn name="Tipo" id="3"/>
    <tableColumn name="Funcionário" id="4"/>
  </tableColumns>
  <tableStyleInfo name="OUTUBRO 2025-style 2" showColumnStripes="0" showFirstColumn="1" showLastColumn="1" showRowStripes="1"/>
</table>
</file>

<file path=xl/tables/table43.xml><?xml version="1.0" encoding="utf-8"?>
<table xmlns="http://schemas.openxmlformats.org/spreadsheetml/2006/main" headerRowCount="0" ref="N20:Q34" displayName="Table_43" name="Table_43" id="43">
  <tableColumns count="4">
    <tableColumn name="Column1" id="1"/>
    <tableColumn name="Column2" id="2"/>
    <tableColumn name="Column3" id="3"/>
    <tableColumn name="Column4" id="4"/>
  </tableColumns>
  <tableStyleInfo name="OUTUBRO 202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ref="S20:V34" displayName="Table_44" name="Table_44" id="44">
  <tableColumns count="4">
    <tableColumn name="Data" id="1"/>
    <tableColumn name="Valor " id="2"/>
    <tableColumn name="Tipo" id="3"/>
    <tableColumn name="Funcionário" id="4"/>
  </tableColumns>
  <tableStyleInfo name="OUTUBRO 2025-style 4" showColumnStripes="0" showFirstColumn="1" showLastColumn="1" showRowStripes="1"/>
</table>
</file>

<file path=xl/tables/table45.xml><?xml version="1.0" encoding="utf-8"?>
<table xmlns="http://schemas.openxmlformats.org/spreadsheetml/2006/main" headerRowCount="0" ref="B29:L504" displayName="Table_45" name="Table_45" id="4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OUTUBR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ref="N49:Q63" displayName="Table_46" name="Table_46" id="46">
  <tableColumns count="4">
    <tableColumn name="Data" id="1"/>
    <tableColumn name="Valor " id="2"/>
    <tableColumn name="Tipo" id="3"/>
    <tableColumn name="Funcionário" id="4"/>
  </tableColumns>
  <tableStyleInfo name="OUTUBRO 2025-style 6" showColumnStripes="0" showFirstColumn="1" showLastColumn="1" showRowStripes="1"/>
</table>
</file>

<file path=xl/tables/table47.xml><?xml version="1.0" encoding="utf-8"?>
<table xmlns="http://schemas.openxmlformats.org/spreadsheetml/2006/main" ref="S49:V63" displayName="Table_47" name="Table_47" id="47">
  <tableColumns count="4">
    <tableColumn name="Data" id="1"/>
    <tableColumn name="Valor " id="2"/>
    <tableColumn name="Tipo" id="3"/>
    <tableColumn name="Funcionário" id="4"/>
  </tableColumns>
  <tableStyleInfo name="OUTUBRO 2025-style 7" showColumnStripes="0" showFirstColumn="1" showLastColumn="1" showRowStripes="1"/>
</table>
</file>

<file path=xl/tables/table48.xml><?xml version="1.0" encoding="utf-8"?>
<table xmlns="http://schemas.openxmlformats.org/spreadsheetml/2006/main" ref="N69:Q88" displayName="Table_48" name="Table_48" id="48">
  <tableColumns count="4">
    <tableColumn name="Data" id="1"/>
    <tableColumn name="Valor " id="2"/>
    <tableColumn name="Tipo" id="3"/>
    <tableColumn name="Funcionário" id="4"/>
  </tableColumns>
  <tableStyleInfo name="OUTUBRO 2025-style 8" showColumnStripes="0" showFirstColumn="1" showLastColumn="1" showRowStripes="1"/>
</table>
</file>

<file path=xl/tables/table49.xml><?xml version="1.0" encoding="utf-8"?>
<table xmlns="http://schemas.openxmlformats.org/spreadsheetml/2006/main" ref="S69:V88" displayName="Table_49" name="Table_49" id="49">
  <tableColumns count="4">
    <tableColumn name="Data" id="1"/>
    <tableColumn name="Valor " id="2"/>
    <tableColumn name="Tipo" id="3"/>
    <tableColumn name="Funcionário" id="4"/>
  </tableColumns>
  <tableStyleInfo name="OUTUBRO 2025-style 9" showColumnStripes="0" showFirstColumn="1" showLastColumn="1" showRowStripes="1"/>
</table>
</file>

<file path=xl/tables/table50.xml><?xml version="1.0" encoding="utf-8"?>
<table xmlns="http://schemas.openxmlformats.org/spreadsheetml/2006/main" headerRowCount="0" ref="N96:S138" displayName="Table_50" name="Table_50" id="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UTUBRO 2025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ref="O4:R18" displayName="Table_51" name="Table_51" id="51">
  <tableColumns count="4">
    <tableColumn name="Data" id="1"/>
    <tableColumn name="Valor " id="2"/>
    <tableColumn name="Tipo" id="3"/>
    <tableColumn name="Funcionário" id="4"/>
  </tableColumns>
  <tableStyleInfo name="NOVEMBRO 2025-style" showColumnStripes="0" showFirstColumn="1" showLastColumn="1" showRowStripes="1"/>
</table>
</file>

<file path=xl/tables/table52.xml><?xml version="1.0" encoding="utf-8"?>
<table xmlns="http://schemas.openxmlformats.org/spreadsheetml/2006/main" ref="T4:W18" displayName="Table_52" name="Table_52" id="52">
  <tableColumns count="4">
    <tableColumn name="Data" id="1"/>
    <tableColumn name="Valor " id="2"/>
    <tableColumn name="Tipo" id="3"/>
    <tableColumn name="Funcionário" id="4"/>
  </tableColumns>
  <tableStyleInfo name="NOVEMBRO 2025-style 2" showColumnStripes="0" showFirstColumn="1" showLastColumn="1" showRowStripes="1"/>
</table>
</file>

<file path=xl/tables/table53.xml><?xml version="1.0" encoding="utf-8"?>
<table xmlns="http://schemas.openxmlformats.org/spreadsheetml/2006/main" ref="O20:R34" displayName="Table_53" name="Table_53" id="53">
  <tableColumns count="4">
    <tableColumn name="Data" id="1"/>
    <tableColumn name="Valor " id="2"/>
    <tableColumn name="Tipo" id="3"/>
    <tableColumn name="Funcionário" id="4"/>
  </tableColumns>
  <tableStyleInfo name="NOVEMBRO 2025-style 3" showColumnStripes="0" showFirstColumn="1" showLastColumn="1" showRowStripes="1"/>
</table>
</file>

<file path=xl/tables/table54.xml><?xml version="1.0" encoding="utf-8"?>
<table xmlns="http://schemas.openxmlformats.org/spreadsheetml/2006/main" ref="T20:W34" displayName="Table_54" name="Table_54" id="54">
  <tableColumns count="4">
    <tableColumn name="Data" id="1"/>
    <tableColumn name="Valor " id="2"/>
    <tableColumn name="Tipo" id="3"/>
    <tableColumn name="Funcionário" id="4"/>
  </tableColumns>
  <tableStyleInfo name="NOVEMBRO 2025-style 4" showColumnStripes="0" showFirstColumn="1" showLastColumn="1" showRowStripes="1"/>
</table>
</file>

<file path=xl/tables/table55.xml><?xml version="1.0" encoding="utf-8"?>
<table xmlns="http://schemas.openxmlformats.org/spreadsheetml/2006/main" headerRowCount="0" ref="B29:M507" displayName="Table_55" name="Table_55" id="5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NOVEMBR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ref="O38:R52" displayName="Table_56" name="Table_56" id="56">
  <tableColumns count="4">
    <tableColumn name="Data" id="1"/>
    <tableColumn name="Valor " id="2"/>
    <tableColumn name="Tipo" id="3"/>
    <tableColumn name="Funcionário" id="4"/>
  </tableColumns>
  <tableStyleInfo name="NOVEMBRO 2025-style 6" showColumnStripes="0" showFirstColumn="1" showLastColumn="1" showRowStripes="1"/>
</table>
</file>

<file path=xl/tables/table57.xml><?xml version="1.0" encoding="utf-8"?>
<table xmlns="http://schemas.openxmlformats.org/spreadsheetml/2006/main" ref="T38:W52" displayName="Table_57" name="Table_57" id="57">
  <tableColumns count="4">
    <tableColumn name="Data" id="1"/>
    <tableColumn name="Valor " id="2"/>
    <tableColumn name="Tipo" id="3"/>
    <tableColumn name="Funcionário" id="4"/>
  </tableColumns>
  <tableStyleInfo name="NOVEMBRO 2025-style 7" showColumnStripes="0" showFirstColumn="1" showLastColumn="1" showRowStripes="1"/>
</table>
</file>

<file path=xl/tables/table58.xml><?xml version="1.0" encoding="utf-8"?>
<table xmlns="http://schemas.openxmlformats.org/spreadsheetml/2006/main" headerRowCount="0" ref="U58:W77" displayName="Table_58" name="Table_58" id="58">
  <tableColumns count="3">
    <tableColumn name="Column1" id="1"/>
    <tableColumn name="Column2" id="2"/>
    <tableColumn name="Column3" id="3"/>
  </tableColumns>
  <tableStyleInfo name="NOVEMBRO 2025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headerRowCount="0" ref="O62:T104" displayName="Table_59" name="Table_59" id="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OVEMBRO 2025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ref="O4:R18" displayName="Table_60" name="Table_60" id="60">
  <tableColumns count="4">
    <tableColumn name="Data" id="1"/>
    <tableColumn name="Valor " id="2"/>
    <tableColumn name="Tipo" id="3"/>
    <tableColumn name="Funcionário" id="4"/>
  </tableColumns>
  <tableStyleInfo name="DEZEMBRO 2025-style" showColumnStripes="0" showFirstColumn="1" showLastColumn="1" showRowStripes="1"/>
</table>
</file>

<file path=xl/tables/table61.xml><?xml version="1.0" encoding="utf-8"?>
<table xmlns="http://schemas.openxmlformats.org/spreadsheetml/2006/main" ref="T4:W18" displayName="Table_61" name="Table_61" id="61">
  <tableColumns count="4">
    <tableColumn name="Data" id="1"/>
    <tableColumn name="Valor " id="2"/>
    <tableColumn name="Tipo" id="3"/>
    <tableColumn name="Funcionário" id="4"/>
  </tableColumns>
  <tableStyleInfo name="DEZEMBRO 2025-style 2" showColumnStripes="0" showFirstColumn="1" showLastColumn="1" showRowStripes="1"/>
</table>
</file>

<file path=xl/tables/table62.xml><?xml version="1.0" encoding="utf-8"?>
<table xmlns="http://schemas.openxmlformats.org/spreadsheetml/2006/main" ref="O20:R34" displayName="Table_62" name="Table_62" id="62">
  <tableColumns count="4">
    <tableColumn name="Data" id="1"/>
    <tableColumn name="Valor " id="2"/>
    <tableColumn name="Tipo" id="3"/>
    <tableColumn name="Funcionário" id="4"/>
  </tableColumns>
  <tableStyleInfo name="DEZEMBRO 2025-style 3" showColumnStripes="0" showFirstColumn="1" showLastColumn="1" showRowStripes="1"/>
</table>
</file>

<file path=xl/tables/table63.xml><?xml version="1.0" encoding="utf-8"?>
<table xmlns="http://schemas.openxmlformats.org/spreadsheetml/2006/main" ref="T20:W34" displayName="Table_63" name="Table_63" id="63">
  <tableColumns count="4">
    <tableColumn name="Data" id="1"/>
    <tableColumn name="Valor " id="2"/>
    <tableColumn name="Tipo" id="3"/>
    <tableColumn name="Funcionário" id="4"/>
  </tableColumns>
  <tableStyleInfo name="DEZEMBRO 2025-style 4" showColumnStripes="0" showFirstColumn="1" showLastColumn="1" showRowStripes="1"/>
</table>
</file>

<file path=xl/tables/table64.xml><?xml version="1.0" encoding="utf-8"?>
<table xmlns="http://schemas.openxmlformats.org/spreadsheetml/2006/main" headerRowCount="0" ref="B29:M507" displayName="Table_64" name="Table_64" id="6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EZEMBRO 20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ref="O38:R52" displayName="Table_65" name="Table_65" id="65">
  <tableColumns count="4">
    <tableColumn name="Data" id="1"/>
    <tableColumn name="Valor " id="2"/>
    <tableColumn name="Tipo" id="3"/>
    <tableColumn name="Funcionário" id="4"/>
  </tableColumns>
  <tableStyleInfo name="DEZEMBRO 2025-style 6" showColumnStripes="0" showFirstColumn="1" showLastColumn="1" showRowStripes="1"/>
</table>
</file>

<file path=xl/tables/table66.xml><?xml version="1.0" encoding="utf-8"?>
<table xmlns="http://schemas.openxmlformats.org/spreadsheetml/2006/main" ref="T38:W52" displayName="Table_66" name="Table_66" id="66">
  <tableColumns count="4">
    <tableColumn name="Data" id="1"/>
    <tableColumn name="Valor " id="2"/>
    <tableColumn name="Tipo" id="3"/>
    <tableColumn name="Funcionário" id="4"/>
  </tableColumns>
  <tableStyleInfo name="DEZEMBRO 2025-style 7" showColumnStripes="0" showFirstColumn="1" showLastColumn="1" showRowStripes="1"/>
</table>
</file>

<file path=xl/tables/table67.xml><?xml version="1.0" encoding="utf-8"?>
<table xmlns="http://schemas.openxmlformats.org/spreadsheetml/2006/main" headerRowCount="0" ref="U58:W77" displayName="Table_67" name="Table_67" id="67">
  <tableColumns count="3">
    <tableColumn name="Column1" id="1"/>
    <tableColumn name="Column2" id="2"/>
    <tableColumn name="Column3" id="3"/>
  </tableColumns>
  <tableStyleInfo name="DEZEMBRO 2025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8.xml><?xml version="1.0" encoding="utf-8"?>
<table xmlns="http://schemas.openxmlformats.org/spreadsheetml/2006/main" headerRowCount="0" ref="O62:T104" displayName="Table_68" name="Table_68" id="6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ZEMBRO 2025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9.xml><?xml version="1.0" encoding="utf-8"?>
<table xmlns="http://schemas.openxmlformats.org/spreadsheetml/2006/main" ref="O4:R18" displayName="Table_69" name="Table_69" id="69">
  <tableColumns count="4">
    <tableColumn name="Data" id="1"/>
    <tableColumn name="Valor " id="2"/>
    <tableColumn name="Tipo" id="3"/>
    <tableColumn name="Funcionário" id="4"/>
  </tableColumns>
  <tableStyleInfo name="JANEIRO 2026-style" showColumnStripes="0" showFirstColumn="1" showLastColumn="1" showRowStripes="1"/>
</table>
</file>

<file path=xl/tables/table70.xml><?xml version="1.0" encoding="utf-8"?>
<table xmlns="http://schemas.openxmlformats.org/spreadsheetml/2006/main" ref="T4:W18" displayName="Table_70" name="Table_70" id="70">
  <tableColumns count="4">
    <tableColumn name="Data" id="1"/>
    <tableColumn name="Valor " id="2"/>
    <tableColumn name="Tipo" id="3"/>
    <tableColumn name="Funcionário" id="4"/>
  </tableColumns>
  <tableStyleInfo name="JANEIRO 2026-style 2" showColumnStripes="0" showFirstColumn="1" showLastColumn="1" showRowStripes="1"/>
</table>
</file>

<file path=xl/tables/table71.xml><?xml version="1.0" encoding="utf-8"?>
<table xmlns="http://schemas.openxmlformats.org/spreadsheetml/2006/main" ref="O20:R34" displayName="Table_71" name="Table_71" id="71">
  <tableColumns count="4">
    <tableColumn name="Data" id="1"/>
    <tableColumn name="Valor " id="2"/>
    <tableColumn name="Tipo" id="3"/>
    <tableColumn name="Funcionário" id="4"/>
  </tableColumns>
  <tableStyleInfo name="JANEIRO 2026-style 3" showColumnStripes="0" showFirstColumn="1" showLastColumn="1" showRowStripes="1"/>
</table>
</file>

<file path=xl/tables/table72.xml><?xml version="1.0" encoding="utf-8"?>
<table xmlns="http://schemas.openxmlformats.org/spreadsheetml/2006/main" ref="T20:W34" displayName="Table_72" name="Table_72" id="72">
  <tableColumns count="4">
    <tableColumn name="Data" id="1"/>
    <tableColumn name="Valor " id="2"/>
    <tableColumn name="Tipo" id="3"/>
    <tableColumn name="Funcionário" id="4"/>
  </tableColumns>
  <tableStyleInfo name="JANEIRO 2026-style 4" showColumnStripes="0" showFirstColumn="1" showLastColumn="1" showRowStripes="1"/>
</table>
</file>

<file path=xl/tables/table73.xml><?xml version="1.0" encoding="utf-8"?>
<table xmlns="http://schemas.openxmlformats.org/spreadsheetml/2006/main" headerRowCount="0" ref="B29:M507" displayName="Table_73" name="Table_73" id="7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ANEIR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ref="O38:R52" displayName="Table_74" name="Table_74" id="74">
  <tableColumns count="4">
    <tableColumn name="Data" id="1"/>
    <tableColumn name="Valor " id="2"/>
    <tableColumn name="Tipo" id="3"/>
    <tableColumn name="Funcionário" id="4"/>
  </tableColumns>
  <tableStyleInfo name="JANEIRO 2026-style 6" showColumnStripes="0" showFirstColumn="1" showLastColumn="1" showRowStripes="1"/>
</table>
</file>

<file path=xl/tables/table75.xml><?xml version="1.0" encoding="utf-8"?>
<table xmlns="http://schemas.openxmlformats.org/spreadsheetml/2006/main" ref="T38:W52" displayName="Table_75" name="Table_75" id="75">
  <tableColumns count="4">
    <tableColumn name="Data" id="1"/>
    <tableColumn name="Valor " id="2"/>
    <tableColumn name="Tipo" id="3"/>
    <tableColumn name="Funcionário" id="4"/>
  </tableColumns>
  <tableStyleInfo name="JANEIRO 2026-style 7" showColumnStripes="0" showFirstColumn="1" showLastColumn="1" showRowStripes="1"/>
</table>
</file>

<file path=xl/tables/table76.xml><?xml version="1.0" encoding="utf-8"?>
<table xmlns="http://schemas.openxmlformats.org/spreadsheetml/2006/main" headerRowCount="0" ref="U58:W77" displayName="Table_76" name="Table_76" id="76">
  <tableColumns count="3">
    <tableColumn name="Column1" id="1"/>
    <tableColumn name="Column2" id="2"/>
    <tableColumn name="Column3" id="3"/>
  </tableColumns>
  <tableStyleInfo name="JANEIRO 202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7.xml><?xml version="1.0" encoding="utf-8"?>
<table xmlns="http://schemas.openxmlformats.org/spreadsheetml/2006/main" headerRowCount="0" ref="O62:T104" displayName="Table_77" name="Table_77" id="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ANEIRO 2026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8.xml><?xml version="1.0" encoding="utf-8"?>
<table xmlns="http://schemas.openxmlformats.org/spreadsheetml/2006/main" ref="O4:R18" displayName="Table_78" name="Table_78" id="78">
  <tableColumns count="4">
    <tableColumn name="Data" id="1"/>
    <tableColumn name="Valor " id="2"/>
    <tableColumn name="Tipo" id="3"/>
    <tableColumn name="Funcionário" id="4"/>
  </tableColumns>
  <tableStyleInfo name="FEVEREIRO 2026-style" showColumnStripes="0" showFirstColumn="1" showLastColumn="1" showRowStripes="1"/>
</table>
</file>

<file path=xl/tables/table79.xml><?xml version="1.0" encoding="utf-8"?>
<table xmlns="http://schemas.openxmlformats.org/spreadsheetml/2006/main" ref="T4:W18" displayName="Table_79" name="Table_79" id="79">
  <tableColumns count="4">
    <tableColumn name="Data" id="1"/>
    <tableColumn name="Valor " id="2"/>
    <tableColumn name="Tipo" id="3"/>
    <tableColumn name="Funcionário" id="4"/>
  </tableColumns>
  <tableStyleInfo name="FEVEREIRO 2026-style 2" showColumnStripes="0" showFirstColumn="1" showLastColumn="1" showRowStripes="1"/>
</table>
</file>

<file path=xl/tables/table80.xml><?xml version="1.0" encoding="utf-8"?>
<table xmlns="http://schemas.openxmlformats.org/spreadsheetml/2006/main" ref="O20:R34" displayName="Table_80" name="Table_80" id="80">
  <tableColumns count="4">
    <tableColumn name="Data" id="1"/>
    <tableColumn name="Valor " id="2"/>
    <tableColumn name="Tipo" id="3"/>
    <tableColumn name="Funcionário" id="4"/>
  </tableColumns>
  <tableStyleInfo name="FEVEREIRO 2026-style 3" showColumnStripes="0" showFirstColumn="1" showLastColumn="1" showRowStripes="1"/>
</table>
</file>

<file path=xl/tables/table81.xml><?xml version="1.0" encoding="utf-8"?>
<table xmlns="http://schemas.openxmlformats.org/spreadsheetml/2006/main" ref="T20:W34" displayName="Table_81" name="Table_81" id="81">
  <tableColumns count="4">
    <tableColumn name="Data" id="1"/>
    <tableColumn name="Valor " id="2"/>
    <tableColumn name="Tipo" id="3"/>
    <tableColumn name="Funcionário" id="4"/>
  </tableColumns>
  <tableStyleInfo name="FEVEREIRO 2026-style 4" showColumnStripes="0" showFirstColumn="1" showLastColumn="1" showRowStripes="1"/>
</table>
</file>

<file path=xl/tables/table82.xml><?xml version="1.0" encoding="utf-8"?>
<table xmlns="http://schemas.openxmlformats.org/spreadsheetml/2006/main" headerRowCount="0" ref="B29:M507" displayName="Table_82" name="Table_82" id="8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EVEREIR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3.xml><?xml version="1.0" encoding="utf-8"?>
<table xmlns="http://schemas.openxmlformats.org/spreadsheetml/2006/main" ref="O38:R52" displayName="Table_83" name="Table_83" id="83">
  <tableColumns count="4">
    <tableColumn name="Data" id="1"/>
    <tableColumn name="Valor " id="2"/>
    <tableColumn name="Tipo" id="3"/>
    <tableColumn name="Funcionário" id="4"/>
  </tableColumns>
  <tableStyleInfo name="FEVEREIRO 2026-style 6" showColumnStripes="0" showFirstColumn="1" showLastColumn="1" showRowStripes="1"/>
</table>
</file>

<file path=xl/tables/table84.xml><?xml version="1.0" encoding="utf-8"?>
<table xmlns="http://schemas.openxmlformats.org/spreadsheetml/2006/main" ref="T38:W52" displayName="Table_84" name="Table_84" id="84">
  <tableColumns count="4">
    <tableColumn name="Data" id="1"/>
    <tableColumn name="Valor " id="2"/>
    <tableColumn name="Tipo" id="3"/>
    <tableColumn name="Funcionário" id="4"/>
  </tableColumns>
  <tableStyleInfo name="FEVEREIRO 2026-style 7" showColumnStripes="0" showFirstColumn="1" showLastColumn="1" showRowStripes="1"/>
</table>
</file>

<file path=xl/tables/table85.xml><?xml version="1.0" encoding="utf-8"?>
<table xmlns="http://schemas.openxmlformats.org/spreadsheetml/2006/main" headerRowCount="0" ref="U58:W77" displayName="Table_85" name="Table_85" id="85">
  <tableColumns count="3">
    <tableColumn name="Column1" id="1"/>
    <tableColumn name="Column2" id="2"/>
    <tableColumn name="Column3" id="3"/>
  </tableColumns>
  <tableStyleInfo name="FEVEREIRO 202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headerRowCount="0" ref="O62:T104" displayName="Table_86" name="Table_86" id="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EVEREIRO 2026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ref="O4:R18" displayName="Table_87" name="Table_87" id="87">
  <tableColumns count="4">
    <tableColumn name="Data" id="1"/>
    <tableColumn name="Valor " id="2"/>
    <tableColumn name="Tipo" id="3"/>
    <tableColumn name="Funcionário" id="4"/>
  </tableColumns>
  <tableStyleInfo name="MARÇO 2026-style" showColumnStripes="0" showFirstColumn="1" showLastColumn="1" showRowStripes="1"/>
</table>
</file>

<file path=xl/tables/table88.xml><?xml version="1.0" encoding="utf-8"?>
<table xmlns="http://schemas.openxmlformats.org/spreadsheetml/2006/main" ref="T4:W18" displayName="Table_88" name="Table_88" id="88">
  <tableColumns count="4">
    <tableColumn name="Data" id="1"/>
    <tableColumn name="Valor " id="2"/>
    <tableColumn name="Tipo" id="3"/>
    <tableColumn name="Funcionário" id="4"/>
  </tableColumns>
  <tableStyleInfo name="MARÇO 2026-style 2" showColumnStripes="0" showFirstColumn="1" showLastColumn="1" showRowStripes="1"/>
</table>
</file>

<file path=xl/tables/table89.xml><?xml version="1.0" encoding="utf-8"?>
<table xmlns="http://schemas.openxmlformats.org/spreadsheetml/2006/main" ref="O20:R34" displayName="Table_89" name="Table_89" id="89">
  <tableColumns count="4">
    <tableColumn name="Data" id="1"/>
    <tableColumn name="Valor " id="2"/>
    <tableColumn name="Tipo" id="3"/>
    <tableColumn name="Funcionário" id="4"/>
  </tableColumns>
  <tableStyleInfo name="MARÇO 2026-style 3" showColumnStripes="0" showFirstColumn="1" showLastColumn="1" showRowStripes="1"/>
</table>
</file>

<file path=xl/tables/table90.xml><?xml version="1.0" encoding="utf-8"?>
<table xmlns="http://schemas.openxmlformats.org/spreadsheetml/2006/main" ref="T20:W34" displayName="Table_90" name="Table_90" id="90">
  <tableColumns count="4">
    <tableColumn name="Data" id="1"/>
    <tableColumn name="Valor " id="2"/>
    <tableColumn name="Tipo" id="3"/>
    <tableColumn name="Funcionário" id="4"/>
  </tableColumns>
  <tableStyleInfo name="MARÇO 2026-style 4" showColumnStripes="0" showFirstColumn="1" showLastColumn="1" showRowStripes="1"/>
</table>
</file>

<file path=xl/tables/table91.xml><?xml version="1.0" encoding="utf-8"?>
<table xmlns="http://schemas.openxmlformats.org/spreadsheetml/2006/main" headerRowCount="0" ref="B29:M507" displayName="Table_91" name="Table_91" id="9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RÇ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2.xml><?xml version="1.0" encoding="utf-8"?>
<table xmlns="http://schemas.openxmlformats.org/spreadsheetml/2006/main" ref="O38:R52" displayName="Table_92" name="Table_92" id="92">
  <tableColumns count="4">
    <tableColumn name="Data" id="1"/>
    <tableColumn name="Valor " id="2"/>
    <tableColumn name="Tipo" id="3"/>
    <tableColumn name="Funcionário" id="4"/>
  </tableColumns>
  <tableStyleInfo name="MARÇO 2026-style 6" showColumnStripes="0" showFirstColumn="1" showLastColumn="1" showRowStripes="1"/>
</table>
</file>

<file path=xl/tables/table93.xml><?xml version="1.0" encoding="utf-8"?>
<table xmlns="http://schemas.openxmlformats.org/spreadsheetml/2006/main" ref="T38:W52" displayName="Table_93" name="Table_93" id="93">
  <tableColumns count="4">
    <tableColumn name="Data" id="1"/>
    <tableColumn name="Valor " id="2"/>
    <tableColumn name="Tipo" id="3"/>
    <tableColumn name="Funcionário" id="4"/>
  </tableColumns>
  <tableStyleInfo name="MARÇO 2026-style 7" showColumnStripes="0" showFirstColumn="1" showLastColumn="1" showRowStripes="1"/>
</table>
</file>

<file path=xl/tables/table94.xml><?xml version="1.0" encoding="utf-8"?>
<table xmlns="http://schemas.openxmlformats.org/spreadsheetml/2006/main" headerRowCount="0" ref="U58:W77" displayName="Table_94" name="Table_94" id="94">
  <tableColumns count="3">
    <tableColumn name="Column1" id="1"/>
    <tableColumn name="Column2" id="2"/>
    <tableColumn name="Column3" id="3"/>
  </tableColumns>
  <tableStyleInfo name="MARÇO 202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headerRowCount="0" ref="O62:T104" displayName="Table_95" name="Table_95" id="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RÇO 2026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6.xml><?xml version="1.0" encoding="utf-8"?>
<table xmlns="http://schemas.openxmlformats.org/spreadsheetml/2006/main" ref="O4:R18" displayName="Table_96" name="Table_96" id="96">
  <tableColumns count="4">
    <tableColumn name="Data" id="1"/>
    <tableColumn name="Valor " id="2"/>
    <tableColumn name="Tipo" id="3"/>
    <tableColumn name="Funcionário" id="4"/>
  </tableColumns>
  <tableStyleInfo name="ABRIL 2026-style" showColumnStripes="0" showFirstColumn="1" showLastColumn="1" showRowStripes="1"/>
</table>
</file>

<file path=xl/tables/table97.xml><?xml version="1.0" encoding="utf-8"?>
<table xmlns="http://schemas.openxmlformats.org/spreadsheetml/2006/main" ref="T4:W18" displayName="Table_97" name="Table_97" id="97">
  <tableColumns count="4">
    <tableColumn name="Data" id="1"/>
    <tableColumn name="Valor " id="2"/>
    <tableColumn name="Tipo" id="3"/>
    <tableColumn name="Funcionário" id="4"/>
  </tableColumns>
  <tableStyleInfo name="ABRIL 2026-style 2" showColumnStripes="0" showFirstColumn="1" showLastColumn="1" showRowStripes="1"/>
</table>
</file>

<file path=xl/tables/table98.xml><?xml version="1.0" encoding="utf-8"?>
<table xmlns="http://schemas.openxmlformats.org/spreadsheetml/2006/main" headerRowCount="0" ref="O20:R34" displayName="Table_98" name="Table_98" id="98">
  <tableColumns count="4">
    <tableColumn name="Column1" id="1"/>
    <tableColumn name="Column2" id="2"/>
    <tableColumn name="Column3" id="3"/>
    <tableColumn name="Column4" id="4"/>
  </tableColumns>
  <tableStyleInfo name="ABRIL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9.xml><?xml version="1.0" encoding="utf-8"?>
<table xmlns="http://schemas.openxmlformats.org/spreadsheetml/2006/main" ref="T20:W34" displayName="Table_99" name="Table_99" id="99">
  <tableColumns count="4">
    <tableColumn name="Data" id="1"/>
    <tableColumn name="Valor " id="2"/>
    <tableColumn name="Tipo" id="3"/>
    <tableColumn name="Funcionário" id="4"/>
  </tableColumns>
  <tableStyleInfo name="ABRIL 2026-style 4" showColumnStripes="0" showFirstColumn="1" showLastColumn="1" showRowStripes="1"/>
</table>
</file>

<file path=xl/tables/table100.xml><?xml version="1.0" encoding="utf-8"?>
<table xmlns="http://schemas.openxmlformats.org/spreadsheetml/2006/main" headerRowCount="0" ref="B29:M507" displayName="Table_100" name="Table_100" id="10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BRIL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1.xml><?xml version="1.0" encoding="utf-8"?>
<table xmlns="http://schemas.openxmlformats.org/spreadsheetml/2006/main" ref="O38:R52" displayName="Table_101" name="Table_101" id="101">
  <tableColumns count="4">
    <tableColumn name="Data" id="1"/>
    <tableColumn name="Valor " id="2"/>
    <tableColumn name="Tipo" id="3"/>
    <tableColumn name="Funcionário" id="4"/>
  </tableColumns>
  <tableStyleInfo name="ABRIL 2026-style 6" showColumnStripes="0" showFirstColumn="1" showLastColumn="1" showRowStripes="1"/>
</table>
</file>

<file path=xl/tables/table102.xml><?xml version="1.0" encoding="utf-8"?>
<table xmlns="http://schemas.openxmlformats.org/spreadsheetml/2006/main" ref="T38:W52" displayName="Table_102" name="Table_102" id="102">
  <tableColumns count="4">
    <tableColumn name="Data" id="1"/>
    <tableColumn name="Valor " id="2"/>
    <tableColumn name="Tipo" id="3"/>
    <tableColumn name="Funcionário" id="4"/>
  </tableColumns>
  <tableStyleInfo name="ABRIL 2026-style 7" showColumnStripes="0" showFirstColumn="1" showLastColumn="1" showRowStripes="1"/>
</table>
</file>

<file path=xl/tables/table103.xml><?xml version="1.0" encoding="utf-8"?>
<table xmlns="http://schemas.openxmlformats.org/spreadsheetml/2006/main" headerRowCount="0" ref="U58:W77" displayName="Table_103" name="Table_103" id="103">
  <tableColumns count="3">
    <tableColumn name="Column1" id="1"/>
    <tableColumn name="Column2" id="2"/>
    <tableColumn name="Column3" id="3"/>
  </tableColumns>
  <tableStyleInfo name="ABRIL 202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4.xml><?xml version="1.0" encoding="utf-8"?>
<table xmlns="http://schemas.openxmlformats.org/spreadsheetml/2006/main" headerRowCount="0" ref="O62:T104" displayName="Table_104" name="Table_104" id="1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BRIL 2026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5.xml><?xml version="1.0" encoding="utf-8"?>
<table xmlns="http://schemas.openxmlformats.org/spreadsheetml/2006/main" ref="O4:R18" displayName="Table_105" name="Table_105" id="105">
  <tableColumns count="4">
    <tableColumn name="Data" id="1"/>
    <tableColumn name="Valor " id="2"/>
    <tableColumn name="Tipo" id="3"/>
    <tableColumn name="Funcionário" id="4"/>
  </tableColumns>
  <tableStyleInfo name="MAIO 2026-style" showColumnStripes="0" showFirstColumn="1" showLastColumn="1" showRowStripes="1"/>
</table>
</file>

<file path=xl/tables/table106.xml><?xml version="1.0" encoding="utf-8"?>
<table xmlns="http://schemas.openxmlformats.org/spreadsheetml/2006/main" ref="T4:W18" displayName="Table_106" name="Table_106" id="106">
  <tableColumns count="4">
    <tableColumn name="Data" id="1"/>
    <tableColumn name="Valor " id="2"/>
    <tableColumn name="Tipo" id="3"/>
    <tableColumn name="Funcionário" id="4"/>
  </tableColumns>
  <tableStyleInfo name="MAIO 2026-style 2" showColumnStripes="0" showFirstColumn="1" showLastColumn="1" showRowStripes="1"/>
</table>
</file>

<file path=xl/tables/table107.xml><?xml version="1.0" encoding="utf-8"?>
<table xmlns="http://schemas.openxmlformats.org/spreadsheetml/2006/main" ref="O20:R34" displayName="Table_107" name="Table_107" id="107">
  <tableColumns count="4">
    <tableColumn name="Data" id="1"/>
    <tableColumn name="Valor " id="2"/>
    <tableColumn name="Tipo" id="3"/>
    <tableColumn name="Funcionário" id="4"/>
  </tableColumns>
  <tableStyleInfo name="MAIO 2026-style 3" showColumnStripes="0" showFirstColumn="1" showLastColumn="1" showRowStripes="1"/>
</table>
</file>

<file path=xl/tables/table108.xml><?xml version="1.0" encoding="utf-8"?>
<table xmlns="http://schemas.openxmlformats.org/spreadsheetml/2006/main" ref="T20:W34" displayName="Table_108" name="Table_108" id="108">
  <tableColumns count="4">
    <tableColumn name="Data" id="1"/>
    <tableColumn name="Valor " id="2"/>
    <tableColumn name="Tipo" id="3"/>
    <tableColumn name="Funcionário" id="4"/>
  </tableColumns>
  <tableStyleInfo name="MAIO 2026-style 4" showColumnStripes="0" showFirstColumn="1" showLastColumn="1" showRowStripes="1"/>
</table>
</file>

<file path=xl/tables/table109.xml><?xml version="1.0" encoding="utf-8"?>
<table xmlns="http://schemas.openxmlformats.org/spreadsheetml/2006/main" headerRowCount="0" ref="B29:M507" displayName="Table_109" name="Table_109" id="10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I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0.xml><?xml version="1.0" encoding="utf-8"?>
<table xmlns="http://schemas.openxmlformats.org/spreadsheetml/2006/main" ref="O38:R52" displayName="Table_110" name="Table_110" id="110">
  <tableColumns count="4">
    <tableColumn name="Data" id="1"/>
    <tableColumn name="Valor " id="2"/>
    <tableColumn name="Tipo" id="3"/>
    <tableColumn name="Funcionário" id="4"/>
  </tableColumns>
  <tableStyleInfo name="MAIO 2026-style 6" showColumnStripes="0" showFirstColumn="1" showLastColumn="1" showRowStripes="1"/>
</table>
</file>

<file path=xl/tables/table111.xml><?xml version="1.0" encoding="utf-8"?>
<table xmlns="http://schemas.openxmlformats.org/spreadsheetml/2006/main" ref="T38:W52" displayName="Table_111" name="Table_111" id="111">
  <tableColumns count="4">
    <tableColumn name="Data" id="1"/>
    <tableColumn name="Valor " id="2"/>
    <tableColumn name="Tipo" id="3"/>
    <tableColumn name="Funcionário" id="4"/>
  </tableColumns>
  <tableStyleInfo name="MAIO 2026-style 7" showColumnStripes="0" showFirstColumn="1" showLastColumn="1" showRowStripes="1"/>
</table>
</file>

<file path=xl/tables/table112.xml><?xml version="1.0" encoding="utf-8"?>
<table xmlns="http://schemas.openxmlformats.org/spreadsheetml/2006/main" headerRowCount="0" ref="U58:W77" displayName="Table_112" name="Table_112" id="112">
  <tableColumns count="3">
    <tableColumn name="Column1" id="1"/>
    <tableColumn name="Column2" id="2"/>
    <tableColumn name="Column3" id="3"/>
  </tableColumns>
  <tableStyleInfo name="MAIO 202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3.xml><?xml version="1.0" encoding="utf-8"?>
<table xmlns="http://schemas.openxmlformats.org/spreadsheetml/2006/main" headerRowCount="0" ref="O62:T104" displayName="Table_113" name="Table_113" id="1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IO 2026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4.xml><?xml version="1.0" encoding="utf-8"?>
<table xmlns="http://schemas.openxmlformats.org/spreadsheetml/2006/main" ref="O4:R18" displayName="Table_114" name="Table_114" id="114">
  <tableColumns count="4">
    <tableColumn name="Data" id="1"/>
    <tableColumn name="Valor " id="2"/>
    <tableColumn name="Tipo" id="3"/>
    <tableColumn name="Funcionário" id="4"/>
  </tableColumns>
  <tableStyleInfo name="JUNHO 2026-style" showColumnStripes="0" showFirstColumn="1" showLastColumn="1" showRowStripes="1"/>
</table>
</file>

<file path=xl/tables/table115.xml><?xml version="1.0" encoding="utf-8"?>
<table xmlns="http://schemas.openxmlformats.org/spreadsheetml/2006/main" ref="T4:W18" displayName="Table_115" name="Table_115" id="115">
  <tableColumns count="4">
    <tableColumn name="Data" id="1"/>
    <tableColumn name="Valor " id="2"/>
    <tableColumn name="Tipo" id="3"/>
    <tableColumn name="Funcionário" id="4"/>
  </tableColumns>
  <tableStyleInfo name="JUNHO 2026-style 2" showColumnStripes="0" showFirstColumn="1" showLastColumn="1" showRowStripes="1"/>
</table>
</file>

<file path=xl/tables/table116.xml><?xml version="1.0" encoding="utf-8"?>
<table xmlns="http://schemas.openxmlformats.org/spreadsheetml/2006/main" ref="O20:R34" displayName="Table_116" name="Table_116" id="116">
  <tableColumns count="4">
    <tableColumn name="Data" id="1"/>
    <tableColumn name="Valor " id="2"/>
    <tableColumn name="Tipo" id="3"/>
    <tableColumn name="Funcionário" id="4"/>
  </tableColumns>
  <tableStyleInfo name="JUNHO 2026-style 3" showColumnStripes="0" showFirstColumn="1" showLastColumn="1" showRowStripes="1"/>
</table>
</file>

<file path=xl/tables/table117.xml><?xml version="1.0" encoding="utf-8"?>
<table xmlns="http://schemas.openxmlformats.org/spreadsheetml/2006/main" ref="T20:W34" displayName="Table_117" name="Table_117" id="117">
  <tableColumns count="4">
    <tableColumn name="Data" id="1"/>
    <tableColumn name="Valor " id="2"/>
    <tableColumn name="Tipo" id="3"/>
    <tableColumn name="Funcionário" id="4"/>
  </tableColumns>
  <tableStyleInfo name="JUNHO 2026-style 4" showColumnStripes="0" showFirstColumn="1" showLastColumn="1" showRowStripes="1"/>
</table>
</file>

<file path=xl/tables/table118.xml><?xml version="1.0" encoding="utf-8"?>
<table xmlns="http://schemas.openxmlformats.org/spreadsheetml/2006/main" headerRowCount="0" ref="B29:M507" displayName="Table_118" name="Table_118" id="1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UNHO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9.xml><?xml version="1.0" encoding="utf-8"?>
<table xmlns="http://schemas.openxmlformats.org/spreadsheetml/2006/main" ref="O38:R52" displayName="Table_119" name="Table_119" id="119">
  <tableColumns count="4">
    <tableColumn name="Data" id="1"/>
    <tableColumn name="Valor " id="2"/>
    <tableColumn name="Tipo" id="3"/>
    <tableColumn name="Funcionário" id="4"/>
  </tableColumns>
  <tableStyleInfo name="JUNHO 2026-style 6" showColumnStripes="0" showFirstColumn="1" showLastColumn="1" showRowStripes="1"/>
</table>
</file>

<file path=xl/tables/table120.xml><?xml version="1.0" encoding="utf-8"?>
<table xmlns="http://schemas.openxmlformats.org/spreadsheetml/2006/main" ref="T38:W52" displayName="Table_120" name="Table_120" id="120">
  <tableColumns count="4">
    <tableColumn name="Data" id="1"/>
    <tableColumn name="Valor " id="2"/>
    <tableColumn name="Tipo" id="3"/>
    <tableColumn name="Funcionário" id="4"/>
  </tableColumns>
  <tableStyleInfo name="JUNHO 2026-style 7" showColumnStripes="0" showFirstColumn="1" showLastColumn="1" showRowStripes="1"/>
</table>
</file>

<file path=xl/tables/table121.xml><?xml version="1.0" encoding="utf-8"?>
<table xmlns="http://schemas.openxmlformats.org/spreadsheetml/2006/main" headerRowCount="0" ref="U58:W77" displayName="Table_121" name="Table_121" id="121">
  <tableColumns count="3">
    <tableColumn name="Column1" id="1"/>
    <tableColumn name="Column2" id="2"/>
    <tableColumn name="Column3" id="3"/>
  </tableColumns>
  <tableStyleInfo name="JUNHO 202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2.xml><?xml version="1.0" encoding="utf-8"?>
<table xmlns="http://schemas.openxmlformats.org/spreadsheetml/2006/main" headerRowCount="0" ref="O62:T104" displayName="Table_122" name="Table_122" id="1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HO 2026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0" Type="http://schemas.openxmlformats.org/officeDocument/2006/relationships/table" Target="../tables/table29.xml"/><Relationship Id="rId21" Type="http://schemas.openxmlformats.org/officeDocument/2006/relationships/table" Target="../tables/table30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Relationship Id="rId19" Type="http://schemas.openxmlformats.org/officeDocument/2006/relationships/table" Target="../tables/table28.xml"/><Relationship Id="rId18" Type="http://schemas.openxmlformats.org/officeDocument/2006/relationships/table" Target="../tables/table2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20" Type="http://schemas.openxmlformats.org/officeDocument/2006/relationships/table" Target="../tables/table39.xml"/><Relationship Id="rId21" Type="http://schemas.openxmlformats.org/officeDocument/2006/relationships/table" Target="../tables/table40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15" Type="http://schemas.openxmlformats.org/officeDocument/2006/relationships/table" Target="../tables/table34.xml"/><Relationship Id="rId14" Type="http://schemas.openxmlformats.org/officeDocument/2006/relationships/table" Target="../tables/table33.xml"/><Relationship Id="rId17" Type="http://schemas.openxmlformats.org/officeDocument/2006/relationships/table" Target="../tables/table36.xml"/><Relationship Id="rId16" Type="http://schemas.openxmlformats.org/officeDocument/2006/relationships/table" Target="../tables/table35.xml"/><Relationship Id="rId19" Type="http://schemas.openxmlformats.org/officeDocument/2006/relationships/table" Target="../tables/table38.xml"/><Relationship Id="rId18" Type="http://schemas.openxmlformats.org/officeDocument/2006/relationships/table" Target="../tables/table3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20" Type="http://schemas.openxmlformats.org/officeDocument/2006/relationships/table" Target="../tables/table49.xml"/><Relationship Id="rId21" Type="http://schemas.openxmlformats.org/officeDocument/2006/relationships/table" Target="../tables/table50.xml"/><Relationship Id="rId13" Type="http://schemas.openxmlformats.org/officeDocument/2006/relationships/table" Target="../tables/table42.xml"/><Relationship Id="rId12" Type="http://schemas.openxmlformats.org/officeDocument/2006/relationships/table" Target="../tables/table41.xml"/><Relationship Id="rId15" Type="http://schemas.openxmlformats.org/officeDocument/2006/relationships/table" Target="../tables/table44.xml"/><Relationship Id="rId14" Type="http://schemas.openxmlformats.org/officeDocument/2006/relationships/table" Target="../tables/table43.xml"/><Relationship Id="rId17" Type="http://schemas.openxmlformats.org/officeDocument/2006/relationships/table" Target="../tables/table46.xml"/><Relationship Id="rId16" Type="http://schemas.openxmlformats.org/officeDocument/2006/relationships/table" Target="../tables/table45.xml"/><Relationship Id="rId19" Type="http://schemas.openxmlformats.org/officeDocument/2006/relationships/table" Target="../tables/table48.xml"/><Relationship Id="rId18" Type="http://schemas.openxmlformats.org/officeDocument/2006/relationships/table" Target="../tables/table4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51.xml"/><Relationship Id="rId13" Type="http://schemas.openxmlformats.org/officeDocument/2006/relationships/table" Target="../tables/table53.xml"/><Relationship Id="rId12" Type="http://schemas.openxmlformats.org/officeDocument/2006/relationships/table" Target="../tables/table52.xml"/><Relationship Id="rId15" Type="http://schemas.openxmlformats.org/officeDocument/2006/relationships/table" Target="../tables/table55.xml"/><Relationship Id="rId14" Type="http://schemas.openxmlformats.org/officeDocument/2006/relationships/table" Target="../tables/table54.xml"/><Relationship Id="rId17" Type="http://schemas.openxmlformats.org/officeDocument/2006/relationships/table" Target="../tables/table57.xml"/><Relationship Id="rId16" Type="http://schemas.openxmlformats.org/officeDocument/2006/relationships/table" Target="../tables/table56.xml"/><Relationship Id="rId19" Type="http://schemas.openxmlformats.org/officeDocument/2006/relationships/table" Target="../tables/table59.xml"/><Relationship Id="rId18" Type="http://schemas.openxmlformats.org/officeDocument/2006/relationships/table" Target="../tables/table5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11" Type="http://schemas.openxmlformats.org/officeDocument/2006/relationships/table" Target="../tables/table60.xml"/><Relationship Id="rId13" Type="http://schemas.openxmlformats.org/officeDocument/2006/relationships/table" Target="../tables/table62.xml"/><Relationship Id="rId12" Type="http://schemas.openxmlformats.org/officeDocument/2006/relationships/table" Target="../tables/table61.xml"/><Relationship Id="rId15" Type="http://schemas.openxmlformats.org/officeDocument/2006/relationships/table" Target="../tables/table64.xml"/><Relationship Id="rId14" Type="http://schemas.openxmlformats.org/officeDocument/2006/relationships/table" Target="../tables/table63.xml"/><Relationship Id="rId17" Type="http://schemas.openxmlformats.org/officeDocument/2006/relationships/table" Target="../tables/table66.xml"/><Relationship Id="rId16" Type="http://schemas.openxmlformats.org/officeDocument/2006/relationships/table" Target="../tables/table65.xml"/><Relationship Id="rId19" Type="http://schemas.openxmlformats.org/officeDocument/2006/relationships/table" Target="../tables/table68.xml"/><Relationship Id="rId18" Type="http://schemas.openxmlformats.org/officeDocument/2006/relationships/table" Target="../tables/table6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11" Type="http://schemas.openxmlformats.org/officeDocument/2006/relationships/table" Target="../tables/table69.xml"/><Relationship Id="rId13" Type="http://schemas.openxmlformats.org/officeDocument/2006/relationships/table" Target="../tables/table71.xml"/><Relationship Id="rId12" Type="http://schemas.openxmlformats.org/officeDocument/2006/relationships/table" Target="../tables/table70.xml"/><Relationship Id="rId15" Type="http://schemas.openxmlformats.org/officeDocument/2006/relationships/table" Target="../tables/table73.xml"/><Relationship Id="rId14" Type="http://schemas.openxmlformats.org/officeDocument/2006/relationships/table" Target="../tables/table72.xml"/><Relationship Id="rId17" Type="http://schemas.openxmlformats.org/officeDocument/2006/relationships/table" Target="../tables/table75.xml"/><Relationship Id="rId16" Type="http://schemas.openxmlformats.org/officeDocument/2006/relationships/table" Target="../tables/table74.xml"/><Relationship Id="rId19" Type="http://schemas.openxmlformats.org/officeDocument/2006/relationships/table" Target="../tables/table77.xml"/><Relationship Id="rId18" Type="http://schemas.openxmlformats.org/officeDocument/2006/relationships/table" Target="../tables/table7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11" Type="http://schemas.openxmlformats.org/officeDocument/2006/relationships/table" Target="../tables/table78.xml"/><Relationship Id="rId13" Type="http://schemas.openxmlformats.org/officeDocument/2006/relationships/table" Target="../tables/table80.xml"/><Relationship Id="rId12" Type="http://schemas.openxmlformats.org/officeDocument/2006/relationships/table" Target="../tables/table79.xml"/><Relationship Id="rId15" Type="http://schemas.openxmlformats.org/officeDocument/2006/relationships/table" Target="../tables/table82.xml"/><Relationship Id="rId14" Type="http://schemas.openxmlformats.org/officeDocument/2006/relationships/table" Target="../tables/table81.xml"/><Relationship Id="rId17" Type="http://schemas.openxmlformats.org/officeDocument/2006/relationships/table" Target="../tables/table84.xml"/><Relationship Id="rId16" Type="http://schemas.openxmlformats.org/officeDocument/2006/relationships/table" Target="../tables/table83.xml"/><Relationship Id="rId19" Type="http://schemas.openxmlformats.org/officeDocument/2006/relationships/table" Target="../tables/table86.xml"/><Relationship Id="rId18" Type="http://schemas.openxmlformats.org/officeDocument/2006/relationships/table" Target="../tables/table8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11" Type="http://schemas.openxmlformats.org/officeDocument/2006/relationships/table" Target="../tables/table87.xml"/><Relationship Id="rId13" Type="http://schemas.openxmlformats.org/officeDocument/2006/relationships/table" Target="../tables/table89.xml"/><Relationship Id="rId12" Type="http://schemas.openxmlformats.org/officeDocument/2006/relationships/table" Target="../tables/table88.xml"/><Relationship Id="rId15" Type="http://schemas.openxmlformats.org/officeDocument/2006/relationships/table" Target="../tables/table91.xml"/><Relationship Id="rId14" Type="http://schemas.openxmlformats.org/officeDocument/2006/relationships/table" Target="../tables/table90.xml"/><Relationship Id="rId17" Type="http://schemas.openxmlformats.org/officeDocument/2006/relationships/table" Target="../tables/table93.xml"/><Relationship Id="rId16" Type="http://schemas.openxmlformats.org/officeDocument/2006/relationships/table" Target="../tables/table92.xml"/><Relationship Id="rId19" Type="http://schemas.openxmlformats.org/officeDocument/2006/relationships/table" Target="../tables/table95.xml"/><Relationship Id="rId18" Type="http://schemas.openxmlformats.org/officeDocument/2006/relationships/table" Target="../tables/table9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11" Type="http://schemas.openxmlformats.org/officeDocument/2006/relationships/table" Target="../tables/table96.xml"/><Relationship Id="rId13" Type="http://schemas.openxmlformats.org/officeDocument/2006/relationships/table" Target="../tables/table98.xml"/><Relationship Id="rId12" Type="http://schemas.openxmlformats.org/officeDocument/2006/relationships/table" Target="../tables/table97.xml"/><Relationship Id="rId15" Type="http://schemas.openxmlformats.org/officeDocument/2006/relationships/table" Target="../tables/table100.xml"/><Relationship Id="rId14" Type="http://schemas.openxmlformats.org/officeDocument/2006/relationships/table" Target="../tables/table99.xml"/><Relationship Id="rId17" Type="http://schemas.openxmlformats.org/officeDocument/2006/relationships/table" Target="../tables/table102.xml"/><Relationship Id="rId16" Type="http://schemas.openxmlformats.org/officeDocument/2006/relationships/table" Target="../tables/table101.xml"/><Relationship Id="rId19" Type="http://schemas.openxmlformats.org/officeDocument/2006/relationships/table" Target="../tables/table104.xml"/><Relationship Id="rId18" Type="http://schemas.openxmlformats.org/officeDocument/2006/relationships/table" Target="../tables/table10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11" Type="http://schemas.openxmlformats.org/officeDocument/2006/relationships/table" Target="../tables/table105.xml"/><Relationship Id="rId13" Type="http://schemas.openxmlformats.org/officeDocument/2006/relationships/table" Target="../tables/table107.xml"/><Relationship Id="rId12" Type="http://schemas.openxmlformats.org/officeDocument/2006/relationships/table" Target="../tables/table106.xml"/><Relationship Id="rId15" Type="http://schemas.openxmlformats.org/officeDocument/2006/relationships/table" Target="../tables/table109.xml"/><Relationship Id="rId14" Type="http://schemas.openxmlformats.org/officeDocument/2006/relationships/table" Target="../tables/table108.xml"/><Relationship Id="rId17" Type="http://schemas.openxmlformats.org/officeDocument/2006/relationships/table" Target="../tables/table111.xml"/><Relationship Id="rId16" Type="http://schemas.openxmlformats.org/officeDocument/2006/relationships/table" Target="../tables/table110.xml"/><Relationship Id="rId19" Type="http://schemas.openxmlformats.org/officeDocument/2006/relationships/table" Target="../tables/table113.xml"/><Relationship Id="rId18" Type="http://schemas.openxmlformats.org/officeDocument/2006/relationships/table" Target="../tables/table112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11" Type="http://schemas.openxmlformats.org/officeDocument/2006/relationships/table" Target="../tables/table114.xml"/><Relationship Id="rId13" Type="http://schemas.openxmlformats.org/officeDocument/2006/relationships/table" Target="../tables/table116.xml"/><Relationship Id="rId12" Type="http://schemas.openxmlformats.org/officeDocument/2006/relationships/table" Target="../tables/table115.xml"/><Relationship Id="rId15" Type="http://schemas.openxmlformats.org/officeDocument/2006/relationships/table" Target="../tables/table118.xml"/><Relationship Id="rId14" Type="http://schemas.openxmlformats.org/officeDocument/2006/relationships/table" Target="../tables/table117.xml"/><Relationship Id="rId17" Type="http://schemas.openxmlformats.org/officeDocument/2006/relationships/table" Target="../tables/table120.xml"/><Relationship Id="rId16" Type="http://schemas.openxmlformats.org/officeDocument/2006/relationships/table" Target="../tables/table119.xml"/><Relationship Id="rId19" Type="http://schemas.openxmlformats.org/officeDocument/2006/relationships/table" Target="../tables/table122.xml"/><Relationship Id="rId18" Type="http://schemas.openxmlformats.org/officeDocument/2006/relationships/table" Target="../tables/table1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0.75"/>
    <col customWidth="1" min="2" max="2" width="4.5"/>
    <col customWidth="1" min="3" max="3" width="11.75"/>
    <col customWidth="1" min="4" max="4" width="5.38"/>
    <col customWidth="1" min="5" max="5" width="6.25"/>
    <col customWidth="1" min="6" max="6" width="8.25"/>
    <col hidden="1" min="7" max="26" width="12.63"/>
  </cols>
  <sheetData>
    <row r="1">
      <c r="A1" s="1" t="s">
        <v>0</v>
      </c>
      <c r="B1" s="3" t="s">
        <v>2</v>
      </c>
      <c r="C1" s="3" t="s">
        <v>4</v>
      </c>
      <c r="D1" s="3" t="s">
        <v>7</v>
      </c>
      <c r="E1" s="3" t="s">
        <v>9</v>
      </c>
      <c r="F1" s="3" t="s">
        <v>10</v>
      </c>
      <c r="G1" s="5" t="s">
        <v>14</v>
      </c>
      <c r="H1" s="6" t="s">
        <v>23</v>
      </c>
      <c r="I1" s="7" t="s">
        <v>26</v>
      </c>
      <c r="J1" s="8" t="s">
        <v>31</v>
      </c>
      <c r="K1" s="8" t="s">
        <v>33</v>
      </c>
      <c r="L1" s="8" t="s">
        <v>37</v>
      </c>
      <c r="M1" s="9" t="s">
        <v>8</v>
      </c>
      <c r="N1" s="6" t="s">
        <v>44</v>
      </c>
      <c r="O1" s="6" t="s">
        <v>3</v>
      </c>
      <c r="P1" s="6" t="s">
        <v>48</v>
      </c>
      <c r="Q1" s="6" t="s">
        <v>50</v>
      </c>
      <c r="R1" s="6" t="s">
        <v>19</v>
      </c>
      <c r="S1" s="6" t="s">
        <v>30</v>
      </c>
      <c r="T1" s="6" t="s">
        <v>56</v>
      </c>
      <c r="U1" s="6" t="s">
        <v>58</v>
      </c>
      <c r="V1" s="6" t="s">
        <v>61</v>
      </c>
      <c r="W1" s="6" t="s">
        <v>63</v>
      </c>
      <c r="X1" s="6" t="s">
        <v>66</v>
      </c>
    </row>
    <row r="2" hidden="1">
      <c r="A2" s="12">
        <v>2197124.0</v>
      </c>
      <c r="B2" s="13">
        <v>46168.8052662037</v>
      </c>
      <c r="C2" s="12" t="s">
        <v>81</v>
      </c>
      <c r="D2" s="12" t="s">
        <v>86</v>
      </c>
      <c r="E2" s="15"/>
      <c r="F2" s="12" t="s">
        <v>92</v>
      </c>
      <c r="G2" s="16">
        <v>9.0</v>
      </c>
      <c r="I2" s="16" t="b">
        <v>0</v>
      </c>
      <c r="J2" s="16" t="s">
        <v>98</v>
      </c>
      <c r="N2" s="16" t="b">
        <v>1</v>
      </c>
      <c r="R2" s="16" t="s">
        <v>102</v>
      </c>
    </row>
    <row r="3" hidden="1">
      <c r="A3" s="12">
        <v>2197276.0</v>
      </c>
      <c r="B3" s="13">
        <v>46168.87329861111</v>
      </c>
      <c r="C3" s="12" t="s">
        <v>81</v>
      </c>
      <c r="D3" s="12" t="s">
        <v>111</v>
      </c>
      <c r="E3" s="15"/>
      <c r="F3" s="12" t="s">
        <v>114</v>
      </c>
      <c r="G3" s="16">
        <v>98.73</v>
      </c>
      <c r="I3" s="16" t="b">
        <v>0</v>
      </c>
      <c r="J3" s="16" t="s">
        <v>115</v>
      </c>
      <c r="M3" s="16" t="s">
        <v>117</v>
      </c>
      <c r="N3" s="16" t="b">
        <v>1</v>
      </c>
      <c r="R3" s="16" t="s">
        <v>118</v>
      </c>
    </row>
    <row r="4" hidden="1">
      <c r="A4" s="12">
        <v>2197278.0</v>
      </c>
      <c r="B4" s="13">
        <v>46168.87357638889</v>
      </c>
      <c r="C4" s="12" t="s">
        <v>81</v>
      </c>
      <c r="D4" s="12" t="s">
        <v>120</v>
      </c>
      <c r="E4" s="15"/>
      <c r="F4" s="12" t="s">
        <v>114</v>
      </c>
      <c r="G4" s="16">
        <v>71.27</v>
      </c>
      <c r="I4" s="16" t="b">
        <v>0</v>
      </c>
      <c r="J4" s="16" t="s">
        <v>115</v>
      </c>
      <c r="M4" s="16" t="s">
        <v>125</v>
      </c>
      <c r="N4" s="16" t="b">
        <v>1</v>
      </c>
      <c r="R4" s="16" t="s">
        <v>126</v>
      </c>
    </row>
    <row r="5" hidden="1">
      <c r="A5" s="12">
        <v>2197280.0</v>
      </c>
      <c r="B5" s="13">
        <v>46168.87478009259</v>
      </c>
      <c r="C5" s="12" t="s">
        <v>81</v>
      </c>
      <c r="D5" s="12" t="s">
        <v>127</v>
      </c>
      <c r="E5" s="15"/>
      <c r="F5" s="12" t="s">
        <v>128</v>
      </c>
      <c r="G5" s="16">
        <v>250.0</v>
      </c>
      <c r="I5" s="16" t="b">
        <v>0</v>
      </c>
      <c r="J5" s="16" t="s">
        <v>130</v>
      </c>
      <c r="K5" s="16" t="s">
        <v>132</v>
      </c>
      <c r="N5" s="16" t="b">
        <v>1</v>
      </c>
      <c r="R5" s="16" t="s">
        <v>134</v>
      </c>
    </row>
    <row r="6" hidden="1">
      <c r="A6" s="12">
        <v>2198352.0</v>
      </c>
      <c r="B6" s="13">
        <v>46169.731770833336</v>
      </c>
      <c r="C6" s="12" t="s">
        <v>81</v>
      </c>
      <c r="D6" s="12" t="s">
        <v>137</v>
      </c>
      <c r="E6" s="15"/>
      <c r="F6" s="12" t="s">
        <v>139</v>
      </c>
      <c r="G6" s="16">
        <v>78.69</v>
      </c>
      <c r="I6" s="16" t="b">
        <v>0</v>
      </c>
      <c r="J6" s="16" t="s">
        <v>142</v>
      </c>
      <c r="N6" s="16" t="b">
        <v>1</v>
      </c>
      <c r="R6" s="16" t="s">
        <v>143</v>
      </c>
    </row>
    <row r="7" hidden="1">
      <c r="A7" s="12">
        <v>2198703.0</v>
      </c>
      <c r="B7" s="13">
        <v>46169.89297453704</v>
      </c>
      <c r="C7" s="12" t="s">
        <v>81</v>
      </c>
      <c r="D7" s="12" t="s">
        <v>146</v>
      </c>
      <c r="E7" s="15"/>
      <c r="F7" s="12" t="s">
        <v>128</v>
      </c>
      <c r="G7" s="16">
        <v>400.0</v>
      </c>
      <c r="I7" s="16" t="b">
        <v>0</v>
      </c>
      <c r="J7" s="16" t="s">
        <v>130</v>
      </c>
      <c r="K7" s="16" t="s">
        <v>132</v>
      </c>
      <c r="N7" s="16" t="b">
        <v>1</v>
      </c>
      <c r="R7" s="16" t="s">
        <v>150</v>
      </c>
    </row>
    <row r="8" hidden="1">
      <c r="A8" s="12">
        <v>2199498.0</v>
      </c>
      <c r="B8" s="13">
        <v>46170.66849537037</v>
      </c>
      <c r="C8" s="12" t="s">
        <v>152</v>
      </c>
      <c r="D8" s="12" t="s">
        <v>155</v>
      </c>
      <c r="E8" s="15"/>
      <c r="F8" s="12" t="s">
        <v>158</v>
      </c>
      <c r="G8" s="16">
        <v>21.0</v>
      </c>
      <c r="I8" s="16" t="b">
        <v>0</v>
      </c>
      <c r="J8" s="16" t="s">
        <v>159</v>
      </c>
      <c r="N8" s="16" t="b">
        <v>1</v>
      </c>
      <c r="R8" s="16" t="s">
        <v>160</v>
      </c>
    </row>
    <row r="9" hidden="1">
      <c r="A9" s="12">
        <v>2199744.0</v>
      </c>
      <c r="B9" s="13">
        <v>46170.74828703704</v>
      </c>
      <c r="C9" s="12" t="s">
        <v>81</v>
      </c>
      <c r="D9" s="12" t="s">
        <v>162</v>
      </c>
      <c r="E9" s="15"/>
      <c r="F9" s="12" t="s">
        <v>158</v>
      </c>
      <c r="G9" s="16">
        <v>150.0</v>
      </c>
      <c r="I9" s="16" t="b">
        <v>0</v>
      </c>
      <c r="J9" s="16" t="s">
        <v>159</v>
      </c>
      <c r="N9" s="16" t="b">
        <v>1</v>
      </c>
      <c r="R9" s="16" t="s">
        <v>166</v>
      </c>
    </row>
    <row r="10" hidden="1">
      <c r="A10" s="12">
        <v>2199750.0</v>
      </c>
      <c r="B10" s="13">
        <v>46170.749398148146</v>
      </c>
      <c r="C10" s="12" t="s">
        <v>81</v>
      </c>
      <c r="D10" s="12" t="s">
        <v>169</v>
      </c>
      <c r="E10" s="15"/>
      <c r="F10" s="12" t="s">
        <v>172</v>
      </c>
      <c r="G10" s="16">
        <v>29.31</v>
      </c>
      <c r="I10" s="16" t="b">
        <v>0</v>
      </c>
      <c r="J10" s="16" t="s">
        <v>178</v>
      </c>
      <c r="N10" s="16" t="b">
        <v>1</v>
      </c>
      <c r="R10" s="16" t="s">
        <v>180</v>
      </c>
    </row>
    <row r="11" hidden="1">
      <c r="A11" s="12">
        <v>2200073.0</v>
      </c>
      <c r="B11" s="13">
        <v>46170.889074074075</v>
      </c>
      <c r="C11" s="12" t="s">
        <v>81</v>
      </c>
      <c r="D11" s="12" t="s">
        <v>184</v>
      </c>
      <c r="E11" s="15"/>
      <c r="F11" s="12" t="s">
        <v>128</v>
      </c>
      <c r="G11" s="16">
        <v>450.0</v>
      </c>
      <c r="I11" s="16" t="b">
        <v>0</v>
      </c>
      <c r="J11" s="16" t="s">
        <v>130</v>
      </c>
      <c r="K11" s="16" t="s">
        <v>132</v>
      </c>
      <c r="N11" s="16" t="b">
        <v>1</v>
      </c>
      <c r="R11" s="16" t="s">
        <v>185</v>
      </c>
    </row>
    <row r="12" hidden="1">
      <c r="A12" s="12">
        <v>2201501.0</v>
      </c>
      <c r="B12" s="13">
        <v>46171.894641203704</v>
      </c>
      <c r="C12" s="12" t="s">
        <v>81</v>
      </c>
      <c r="D12" s="12" t="s">
        <v>188</v>
      </c>
      <c r="E12" s="21"/>
      <c r="F12" s="12" t="s">
        <v>193</v>
      </c>
      <c r="G12" s="16">
        <v>59.96</v>
      </c>
      <c r="I12" s="16" t="b">
        <v>0</v>
      </c>
      <c r="J12" s="16" t="s">
        <v>115</v>
      </c>
      <c r="M12" s="16" t="s">
        <v>198</v>
      </c>
      <c r="N12" s="16" t="b">
        <v>1</v>
      </c>
      <c r="R12" s="16" t="s">
        <v>199</v>
      </c>
    </row>
    <row r="13" hidden="1">
      <c r="A13" s="12">
        <v>2201502.0</v>
      </c>
      <c r="B13" s="13">
        <v>46171.894791666666</v>
      </c>
      <c r="C13" s="12" t="s">
        <v>81</v>
      </c>
      <c r="D13" s="12" t="s">
        <v>200</v>
      </c>
      <c r="E13" s="15"/>
      <c r="F13" s="12" t="s">
        <v>128</v>
      </c>
      <c r="G13" s="16">
        <v>300.0</v>
      </c>
      <c r="I13" s="16" t="b">
        <v>0</v>
      </c>
      <c r="J13" s="16" t="s">
        <v>130</v>
      </c>
      <c r="K13" s="16" t="s">
        <v>132</v>
      </c>
      <c r="N13" s="16" t="b">
        <v>1</v>
      </c>
      <c r="R13" s="16" t="s">
        <v>206</v>
      </c>
    </row>
    <row r="14" hidden="1">
      <c r="A14" s="12">
        <v>2202228.0</v>
      </c>
      <c r="B14" s="13">
        <v>46172.625543981485</v>
      </c>
      <c r="C14" s="12" t="s">
        <v>81</v>
      </c>
      <c r="D14" s="12" t="s">
        <v>209</v>
      </c>
      <c r="E14" s="15"/>
      <c r="F14" s="12" t="s">
        <v>211</v>
      </c>
      <c r="G14" s="16">
        <v>227.35</v>
      </c>
      <c r="I14" s="16" t="b">
        <v>0</v>
      </c>
      <c r="J14" s="16" t="s">
        <v>115</v>
      </c>
      <c r="M14" s="16" t="s">
        <v>213</v>
      </c>
      <c r="N14" s="16" t="b">
        <v>1</v>
      </c>
      <c r="R14" s="16" t="s">
        <v>214</v>
      </c>
    </row>
    <row r="15" hidden="1">
      <c r="A15" s="12">
        <v>2205442.0</v>
      </c>
      <c r="B15" s="13">
        <v>46173.913819444446</v>
      </c>
      <c r="C15" s="12" t="s">
        <v>81</v>
      </c>
      <c r="D15" s="12" t="s">
        <v>220</v>
      </c>
      <c r="E15" s="15"/>
      <c r="F15" s="12" t="s">
        <v>128</v>
      </c>
      <c r="G15" s="16">
        <v>1400.0</v>
      </c>
      <c r="I15" s="16" t="b">
        <v>0</v>
      </c>
      <c r="J15" s="16" t="s">
        <v>130</v>
      </c>
      <c r="K15" s="16" t="s">
        <v>132</v>
      </c>
      <c r="N15" s="16" t="b">
        <v>1</v>
      </c>
      <c r="R15" s="16" t="s">
        <v>222</v>
      </c>
    </row>
    <row r="16" hidden="1">
      <c r="A16" s="12">
        <v>2205462.0</v>
      </c>
      <c r="B16" s="13">
        <v>46173.91517361111</v>
      </c>
      <c r="C16" s="12" t="s">
        <v>81</v>
      </c>
      <c r="D16" s="12" t="s">
        <v>226</v>
      </c>
      <c r="E16" s="15"/>
      <c r="F16" s="12" t="s">
        <v>228</v>
      </c>
      <c r="G16" s="16">
        <v>216.0</v>
      </c>
      <c r="I16" s="16" t="b">
        <v>0</v>
      </c>
      <c r="J16" s="16" t="s">
        <v>231</v>
      </c>
      <c r="M16" s="16" t="s">
        <v>232</v>
      </c>
      <c r="N16" s="16" t="b">
        <v>1</v>
      </c>
      <c r="R16" s="16" t="s">
        <v>233</v>
      </c>
    </row>
    <row r="17" hidden="1">
      <c r="A17" s="12">
        <v>2205466.0</v>
      </c>
      <c r="B17" s="13">
        <v>46173.91543981482</v>
      </c>
      <c r="C17" s="12" t="s">
        <v>81</v>
      </c>
      <c r="D17" s="12" t="s">
        <v>235</v>
      </c>
      <c r="E17" s="15"/>
      <c r="F17" s="12" t="s">
        <v>237</v>
      </c>
      <c r="G17" s="16">
        <v>190.0</v>
      </c>
      <c r="I17" s="16" t="b">
        <v>0</v>
      </c>
      <c r="J17" s="16" t="s">
        <v>231</v>
      </c>
      <c r="M17" s="16" t="s">
        <v>240</v>
      </c>
      <c r="N17" s="16" t="b">
        <v>1</v>
      </c>
      <c r="R17" s="16" t="s">
        <v>242</v>
      </c>
    </row>
    <row r="18" hidden="1">
      <c r="A18" s="12">
        <v>2205566.0</v>
      </c>
      <c r="B18" s="13">
        <v>46173.92166666667</v>
      </c>
      <c r="C18" s="12" t="s">
        <v>81</v>
      </c>
      <c r="D18" s="12" t="s">
        <v>245</v>
      </c>
      <c r="E18" s="15"/>
      <c r="F18" s="12" t="s">
        <v>193</v>
      </c>
      <c r="G18" s="16">
        <v>47.24</v>
      </c>
      <c r="I18" s="16" t="b">
        <v>0</v>
      </c>
      <c r="J18" s="16" t="s">
        <v>115</v>
      </c>
      <c r="M18" s="16" t="s">
        <v>251</v>
      </c>
      <c r="N18" s="16" t="b">
        <v>1</v>
      </c>
      <c r="R18" s="16" t="s">
        <v>252</v>
      </c>
    </row>
    <row r="19" hidden="1">
      <c r="A19" s="12">
        <v>2205573.0</v>
      </c>
      <c r="B19" s="13">
        <v>46173.92223379629</v>
      </c>
      <c r="C19" s="12" t="s">
        <v>81</v>
      </c>
      <c r="D19" s="12" t="s">
        <v>255</v>
      </c>
      <c r="E19" s="15"/>
      <c r="F19" s="12" t="s">
        <v>92</v>
      </c>
      <c r="G19" s="16">
        <v>44.0</v>
      </c>
      <c r="I19" s="16" t="b">
        <v>0</v>
      </c>
      <c r="J19" s="16" t="s">
        <v>98</v>
      </c>
      <c r="N19" s="16" t="b">
        <v>1</v>
      </c>
      <c r="R19" s="16" t="s">
        <v>261</v>
      </c>
    </row>
    <row r="20" hidden="1">
      <c r="A20" s="12">
        <v>2206144.0</v>
      </c>
      <c r="B20" s="13">
        <v>46174.500543981485</v>
      </c>
      <c r="C20" s="12" t="s">
        <v>152</v>
      </c>
      <c r="D20" s="12" t="s">
        <v>263</v>
      </c>
      <c r="E20" s="15"/>
      <c r="F20" s="12" t="s">
        <v>267</v>
      </c>
      <c r="G20" s="16">
        <v>21.5</v>
      </c>
      <c r="I20" s="16" t="b">
        <v>0</v>
      </c>
      <c r="J20" s="16" t="s">
        <v>159</v>
      </c>
      <c r="N20" s="16" t="b">
        <v>1</v>
      </c>
      <c r="R20" s="16" t="s">
        <v>270</v>
      </c>
    </row>
    <row r="21" hidden="1">
      <c r="A21" s="12">
        <v>2206145.0</v>
      </c>
      <c r="B21" s="13">
        <v>46174.502118055556</v>
      </c>
      <c r="C21" s="12" t="s">
        <v>152</v>
      </c>
      <c r="D21" s="12" t="s">
        <v>272</v>
      </c>
      <c r="E21" s="15"/>
      <c r="F21" s="12" t="s">
        <v>267</v>
      </c>
      <c r="G21" s="16">
        <v>6.85</v>
      </c>
      <c r="I21" s="16" t="b">
        <v>0</v>
      </c>
      <c r="J21" s="16" t="s">
        <v>159</v>
      </c>
      <c r="N21" s="16" t="b">
        <v>1</v>
      </c>
      <c r="R21" s="16" t="s">
        <v>275</v>
      </c>
    </row>
    <row r="22" hidden="1">
      <c r="A22" s="12">
        <v>2206865.0</v>
      </c>
      <c r="B22" s="13">
        <v>46174.78159722222</v>
      </c>
      <c r="C22" s="12" t="s">
        <v>81</v>
      </c>
      <c r="D22" s="12" t="s">
        <v>279</v>
      </c>
      <c r="E22" s="15"/>
      <c r="F22" s="12" t="s">
        <v>280</v>
      </c>
      <c r="G22" s="16">
        <v>82.75</v>
      </c>
      <c r="I22" s="16" t="b">
        <v>0</v>
      </c>
      <c r="J22" s="16" t="s">
        <v>115</v>
      </c>
      <c r="M22" s="16" t="s">
        <v>285</v>
      </c>
      <c r="N22" s="16" t="b">
        <v>1</v>
      </c>
      <c r="R22" s="16" t="s">
        <v>286</v>
      </c>
    </row>
    <row r="23" hidden="1">
      <c r="A23" s="12">
        <v>2206891.0</v>
      </c>
      <c r="B23" s="13">
        <v>46174.79306712963</v>
      </c>
      <c r="C23" s="12" t="s">
        <v>81</v>
      </c>
      <c r="D23" s="12" t="s">
        <v>289</v>
      </c>
      <c r="E23" s="15"/>
      <c r="F23" s="12" t="s">
        <v>290</v>
      </c>
      <c r="G23" s="16">
        <v>32.0</v>
      </c>
      <c r="I23" s="16" t="b">
        <v>0</v>
      </c>
      <c r="J23" s="16" t="s">
        <v>115</v>
      </c>
      <c r="M23" s="16" t="s">
        <v>292</v>
      </c>
      <c r="N23" s="16" t="b">
        <v>1</v>
      </c>
      <c r="R23" s="16" t="s">
        <v>294</v>
      </c>
    </row>
    <row r="24" hidden="1">
      <c r="A24" s="12">
        <v>2207095.0</v>
      </c>
      <c r="B24" s="13">
        <v>46174.88302083333</v>
      </c>
      <c r="C24" s="12" t="s">
        <v>81</v>
      </c>
      <c r="D24" s="12" t="s">
        <v>296</v>
      </c>
      <c r="E24" s="15"/>
      <c r="F24" s="12" t="s">
        <v>128</v>
      </c>
      <c r="G24" s="16">
        <v>650.0</v>
      </c>
      <c r="I24" s="16" t="b">
        <v>0</v>
      </c>
      <c r="J24" s="16" t="s">
        <v>130</v>
      </c>
      <c r="K24" s="16" t="s">
        <v>132</v>
      </c>
      <c r="N24" s="16" t="b">
        <v>1</v>
      </c>
      <c r="R24" s="16" t="s">
        <v>298</v>
      </c>
    </row>
    <row r="25" hidden="1">
      <c r="A25" s="12">
        <v>2208489.0</v>
      </c>
      <c r="B25" s="13">
        <v>46175.88804398148</v>
      </c>
      <c r="C25" s="12" t="s">
        <v>81</v>
      </c>
      <c r="D25" s="12" t="s">
        <v>200</v>
      </c>
      <c r="E25" s="15"/>
      <c r="F25" s="12" t="s">
        <v>128</v>
      </c>
      <c r="G25" s="16">
        <v>300.0</v>
      </c>
      <c r="I25" s="16" t="b">
        <v>0</v>
      </c>
      <c r="J25" s="16" t="s">
        <v>130</v>
      </c>
      <c r="K25" s="16" t="s">
        <v>132</v>
      </c>
      <c r="N25" s="16" t="b">
        <v>1</v>
      </c>
      <c r="R25" s="16" t="s">
        <v>302</v>
      </c>
    </row>
    <row r="26" hidden="1">
      <c r="A26" s="12">
        <v>2209194.0</v>
      </c>
      <c r="B26" s="13">
        <v>46176.627384259256</v>
      </c>
      <c r="C26" s="12" t="s">
        <v>81</v>
      </c>
      <c r="D26" s="12" t="s">
        <v>304</v>
      </c>
      <c r="E26" s="15"/>
      <c r="F26" s="12" t="s">
        <v>305</v>
      </c>
      <c r="G26" s="16">
        <v>86.87</v>
      </c>
      <c r="I26" s="16" t="b">
        <v>0</v>
      </c>
      <c r="J26" s="16" t="s">
        <v>115</v>
      </c>
      <c r="M26" s="16" t="s">
        <v>307</v>
      </c>
      <c r="N26" s="16" t="b">
        <v>1</v>
      </c>
      <c r="R26" s="16" t="s">
        <v>308</v>
      </c>
    </row>
    <row r="27" hidden="1">
      <c r="A27" s="12">
        <v>2209724.0</v>
      </c>
      <c r="B27" s="13">
        <v>46176.80887731481</v>
      </c>
      <c r="C27" s="12" t="s">
        <v>81</v>
      </c>
      <c r="D27" s="12" t="s">
        <v>311</v>
      </c>
      <c r="E27" s="15"/>
      <c r="F27" s="12" t="s">
        <v>313</v>
      </c>
      <c r="G27" s="16">
        <v>524.76</v>
      </c>
      <c r="I27" s="16" t="b">
        <v>0</v>
      </c>
      <c r="J27" s="16" t="s">
        <v>115</v>
      </c>
      <c r="M27" s="16" t="s">
        <v>315</v>
      </c>
      <c r="N27" s="16" t="b">
        <v>1</v>
      </c>
      <c r="R27" s="16" t="s">
        <v>316</v>
      </c>
    </row>
    <row r="28" hidden="1">
      <c r="A28" s="12">
        <v>2209729.0</v>
      </c>
      <c r="B28" s="13">
        <v>46176.80917824074</v>
      </c>
      <c r="C28" s="12" t="s">
        <v>81</v>
      </c>
      <c r="D28" s="12" t="s">
        <v>318</v>
      </c>
      <c r="E28" s="15"/>
      <c r="F28" s="12" t="s">
        <v>320</v>
      </c>
      <c r="G28" s="16">
        <v>12.97</v>
      </c>
      <c r="I28" s="16" t="b">
        <v>0</v>
      </c>
      <c r="J28" s="16" t="s">
        <v>115</v>
      </c>
      <c r="M28" s="16" t="s">
        <v>321</v>
      </c>
      <c r="N28" s="16" t="b">
        <v>1</v>
      </c>
      <c r="R28" s="16" t="s">
        <v>323</v>
      </c>
    </row>
    <row r="29" hidden="1">
      <c r="A29" s="12">
        <v>2209876.0</v>
      </c>
      <c r="B29" s="13">
        <v>46176.871724537035</v>
      </c>
      <c r="C29" s="12" t="s">
        <v>81</v>
      </c>
      <c r="D29" s="12" t="s">
        <v>325</v>
      </c>
      <c r="E29" s="15"/>
      <c r="F29" s="12" t="s">
        <v>326</v>
      </c>
      <c r="G29" s="16">
        <v>22.0</v>
      </c>
      <c r="I29" s="16" t="b">
        <v>0</v>
      </c>
      <c r="J29" s="16" t="s">
        <v>115</v>
      </c>
      <c r="M29" s="16" t="s">
        <v>327</v>
      </c>
      <c r="N29" s="16" t="b">
        <v>1</v>
      </c>
      <c r="R29" s="16" t="s">
        <v>329</v>
      </c>
    </row>
    <row r="30" hidden="1">
      <c r="A30" s="12">
        <v>2209957.0</v>
      </c>
      <c r="B30" s="13">
        <v>46176.89487268519</v>
      </c>
      <c r="C30" s="12" t="s">
        <v>81</v>
      </c>
      <c r="D30" s="12" t="s">
        <v>155</v>
      </c>
      <c r="E30" s="15"/>
      <c r="F30" s="12" t="s">
        <v>331</v>
      </c>
      <c r="G30" s="16">
        <v>21.0</v>
      </c>
      <c r="I30" s="16" t="b">
        <v>0</v>
      </c>
      <c r="J30" s="16" t="s">
        <v>98</v>
      </c>
      <c r="N30" s="16" t="b">
        <v>1</v>
      </c>
      <c r="R30" s="16" t="s">
        <v>334</v>
      </c>
    </row>
    <row r="31" hidden="1">
      <c r="A31" s="12">
        <v>2209958.0</v>
      </c>
      <c r="B31" s="13">
        <v>46176.89496527778</v>
      </c>
      <c r="C31" s="12" t="s">
        <v>81</v>
      </c>
      <c r="D31" s="12" t="s">
        <v>335</v>
      </c>
      <c r="E31" s="15"/>
      <c r="F31" s="12" t="s">
        <v>336</v>
      </c>
      <c r="G31" s="16">
        <v>10.0</v>
      </c>
      <c r="I31" s="16" t="b">
        <v>0</v>
      </c>
      <c r="J31" s="16" t="s">
        <v>115</v>
      </c>
      <c r="N31" s="16" t="b">
        <v>1</v>
      </c>
      <c r="R31" s="16" t="s">
        <v>337</v>
      </c>
      <c r="W31" s="16" t="b">
        <v>1</v>
      </c>
      <c r="X31" s="16" t="s">
        <v>340</v>
      </c>
    </row>
    <row r="32" hidden="1">
      <c r="A32" s="12">
        <v>2211621.0</v>
      </c>
      <c r="B32" s="13">
        <v>46177.89743055555</v>
      </c>
      <c r="C32" s="12" t="s">
        <v>81</v>
      </c>
      <c r="D32" s="12" t="s">
        <v>343</v>
      </c>
      <c r="E32" s="15"/>
      <c r="F32" s="12" t="s">
        <v>346</v>
      </c>
      <c r="G32" s="16">
        <v>550.0</v>
      </c>
      <c r="I32" s="16" t="b">
        <v>0</v>
      </c>
      <c r="J32" s="16" t="s">
        <v>130</v>
      </c>
      <c r="K32" s="16" t="s">
        <v>348</v>
      </c>
      <c r="N32" s="16" t="b">
        <v>1</v>
      </c>
      <c r="R32" s="16" t="s">
        <v>349</v>
      </c>
    </row>
    <row r="33" hidden="1">
      <c r="A33" s="12">
        <v>2212346.0</v>
      </c>
      <c r="B33" s="13">
        <v>46178.528969907406</v>
      </c>
      <c r="C33" s="12" t="s">
        <v>81</v>
      </c>
      <c r="D33" s="12" t="s">
        <v>350</v>
      </c>
      <c r="E33" s="15"/>
      <c r="F33" s="12" t="s">
        <v>352</v>
      </c>
      <c r="G33" s="16">
        <v>12.0</v>
      </c>
      <c r="I33" s="16" t="b">
        <v>0</v>
      </c>
      <c r="J33" s="16" t="s">
        <v>98</v>
      </c>
      <c r="N33" s="16" t="b">
        <v>1</v>
      </c>
      <c r="R33" s="16" t="s">
        <v>354</v>
      </c>
    </row>
    <row r="34" hidden="1">
      <c r="A34" s="12">
        <v>2213110.0</v>
      </c>
      <c r="B34" s="13">
        <v>46178.749386574076</v>
      </c>
      <c r="C34" s="12" t="s">
        <v>81</v>
      </c>
      <c r="D34" s="12" t="s">
        <v>357</v>
      </c>
      <c r="E34" s="15"/>
      <c r="F34" s="12" t="s">
        <v>358</v>
      </c>
      <c r="G34" s="16">
        <v>135.24</v>
      </c>
      <c r="I34" s="16" t="b">
        <v>0</v>
      </c>
      <c r="J34" s="16" t="s">
        <v>142</v>
      </c>
      <c r="N34" s="16" t="b">
        <v>1</v>
      </c>
      <c r="R34" s="16" t="s">
        <v>359</v>
      </c>
    </row>
    <row r="35" hidden="1">
      <c r="A35" s="12">
        <v>2213114.0</v>
      </c>
      <c r="B35" s="13">
        <v>46178.75090277778</v>
      </c>
      <c r="C35" s="12" t="s">
        <v>81</v>
      </c>
      <c r="D35" s="12" t="s">
        <v>361</v>
      </c>
      <c r="E35" s="15"/>
      <c r="F35" s="12" t="s">
        <v>362</v>
      </c>
      <c r="G35" s="16">
        <v>41.28</v>
      </c>
      <c r="I35" s="16" t="b">
        <v>0</v>
      </c>
      <c r="J35" s="16" t="s">
        <v>364</v>
      </c>
      <c r="K35" s="23" t="s">
        <v>366</v>
      </c>
      <c r="N35" s="16" t="b">
        <v>1</v>
      </c>
      <c r="R35" s="16" t="s">
        <v>370</v>
      </c>
    </row>
    <row r="36" hidden="1">
      <c r="A36" s="12">
        <v>2213173.0</v>
      </c>
      <c r="B36" s="13">
        <v>46178.76511574074</v>
      </c>
      <c r="C36" s="12" t="s">
        <v>152</v>
      </c>
      <c r="D36" s="12" t="s">
        <v>335</v>
      </c>
      <c r="E36" s="15"/>
      <c r="F36" s="12" t="s">
        <v>267</v>
      </c>
      <c r="G36" s="16">
        <v>10.0</v>
      </c>
      <c r="I36" s="16" t="b">
        <v>0</v>
      </c>
      <c r="J36" s="16" t="s">
        <v>159</v>
      </c>
      <c r="N36" s="16" t="b">
        <v>1</v>
      </c>
      <c r="R36" s="16" t="s">
        <v>374</v>
      </c>
    </row>
    <row r="37" hidden="1">
      <c r="A37" s="12">
        <v>2213634.0</v>
      </c>
      <c r="B37" s="13">
        <v>46178.9012037037</v>
      </c>
      <c r="C37" s="12" t="s">
        <v>81</v>
      </c>
      <c r="D37" s="12" t="s">
        <v>378</v>
      </c>
      <c r="E37" s="21"/>
      <c r="F37" s="12" t="s">
        <v>381</v>
      </c>
      <c r="G37" s="16">
        <v>1350.0</v>
      </c>
      <c r="I37" s="16" t="b">
        <v>0</v>
      </c>
      <c r="J37" s="16" t="s">
        <v>130</v>
      </c>
      <c r="K37" s="16" t="s">
        <v>132</v>
      </c>
      <c r="N37" s="16" t="b">
        <v>1</v>
      </c>
      <c r="R37" s="16" t="s">
        <v>385</v>
      </c>
    </row>
    <row r="38" hidden="1">
      <c r="A38" s="12">
        <v>2214519.0</v>
      </c>
      <c r="B38" s="13">
        <v>46179.64011574074</v>
      </c>
      <c r="C38" s="12" t="s">
        <v>152</v>
      </c>
      <c r="D38" s="12" t="s">
        <v>386</v>
      </c>
      <c r="E38" s="15"/>
      <c r="F38" s="12" t="s">
        <v>388</v>
      </c>
      <c r="G38" s="16">
        <v>84.0</v>
      </c>
      <c r="I38" s="16" t="b">
        <v>0</v>
      </c>
      <c r="J38" s="16" t="s">
        <v>159</v>
      </c>
      <c r="N38" s="16" t="b">
        <v>1</v>
      </c>
      <c r="R38" s="16" t="s">
        <v>389</v>
      </c>
    </row>
    <row r="39" hidden="1">
      <c r="A39" s="12">
        <v>2214526.0</v>
      </c>
      <c r="B39" s="13">
        <v>46179.641921296294</v>
      </c>
      <c r="C39" s="12" t="s">
        <v>152</v>
      </c>
      <c r="D39" s="12" t="s">
        <v>393</v>
      </c>
      <c r="E39" s="15"/>
      <c r="F39" s="12" t="s">
        <v>397</v>
      </c>
      <c r="G39" s="16">
        <v>0.11</v>
      </c>
      <c r="I39" s="16" t="b">
        <v>0</v>
      </c>
      <c r="J39" s="16" t="s">
        <v>159</v>
      </c>
      <c r="N39" s="16" t="b">
        <v>1</v>
      </c>
      <c r="R39" s="16" t="s">
        <v>399</v>
      </c>
    </row>
    <row r="40" hidden="1">
      <c r="A40" s="12">
        <v>2215224.0</v>
      </c>
      <c r="B40" s="13">
        <v>46179.83155092593</v>
      </c>
      <c r="C40" s="12" t="s">
        <v>81</v>
      </c>
      <c r="D40" s="12" t="s">
        <v>402</v>
      </c>
      <c r="E40" s="21"/>
      <c r="F40" s="12" t="s">
        <v>331</v>
      </c>
      <c r="G40" s="16">
        <v>20.0</v>
      </c>
      <c r="I40" s="16" t="b">
        <v>0</v>
      </c>
      <c r="J40" s="16" t="s">
        <v>98</v>
      </c>
      <c r="N40" s="16" t="b">
        <v>1</v>
      </c>
      <c r="R40" s="16" t="s">
        <v>405</v>
      </c>
    </row>
    <row r="41" hidden="1">
      <c r="A41" s="12">
        <v>2215290.0</v>
      </c>
      <c r="B41" s="13">
        <v>46179.858090277776</v>
      </c>
      <c r="C41" s="12" t="s">
        <v>81</v>
      </c>
      <c r="D41" s="12" t="s">
        <v>406</v>
      </c>
      <c r="E41" s="15"/>
      <c r="F41" s="12" t="s">
        <v>114</v>
      </c>
      <c r="G41" s="16">
        <v>125.06</v>
      </c>
      <c r="I41" s="16" t="b">
        <v>0</v>
      </c>
      <c r="J41" s="16" t="s">
        <v>115</v>
      </c>
      <c r="N41" s="16" t="b">
        <v>1</v>
      </c>
      <c r="R41" s="16" t="s">
        <v>408</v>
      </c>
    </row>
    <row r="42" hidden="1">
      <c r="A42" s="12">
        <v>2216284.0</v>
      </c>
      <c r="B42" s="13">
        <v>46180.57163194445</v>
      </c>
      <c r="C42" s="12" t="s">
        <v>81</v>
      </c>
      <c r="D42" s="12" t="s">
        <v>411</v>
      </c>
      <c r="E42" s="15"/>
      <c r="F42" s="12" t="s">
        <v>413</v>
      </c>
      <c r="G42" s="16">
        <v>1450.0</v>
      </c>
      <c r="I42" s="16" t="b">
        <v>0</v>
      </c>
      <c r="J42" s="16" t="s">
        <v>130</v>
      </c>
      <c r="K42" s="16" t="s">
        <v>348</v>
      </c>
      <c r="N42" s="16" t="b">
        <v>1</v>
      </c>
      <c r="R42" s="16" t="s">
        <v>415</v>
      </c>
    </row>
    <row r="43" hidden="1">
      <c r="A43" s="12">
        <v>2217253.0</v>
      </c>
      <c r="B43" s="13">
        <v>46180.841898148145</v>
      </c>
      <c r="C43" s="12" t="s">
        <v>81</v>
      </c>
      <c r="D43" s="12" t="s">
        <v>416</v>
      </c>
      <c r="E43" s="15"/>
      <c r="F43" s="12" t="s">
        <v>418</v>
      </c>
      <c r="G43" s="16">
        <v>100.0</v>
      </c>
      <c r="I43" s="16" t="b">
        <v>0</v>
      </c>
      <c r="J43" s="16" t="s">
        <v>231</v>
      </c>
      <c r="M43" s="16" t="s">
        <v>420</v>
      </c>
      <c r="N43" s="16" t="b">
        <v>1</v>
      </c>
      <c r="R43" s="16" t="s">
        <v>421</v>
      </c>
    </row>
    <row r="44" hidden="1">
      <c r="A44" s="12">
        <v>2217324.0</v>
      </c>
      <c r="B44" s="13">
        <v>46180.855474537035</v>
      </c>
      <c r="C44" s="12" t="s">
        <v>81</v>
      </c>
      <c r="D44" s="12" t="s">
        <v>424</v>
      </c>
      <c r="E44" s="15"/>
      <c r="F44" s="12" t="s">
        <v>427</v>
      </c>
      <c r="G44" s="16">
        <v>302.0</v>
      </c>
      <c r="I44" s="16" t="b">
        <v>0</v>
      </c>
      <c r="J44" s="16" t="s">
        <v>231</v>
      </c>
      <c r="M44" s="16" t="s">
        <v>428</v>
      </c>
      <c r="N44" s="16" t="b">
        <v>1</v>
      </c>
      <c r="R44" s="16" t="s">
        <v>429</v>
      </c>
    </row>
    <row r="45" hidden="1">
      <c r="A45" s="12">
        <v>2217330.0</v>
      </c>
      <c r="B45" s="13">
        <v>46180.85591435185</v>
      </c>
      <c r="C45" s="12" t="s">
        <v>81</v>
      </c>
      <c r="D45" s="12" t="s">
        <v>430</v>
      </c>
      <c r="E45" s="15"/>
      <c r="F45" s="12" t="s">
        <v>433</v>
      </c>
      <c r="G45" s="16">
        <v>280.0</v>
      </c>
      <c r="I45" s="16" t="b">
        <v>0</v>
      </c>
      <c r="J45" s="16" t="s">
        <v>231</v>
      </c>
      <c r="M45" s="16" t="s">
        <v>435</v>
      </c>
      <c r="N45" s="16" t="b">
        <v>1</v>
      </c>
      <c r="R45" s="16" t="s">
        <v>438</v>
      </c>
    </row>
    <row r="46" hidden="1">
      <c r="A46" s="12">
        <v>2217367.0</v>
      </c>
      <c r="B46" s="13">
        <v>46180.86854166666</v>
      </c>
      <c r="C46" s="12" t="s">
        <v>81</v>
      </c>
      <c r="D46" s="12" t="s">
        <v>443</v>
      </c>
      <c r="E46" s="15"/>
      <c r="F46" s="12" t="s">
        <v>381</v>
      </c>
      <c r="G46" s="16">
        <v>900.0</v>
      </c>
      <c r="I46" s="16" t="b">
        <v>0</v>
      </c>
      <c r="J46" s="16" t="s">
        <v>130</v>
      </c>
      <c r="K46" s="16" t="s">
        <v>132</v>
      </c>
      <c r="N46" s="16" t="b">
        <v>1</v>
      </c>
      <c r="R46" s="16" t="s">
        <v>444</v>
      </c>
    </row>
    <row r="47" hidden="1">
      <c r="A47" s="12">
        <v>2219254.0</v>
      </c>
      <c r="B47" s="13">
        <v>46181.84295138889</v>
      </c>
      <c r="C47" s="12" t="s">
        <v>81</v>
      </c>
      <c r="D47" s="12" t="s">
        <v>446</v>
      </c>
      <c r="E47" s="15"/>
      <c r="F47" s="12" t="s">
        <v>128</v>
      </c>
      <c r="G47" s="16">
        <v>700.0</v>
      </c>
      <c r="I47" s="16" t="b">
        <v>0</v>
      </c>
      <c r="J47" s="16" t="s">
        <v>130</v>
      </c>
      <c r="K47" s="16" t="s">
        <v>132</v>
      </c>
      <c r="N47" s="16" t="b">
        <v>1</v>
      </c>
      <c r="R47" s="16" t="s">
        <v>450</v>
      </c>
    </row>
    <row r="48" hidden="1">
      <c r="A48" s="12">
        <v>2220778.0</v>
      </c>
      <c r="B48" s="13">
        <v>46182.894641203704</v>
      </c>
      <c r="C48" s="12" t="s">
        <v>81</v>
      </c>
      <c r="D48" s="12" t="s">
        <v>451</v>
      </c>
      <c r="E48" s="15"/>
      <c r="F48" s="12" t="s">
        <v>452</v>
      </c>
      <c r="G48" s="16">
        <v>210.0</v>
      </c>
      <c r="I48" s="16" t="b">
        <v>0</v>
      </c>
      <c r="J48" s="16" t="s">
        <v>115</v>
      </c>
      <c r="M48" s="16" t="s">
        <v>453</v>
      </c>
      <c r="N48" s="16" t="b">
        <v>1</v>
      </c>
      <c r="R48" s="16" t="s">
        <v>455</v>
      </c>
    </row>
    <row r="49" hidden="1">
      <c r="A49" s="12">
        <v>2220782.0</v>
      </c>
      <c r="B49" s="13">
        <v>46182.89601851852</v>
      </c>
      <c r="C49" s="12" t="s">
        <v>81</v>
      </c>
      <c r="D49" s="12" t="s">
        <v>457</v>
      </c>
      <c r="E49" s="15"/>
      <c r="F49" s="12" t="s">
        <v>460</v>
      </c>
      <c r="G49" s="16">
        <v>200.0</v>
      </c>
      <c r="I49" s="16" t="b">
        <v>0</v>
      </c>
      <c r="J49" s="16" t="s">
        <v>115</v>
      </c>
      <c r="M49" s="16" t="s">
        <v>463</v>
      </c>
      <c r="N49" s="16" t="b">
        <v>1</v>
      </c>
      <c r="R49" s="16" t="s">
        <v>464</v>
      </c>
    </row>
    <row r="50" hidden="1">
      <c r="A50" s="12">
        <v>2221379.0</v>
      </c>
      <c r="B50" s="13">
        <v>46183.5809375</v>
      </c>
      <c r="C50" s="12" t="s">
        <v>152</v>
      </c>
      <c r="D50" s="12" t="s">
        <v>466</v>
      </c>
      <c r="E50" s="15"/>
      <c r="F50" s="12" t="s">
        <v>158</v>
      </c>
      <c r="G50" s="16">
        <v>32.45</v>
      </c>
      <c r="I50" s="16" t="b">
        <v>0</v>
      </c>
      <c r="J50" s="16" t="s">
        <v>159</v>
      </c>
      <c r="N50" s="16" t="b">
        <v>1</v>
      </c>
      <c r="R50" s="16" t="s">
        <v>469</v>
      </c>
    </row>
    <row r="51" hidden="1">
      <c r="A51" s="12">
        <v>2222034.0</v>
      </c>
      <c r="B51" s="13">
        <v>46183.88185185185</v>
      </c>
      <c r="C51" s="12" t="s">
        <v>81</v>
      </c>
      <c r="D51" s="12" t="s">
        <v>162</v>
      </c>
      <c r="E51" s="21"/>
      <c r="F51" s="12" t="s">
        <v>128</v>
      </c>
      <c r="G51" s="16">
        <v>150.0</v>
      </c>
      <c r="I51" s="16" t="b">
        <v>0</v>
      </c>
      <c r="J51" s="16" t="s">
        <v>130</v>
      </c>
      <c r="K51" s="16" t="s">
        <v>132</v>
      </c>
      <c r="N51" s="16" t="b">
        <v>1</v>
      </c>
      <c r="R51" s="16" t="s">
        <v>472</v>
      </c>
    </row>
    <row r="52" hidden="1">
      <c r="A52" s="12">
        <v>2222946.0</v>
      </c>
      <c r="B52" s="13">
        <v>46184.757268518515</v>
      </c>
      <c r="C52" s="12" t="s">
        <v>81</v>
      </c>
      <c r="D52" s="12" t="s">
        <v>475</v>
      </c>
      <c r="E52" s="15"/>
      <c r="F52" s="12" t="s">
        <v>477</v>
      </c>
      <c r="G52" s="16">
        <v>30.27</v>
      </c>
      <c r="I52" s="16" t="b">
        <v>0</v>
      </c>
      <c r="J52" s="16" t="s">
        <v>364</v>
      </c>
      <c r="K52" s="23" t="s">
        <v>366</v>
      </c>
      <c r="N52" s="16" t="b">
        <v>1</v>
      </c>
      <c r="R52" s="16" t="s">
        <v>479</v>
      </c>
    </row>
    <row r="53" hidden="1">
      <c r="A53" s="12">
        <v>2223069.0</v>
      </c>
      <c r="B53" s="13">
        <v>46184.83152777778</v>
      </c>
      <c r="C53" s="12" t="s">
        <v>81</v>
      </c>
      <c r="D53" s="12" t="s">
        <v>184</v>
      </c>
      <c r="E53" s="21"/>
      <c r="F53" s="12" t="s">
        <v>381</v>
      </c>
      <c r="G53" s="16">
        <v>450.0</v>
      </c>
      <c r="I53" s="16" t="b">
        <v>0</v>
      </c>
      <c r="J53" s="16" t="s">
        <v>130</v>
      </c>
      <c r="K53" s="16" t="s">
        <v>132</v>
      </c>
      <c r="N53" s="16" t="b">
        <v>1</v>
      </c>
      <c r="R53" s="16" t="s">
        <v>483</v>
      </c>
    </row>
    <row r="54" hidden="1">
      <c r="A54" s="12">
        <v>2223071.0</v>
      </c>
      <c r="B54" s="13">
        <v>46184.832083333335</v>
      </c>
      <c r="C54" s="12" t="s">
        <v>152</v>
      </c>
      <c r="D54" s="12" t="s">
        <v>485</v>
      </c>
      <c r="E54" s="15"/>
      <c r="F54" s="12" t="s">
        <v>486</v>
      </c>
      <c r="G54" s="16">
        <v>60.0</v>
      </c>
      <c r="I54" s="16" t="b">
        <v>1</v>
      </c>
      <c r="J54" s="16" t="s">
        <v>488</v>
      </c>
      <c r="N54" s="16" t="b">
        <v>1</v>
      </c>
      <c r="R54" s="16" t="s">
        <v>489</v>
      </c>
    </row>
    <row r="55" hidden="1">
      <c r="A55" s="12">
        <v>2223962.0</v>
      </c>
      <c r="B55" s="13">
        <v>46185.655185185184</v>
      </c>
      <c r="C55" s="12" t="s">
        <v>81</v>
      </c>
      <c r="D55" s="12" t="s">
        <v>492</v>
      </c>
      <c r="E55" s="15"/>
      <c r="F55" s="12" t="s">
        <v>493</v>
      </c>
      <c r="G55" s="16">
        <v>146.56</v>
      </c>
      <c r="I55" s="16" t="b">
        <v>0</v>
      </c>
      <c r="J55" s="16" t="s">
        <v>142</v>
      </c>
      <c r="N55" s="16" t="b">
        <v>1</v>
      </c>
      <c r="R55" s="16" t="s">
        <v>495</v>
      </c>
    </row>
    <row r="56" hidden="1">
      <c r="A56" s="12">
        <v>2225307.0</v>
      </c>
      <c r="B56" s="13">
        <v>46186.62028935185</v>
      </c>
      <c r="C56" s="12" t="s">
        <v>152</v>
      </c>
      <c r="D56" s="12" t="s">
        <v>498</v>
      </c>
      <c r="E56" s="15"/>
      <c r="F56" s="12" t="s">
        <v>267</v>
      </c>
      <c r="G56" s="16">
        <v>18.75</v>
      </c>
      <c r="I56" s="16" t="b">
        <v>0</v>
      </c>
      <c r="J56" s="16" t="s">
        <v>159</v>
      </c>
      <c r="N56" s="16" t="b">
        <v>1</v>
      </c>
      <c r="R56" s="16" t="s">
        <v>501</v>
      </c>
    </row>
    <row r="57" hidden="1">
      <c r="A57" s="12">
        <v>2225571.0</v>
      </c>
      <c r="B57" s="13">
        <v>46186.7065625</v>
      </c>
      <c r="C57" s="12" t="s">
        <v>81</v>
      </c>
      <c r="D57" s="12" t="s">
        <v>350</v>
      </c>
      <c r="E57" s="15"/>
      <c r="F57" s="12" t="s">
        <v>502</v>
      </c>
      <c r="G57" s="16">
        <v>12.0</v>
      </c>
      <c r="I57" s="16" t="b">
        <v>0</v>
      </c>
      <c r="J57" s="16" t="s">
        <v>98</v>
      </c>
      <c r="N57" s="16" t="b">
        <v>1</v>
      </c>
      <c r="R57" s="16" t="s">
        <v>504</v>
      </c>
    </row>
    <row r="58" hidden="1">
      <c r="A58" s="12">
        <v>2225828.0</v>
      </c>
      <c r="B58" s="13">
        <v>46186.778958333336</v>
      </c>
      <c r="C58" s="12" t="s">
        <v>81</v>
      </c>
      <c r="D58" s="12" t="s">
        <v>416</v>
      </c>
      <c r="E58" s="15"/>
      <c r="F58" s="12" t="s">
        <v>506</v>
      </c>
      <c r="G58" s="16">
        <v>100.0</v>
      </c>
      <c r="I58" s="16" t="b">
        <v>0</v>
      </c>
      <c r="J58" s="16" t="s">
        <v>231</v>
      </c>
      <c r="M58" s="16" t="s">
        <v>509</v>
      </c>
      <c r="N58" s="16" t="b">
        <v>1</v>
      </c>
      <c r="R58" s="16" t="s">
        <v>511</v>
      </c>
    </row>
    <row r="59" hidden="1">
      <c r="A59" s="12">
        <v>2225830.0</v>
      </c>
      <c r="B59" s="13">
        <v>46186.77929398148</v>
      </c>
      <c r="C59" s="12" t="s">
        <v>81</v>
      </c>
      <c r="D59" s="12" t="s">
        <v>517</v>
      </c>
      <c r="E59" s="15"/>
      <c r="F59" s="12" t="s">
        <v>381</v>
      </c>
      <c r="G59" s="16">
        <v>40.0</v>
      </c>
      <c r="I59" s="16" t="b">
        <v>0</v>
      </c>
      <c r="J59" s="16" t="s">
        <v>130</v>
      </c>
      <c r="K59" s="16" t="s">
        <v>132</v>
      </c>
      <c r="N59" s="16" t="b">
        <v>1</v>
      </c>
      <c r="R59" s="16" t="s">
        <v>521</v>
      </c>
    </row>
    <row r="60" hidden="1">
      <c r="A60" s="12">
        <v>2225839.0</v>
      </c>
      <c r="B60" s="13">
        <v>46186.780381944445</v>
      </c>
      <c r="C60" s="12" t="s">
        <v>81</v>
      </c>
      <c r="D60" s="12" t="s">
        <v>523</v>
      </c>
      <c r="E60" s="15"/>
      <c r="F60" s="12" t="s">
        <v>381</v>
      </c>
      <c r="G60" s="16">
        <v>360.0</v>
      </c>
      <c r="I60" s="16" t="b">
        <v>0</v>
      </c>
      <c r="J60" s="16" t="s">
        <v>130</v>
      </c>
      <c r="K60" s="16" t="s">
        <v>132</v>
      </c>
      <c r="N60" s="16" t="b">
        <v>1</v>
      </c>
      <c r="R60" s="16" t="s">
        <v>526</v>
      </c>
    </row>
    <row r="61" hidden="1">
      <c r="A61" s="12">
        <v>2228436.0</v>
      </c>
      <c r="B61" s="13">
        <v>46188.48260416667</v>
      </c>
      <c r="C61" s="12" t="s">
        <v>81</v>
      </c>
      <c r="D61" s="12" t="s">
        <v>446</v>
      </c>
      <c r="E61" s="15"/>
      <c r="F61" s="12" t="s">
        <v>530</v>
      </c>
      <c r="G61" s="16">
        <v>700.0</v>
      </c>
      <c r="I61" s="16" t="b">
        <v>0</v>
      </c>
      <c r="J61" s="16" t="s">
        <v>130</v>
      </c>
      <c r="K61" s="16" t="s">
        <v>132</v>
      </c>
      <c r="N61" s="16" t="b">
        <v>1</v>
      </c>
      <c r="R61" s="16" t="s">
        <v>532</v>
      </c>
    </row>
    <row r="62" hidden="1">
      <c r="A62" s="12">
        <v>2228437.0</v>
      </c>
      <c r="B62" s="13">
        <v>46188.48349537037</v>
      </c>
      <c r="C62" s="12" t="s">
        <v>81</v>
      </c>
      <c r="D62" s="12" t="s">
        <v>536</v>
      </c>
      <c r="E62" s="15"/>
      <c r="F62" s="12" t="s">
        <v>506</v>
      </c>
      <c r="G62" s="16">
        <v>80.0</v>
      </c>
      <c r="I62" s="16" t="b">
        <v>0</v>
      </c>
      <c r="J62" s="16" t="s">
        <v>231</v>
      </c>
      <c r="M62" s="16" t="s">
        <v>537</v>
      </c>
      <c r="N62" s="16" t="b">
        <v>1</v>
      </c>
      <c r="R62" s="16" t="s">
        <v>538</v>
      </c>
    </row>
    <row r="63" hidden="1">
      <c r="A63" s="12">
        <v>2228440.0</v>
      </c>
      <c r="B63" s="13">
        <v>46188.48373842592</v>
      </c>
      <c r="C63" s="12" t="s">
        <v>81</v>
      </c>
      <c r="D63" s="12" t="s">
        <v>541</v>
      </c>
      <c r="E63" s="15"/>
      <c r="F63" s="12" t="s">
        <v>544</v>
      </c>
      <c r="G63" s="16">
        <v>11.07</v>
      </c>
      <c r="I63" s="16" t="b">
        <v>0</v>
      </c>
      <c r="J63" s="16" t="s">
        <v>364</v>
      </c>
      <c r="K63" s="23" t="s">
        <v>366</v>
      </c>
      <c r="N63" s="16" t="b">
        <v>1</v>
      </c>
      <c r="R63" s="16" t="s">
        <v>545</v>
      </c>
    </row>
    <row r="64" hidden="1">
      <c r="A64" s="12">
        <v>2229177.0</v>
      </c>
      <c r="B64" s="13">
        <v>46188.87862268519</v>
      </c>
      <c r="C64" s="12" t="s">
        <v>81</v>
      </c>
      <c r="D64" s="12" t="s">
        <v>548</v>
      </c>
      <c r="E64" s="15"/>
      <c r="F64" s="12" t="s">
        <v>460</v>
      </c>
      <c r="G64" s="16">
        <v>143.48</v>
      </c>
      <c r="I64" s="16" t="b">
        <v>0</v>
      </c>
      <c r="J64" s="16" t="s">
        <v>115</v>
      </c>
      <c r="M64" s="16" t="s">
        <v>552</v>
      </c>
      <c r="N64" s="16" t="b">
        <v>1</v>
      </c>
      <c r="R64" s="16" t="s">
        <v>553</v>
      </c>
    </row>
    <row r="65" hidden="1">
      <c r="A65" s="12">
        <v>2229179.0</v>
      </c>
      <c r="B65" s="13">
        <v>46188.87883101852</v>
      </c>
      <c r="C65" s="12" t="s">
        <v>81</v>
      </c>
      <c r="D65" s="12" t="s">
        <v>555</v>
      </c>
      <c r="E65" s="15"/>
      <c r="F65" s="12" t="s">
        <v>556</v>
      </c>
      <c r="G65" s="16">
        <v>13.99</v>
      </c>
      <c r="I65" s="16" t="b">
        <v>0</v>
      </c>
      <c r="J65" s="16" t="s">
        <v>115</v>
      </c>
      <c r="M65" s="16" t="s">
        <v>559</v>
      </c>
      <c r="N65" s="16" t="b">
        <v>1</v>
      </c>
      <c r="R65" s="16" t="s">
        <v>561</v>
      </c>
    </row>
    <row r="66" hidden="1">
      <c r="A66" s="12">
        <v>2229189.0</v>
      </c>
      <c r="B66" s="13">
        <v>46188.88136574074</v>
      </c>
      <c r="C66" s="12" t="s">
        <v>81</v>
      </c>
      <c r="D66" s="12" t="s">
        <v>335</v>
      </c>
      <c r="E66" s="15"/>
      <c r="F66" s="12" t="s">
        <v>563</v>
      </c>
      <c r="G66" s="16">
        <v>10.0</v>
      </c>
      <c r="I66" s="16" t="b">
        <v>0</v>
      </c>
      <c r="J66" s="16" t="s">
        <v>98</v>
      </c>
      <c r="N66" s="16" t="b">
        <v>1</v>
      </c>
      <c r="R66" s="16" t="s">
        <v>564</v>
      </c>
    </row>
    <row r="67" hidden="1">
      <c r="A67" s="12">
        <v>2230356.0</v>
      </c>
      <c r="B67" s="13">
        <v>46189.8528125</v>
      </c>
      <c r="C67" s="12" t="s">
        <v>81</v>
      </c>
      <c r="D67" s="12" t="s">
        <v>567</v>
      </c>
      <c r="E67" s="15"/>
      <c r="F67" s="12" t="s">
        <v>568</v>
      </c>
      <c r="G67" s="16">
        <v>5.94</v>
      </c>
      <c r="I67" s="16" t="b">
        <v>0</v>
      </c>
      <c r="J67" s="16" t="s">
        <v>364</v>
      </c>
      <c r="K67" s="23" t="s">
        <v>366</v>
      </c>
      <c r="N67" s="16" t="b">
        <v>1</v>
      </c>
      <c r="R67" s="16" t="s">
        <v>571</v>
      </c>
    </row>
    <row r="68" hidden="1">
      <c r="A68" s="12">
        <v>2230362.0</v>
      </c>
      <c r="B68" s="13">
        <v>46189.855416666665</v>
      </c>
      <c r="C68" s="12" t="s">
        <v>81</v>
      </c>
      <c r="D68" s="12" t="s">
        <v>146</v>
      </c>
      <c r="E68" s="15"/>
      <c r="F68" s="12" t="s">
        <v>128</v>
      </c>
      <c r="G68" s="16">
        <v>400.0</v>
      </c>
      <c r="I68" s="16" t="b">
        <v>0</v>
      </c>
      <c r="J68" s="16" t="s">
        <v>130</v>
      </c>
      <c r="K68" s="16" t="s">
        <v>132</v>
      </c>
      <c r="N68" s="16" t="b">
        <v>1</v>
      </c>
      <c r="R68" s="16" t="s">
        <v>573</v>
      </c>
    </row>
    <row r="69" hidden="1">
      <c r="A69" s="12">
        <v>2230379.0</v>
      </c>
      <c r="B69" s="13">
        <v>46189.86571759259</v>
      </c>
      <c r="C69" s="12" t="s">
        <v>81</v>
      </c>
      <c r="D69" s="12" t="s">
        <v>335</v>
      </c>
      <c r="E69" s="15"/>
      <c r="F69" s="12" t="s">
        <v>574</v>
      </c>
      <c r="G69" s="16">
        <v>10.0</v>
      </c>
      <c r="I69" s="16" t="b">
        <v>0</v>
      </c>
      <c r="J69" s="16" t="s">
        <v>98</v>
      </c>
      <c r="N69" s="16" t="b">
        <v>1</v>
      </c>
      <c r="R69" s="16" t="s">
        <v>575</v>
      </c>
    </row>
    <row r="70" hidden="1">
      <c r="A70" s="12">
        <v>2231363.0</v>
      </c>
      <c r="B70" s="13">
        <v>46190.745474537034</v>
      </c>
      <c r="C70" s="12" t="s">
        <v>81</v>
      </c>
      <c r="D70" s="12" t="s">
        <v>576</v>
      </c>
      <c r="E70" s="15"/>
      <c r="F70" s="12" t="s">
        <v>577</v>
      </c>
      <c r="G70" s="16">
        <v>18.0</v>
      </c>
      <c r="I70" s="16" t="b">
        <v>0</v>
      </c>
      <c r="J70" s="16" t="s">
        <v>98</v>
      </c>
      <c r="N70" s="16" t="b">
        <v>1</v>
      </c>
      <c r="R70" s="16" t="s">
        <v>579</v>
      </c>
    </row>
    <row r="71" hidden="1">
      <c r="A71" s="12">
        <v>2231365.0</v>
      </c>
      <c r="B71" s="13">
        <v>46190.74581018519</v>
      </c>
      <c r="C71" s="12" t="s">
        <v>81</v>
      </c>
      <c r="D71" s="12" t="s">
        <v>583</v>
      </c>
      <c r="E71" s="15"/>
      <c r="F71" s="12" t="s">
        <v>585</v>
      </c>
      <c r="G71" s="16">
        <v>9.26</v>
      </c>
      <c r="I71" s="16" t="b">
        <v>0</v>
      </c>
      <c r="J71" s="16" t="s">
        <v>364</v>
      </c>
      <c r="K71" s="23" t="s">
        <v>366</v>
      </c>
      <c r="N71" s="16" t="b">
        <v>1</v>
      </c>
      <c r="R71" s="16" t="s">
        <v>587</v>
      </c>
    </row>
    <row r="72" hidden="1">
      <c r="A72" s="12">
        <v>2231569.0</v>
      </c>
      <c r="B72" s="13">
        <v>46190.86362268519</v>
      </c>
      <c r="C72" s="12" t="s">
        <v>81</v>
      </c>
      <c r="D72" s="12" t="s">
        <v>457</v>
      </c>
      <c r="E72" s="15"/>
      <c r="F72" s="12" t="s">
        <v>128</v>
      </c>
      <c r="G72" s="16">
        <v>200.0</v>
      </c>
      <c r="I72" s="16" t="b">
        <v>0</v>
      </c>
      <c r="J72" s="16" t="s">
        <v>130</v>
      </c>
      <c r="K72" s="16" t="s">
        <v>132</v>
      </c>
      <c r="N72" s="16" t="b">
        <v>1</v>
      </c>
      <c r="R72" s="16" t="s">
        <v>589</v>
      </c>
    </row>
    <row r="73" hidden="1">
      <c r="A73" s="12">
        <v>2232910.0</v>
      </c>
      <c r="B73" s="13">
        <v>46191.87519675926</v>
      </c>
      <c r="C73" s="12" t="s">
        <v>81</v>
      </c>
      <c r="D73" s="12" t="s">
        <v>590</v>
      </c>
      <c r="E73" s="21"/>
      <c r="F73" s="12" t="s">
        <v>128</v>
      </c>
      <c r="G73" s="16">
        <v>350.0</v>
      </c>
      <c r="I73" s="16" t="b">
        <v>0</v>
      </c>
      <c r="J73" s="16" t="s">
        <v>130</v>
      </c>
      <c r="K73" s="16" t="s">
        <v>132</v>
      </c>
      <c r="N73" s="16" t="b">
        <v>1</v>
      </c>
      <c r="R73" s="16" t="s">
        <v>593</v>
      </c>
    </row>
    <row r="74" hidden="1">
      <c r="A74" s="12">
        <v>2232911.0</v>
      </c>
      <c r="B74" s="13">
        <v>46191.875555555554</v>
      </c>
      <c r="C74" s="12" t="s">
        <v>81</v>
      </c>
      <c r="D74" s="12" t="s">
        <v>595</v>
      </c>
      <c r="E74" s="15"/>
      <c r="F74" s="12" t="s">
        <v>211</v>
      </c>
      <c r="G74" s="16">
        <v>128.94</v>
      </c>
      <c r="I74" s="16" t="b">
        <v>0</v>
      </c>
      <c r="J74" s="16" t="s">
        <v>115</v>
      </c>
      <c r="M74" s="16" t="s">
        <v>596</v>
      </c>
      <c r="N74" s="16" t="b">
        <v>1</v>
      </c>
      <c r="R74" s="16" t="s">
        <v>598</v>
      </c>
    </row>
    <row r="75" hidden="1">
      <c r="A75" s="12">
        <v>2236295.0</v>
      </c>
      <c r="B75" s="13">
        <v>46194.67822916667</v>
      </c>
      <c r="C75" s="12" t="s">
        <v>152</v>
      </c>
      <c r="D75" s="12" t="s">
        <v>600</v>
      </c>
      <c r="E75" s="15"/>
      <c r="F75" s="12" t="s">
        <v>158</v>
      </c>
      <c r="G75" s="16">
        <v>5.5</v>
      </c>
      <c r="I75" s="16" t="b">
        <v>0</v>
      </c>
      <c r="J75" s="16" t="s">
        <v>159</v>
      </c>
      <c r="N75" s="16" t="b">
        <v>1</v>
      </c>
      <c r="R75" s="16" t="s">
        <v>604</v>
      </c>
    </row>
    <row r="76" hidden="1">
      <c r="A76" s="12">
        <v>2238007.0</v>
      </c>
      <c r="B76" s="13">
        <v>46195.47414351852</v>
      </c>
      <c r="C76" s="12" t="s">
        <v>81</v>
      </c>
      <c r="D76" s="12" t="s">
        <v>536</v>
      </c>
      <c r="E76" s="15"/>
      <c r="F76" s="12" t="s">
        <v>606</v>
      </c>
      <c r="G76" s="16">
        <v>80.0</v>
      </c>
      <c r="I76" s="16" t="b">
        <v>0</v>
      </c>
      <c r="J76" s="16" t="s">
        <v>231</v>
      </c>
      <c r="N76" s="16" t="b">
        <v>1</v>
      </c>
      <c r="R76" s="16" t="s">
        <v>607</v>
      </c>
    </row>
    <row r="77" hidden="1">
      <c r="A77" s="12">
        <v>2238008.0</v>
      </c>
      <c r="B77" s="13">
        <v>46195.474444444444</v>
      </c>
      <c r="C77" s="12" t="s">
        <v>81</v>
      </c>
      <c r="D77" s="12" t="s">
        <v>609</v>
      </c>
      <c r="E77" s="15"/>
      <c r="F77" s="12" t="s">
        <v>427</v>
      </c>
      <c r="G77" s="16">
        <v>82.0</v>
      </c>
      <c r="I77" s="16" t="b">
        <v>0</v>
      </c>
      <c r="J77" s="16" t="s">
        <v>231</v>
      </c>
      <c r="N77" s="16" t="b">
        <v>1</v>
      </c>
      <c r="R77" s="16" t="s">
        <v>612</v>
      </c>
    </row>
    <row r="78" hidden="1">
      <c r="A78" s="12">
        <v>2238018.0</v>
      </c>
      <c r="B78" s="13">
        <v>46195.49061342593</v>
      </c>
      <c r="C78" s="12" t="s">
        <v>81</v>
      </c>
      <c r="D78" s="12" t="s">
        <v>576</v>
      </c>
      <c r="E78" s="15"/>
      <c r="F78" s="12" t="s">
        <v>563</v>
      </c>
      <c r="G78" s="16">
        <v>18.0</v>
      </c>
      <c r="I78" s="16" t="b">
        <v>0</v>
      </c>
      <c r="J78" s="16" t="s">
        <v>98</v>
      </c>
      <c r="N78" s="16" t="b">
        <v>1</v>
      </c>
      <c r="R78" s="16" t="s">
        <v>613</v>
      </c>
    </row>
    <row r="79" hidden="1">
      <c r="A79" s="12">
        <v>2238019.0</v>
      </c>
      <c r="B79" s="13">
        <v>46195.49159722222</v>
      </c>
      <c r="C79" s="12" t="s">
        <v>81</v>
      </c>
      <c r="D79" s="12" t="s">
        <v>411</v>
      </c>
      <c r="E79" s="15"/>
      <c r="F79" s="12" t="s">
        <v>617</v>
      </c>
      <c r="G79" s="16">
        <v>1450.0</v>
      </c>
      <c r="I79" s="16" t="b">
        <v>0</v>
      </c>
      <c r="J79" s="16" t="s">
        <v>130</v>
      </c>
      <c r="K79" s="16" t="s">
        <v>132</v>
      </c>
      <c r="N79" s="16" t="b">
        <v>1</v>
      </c>
      <c r="R79" s="16" t="s">
        <v>620</v>
      </c>
    </row>
    <row r="80" hidden="1">
      <c r="A80" s="12">
        <v>2238129.0</v>
      </c>
      <c r="B80" s="13">
        <v>46195.579560185186</v>
      </c>
      <c r="C80" s="12" t="s">
        <v>152</v>
      </c>
      <c r="D80" s="12" t="s">
        <v>623</v>
      </c>
      <c r="E80" s="15"/>
      <c r="F80" s="12" t="s">
        <v>267</v>
      </c>
      <c r="G80" s="16">
        <v>1.3</v>
      </c>
      <c r="I80" s="16" t="b">
        <v>0</v>
      </c>
      <c r="J80" s="16" t="s">
        <v>159</v>
      </c>
      <c r="N80" s="16" t="b">
        <v>1</v>
      </c>
      <c r="R80" s="16" t="s">
        <v>626</v>
      </c>
    </row>
    <row r="81" hidden="1">
      <c r="A81" s="12">
        <v>2238399.0</v>
      </c>
      <c r="B81" s="13">
        <v>46195.719293981485</v>
      </c>
      <c r="C81" s="12" t="s">
        <v>81</v>
      </c>
      <c r="D81" s="12" t="s">
        <v>628</v>
      </c>
      <c r="E81" s="15"/>
      <c r="F81" s="12" t="s">
        <v>629</v>
      </c>
      <c r="G81" s="16">
        <v>9.56</v>
      </c>
      <c r="I81" s="16" t="b">
        <v>0</v>
      </c>
      <c r="J81" s="16" t="s">
        <v>630</v>
      </c>
      <c r="N81" s="16" t="b">
        <v>1</v>
      </c>
      <c r="R81" s="16" t="s">
        <v>631</v>
      </c>
    </row>
    <row r="82" hidden="1">
      <c r="A82" s="12">
        <v>2238590.0</v>
      </c>
      <c r="B82" s="13">
        <v>46195.80793981482</v>
      </c>
      <c r="C82" s="12" t="s">
        <v>81</v>
      </c>
      <c r="D82" s="12" t="s">
        <v>634</v>
      </c>
      <c r="E82" s="15"/>
      <c r="F82" s="12" t="s">
        <v>313</v>
      </c>
      <c r="G82" s="16">
        <v>121.61</v>
      </c>
      <c r="I82" s="16" t="b">
        <v>0</v>
      </c>
      <c r="J82" s="16" t="s">
        <v>115</v>
      </c>
      <c r="N82" s="16" t="b">
        <v>1</v>
      </c>
      <c r="R82" s="16" t="s">
        <v>635</v>
      </c>
    </row>
    <row r="83" hidden="1">
      <c r="A83" s="12">
        <v>2238591.0</v>
      </c>
      <c r="B83" s="13">
        <v>46195.80805555556</v>
      </c>
      <c r="C83" s="12" t="s">
        <v>81</v>
      </c>
      <c r="D83" s="12" t="s">
        <v>402</v>
      </c>
      <c r="E83" s="15"/>
      <c r="F83" s="12" t="s">
        <v>636</v>
      </c>
      <c r="G83" s="16">
        <v>20.0</v>
      </c>
      <c r="I83" s="16" t="b">
        <v>0</v>
      </c>
      <c r="J83" s="16" t="s">
        <v>115</v>
      </c>
      <c r="N83" s="16" t="b">
        <v>1</v>
      </c>
      <c r="R83" s="16" t="s">
        <v>639</v>
      </c>
    </row>
    <row r="84" hidden="1">
      <c r="A84" s="12">
        <v>2239799.0</v>
      </c>
      <c r="B84" s="13">
        <v>46196.85989583333</v>
      </c>
      <c r="C84" s="12" t="s">
        <v>81</v>
      </c>
      <c r="D84" s="12" t="s">
        <v>485</v>
      </c>
      <c r="E84" s="15"/>
      <c r="F84" s="12" t="s">
        <v>642</v>
      </c>
      <c r="G84" s="16">
        <v>60.0</v>
      </c>
      <c r="I84" s="16" t="b">
        <v>0</v>
      </c>
      <c r="J84" s="16" t="s">
        <v>115</v>
      </c>
      <c r="N84" s="16" t="b">
        <v>1</v>
      </c>
      <c r="R84" s="16" t="s">
        <v>643</v>
      </c>
    </row>
    <row r="85" hidden="1">
      <c r="A85" s="12">
        <v>2240536.0</v>
      </c>
      <c r="B85" s="13">
        <v>46197.69546296296</v>
      </c>
      <c r="C85" s="12" t="s">
        <v>81</v>
      </c>
      <c r="D85" s="12" t="s">
        <v>485</v>
      </c>
      <c r="E85" s="15"/>
      <c r="F85" s="12" t="s">
        <v>644</v>
      </c>
      <c r="G85" s="16">
        <v>60.0</v>
      </c>
      <c r="I85" s="16" t="b">
        <v>0</v>
      </c>
      <c r="J85" s="16" t="s">
        <v>231</v>
      </c>
      <c r="N85" s="16" t="b">
        <v>1</v>
      </c>
      <c r="R85" s="16" t="s">
        <v>646</v>
      </c>
    </row>
    <row r="86" hidden="1">
      <c r="A86" s="12">
        <v>2240537.0</v>
      </c>
      <c r="B86" s="13">
        <v>46197.696550925924</v>
      </c>
      <c r="C86" s="12" t="s">
        <v>81</v>
      </c>
      <c r="D86" s="12" t="s">
        <v>649</v>
      </c>
      <c r="E86" s="15"/>
      <c r="F86" s="12" t="s">
        <v>651</v>
      </c>
      <c r="G86" s="16">
        <v>135.0</v>
      </c>
      <c r="I86" s="16" t="b">
        <v>0</v>
      </c>
      <c r="J86" s="16" t="s">
        <v>231</v>
      </c>
      <c r="N86" s="16" t="b">
        <v>1</v>
      </c>
      <c r="R86" s="16" t="s">
        <v>652</v>
      </c>
    </row>
    <row r="87" hidden="1">
      <c r="A87" s="12">
        <v>2240539.0</v>
      </c>
      <c r="B87" s="13">
        <v>46197.696909722225</v>
      </c>
      <c r="C87" s="12" t="s">
        <v>81</v>
      </c>
      <c r="D87" s="12" t="s">
        <v>655</v>
      </c>
      <c r="E87" s="15"/>
      <c r="F87" s="12" t="s">
        <v>656</v>
      </c>
      <c r="G87" s="16">
        <v>10.32</v>
      </c>
      <c r="I87" s="16" t="b">
        <v>0</v>
      </c>
      <c r="J87" s="16" t="s">
        <v>364</v>
      </c>
      <c r="K87" s="23" t="s">
        <v>366</v>
      </c>
      <c r="N87" s="16" t="b">
        <v>1</v>
      </c>
      <c r="R87" s="16" t="s">
        <v>657</v>
      </c>
    </row>
    <row r="88" hidden="1">
      <c r="A88" s="12">
        <v>2240649.0</v>
      </c>
      <c r="B88" s="13">
        <v>46197.737349537034</v>
      </c>
      <c r="C88" s="12" t="s">
        <v>81</v>
      </c>
      <c r="D88" s="12" t="s">
        <v>659</v>
      </c>
      <c r="E88" s="15"/>
      <c r="F88" s="12" t="s">
        <v>661</v>
      </c>
      <c r="G88" s="16">
        <v>4.0</v>
      </c>
      <c r="I88" s="16" t="b">
        <v>0</v>
      </c>
      <c r="J88" s="16" t="s">
        <v>364</v>
      </c>
      <c r="K88" s="23" t="s">
        <v>366</v>
      </c>
      <c r="N88" s="16" t="b">
        <v>1</v>
      </c>
      <c r="R88" s="16" t="s">
        <v>664</v>
      </c>
    </row>
    <row r="89" hidden="1">
      <c r="A89" s="12">
        <v>2241935.0</v>
      </c>
      <c r="B89" s="13">
        <v>46198.894328703704</v>
      </c>
      <c r="C89" s="12" t="s">
        <v>81</v>
      </c>
      <c r="D89" s="12" t="s">
        <v>665</v>
      </c>
      <c r="E89" s="15"/>
      <c r="F89" s="12" t="s">
        <v>666</v>
      </c>
      <c r="G89" s="16">
        <v>21.98</v>
      </c>
      <c r="I89" s="16" t="b">
        <v>0</v>
      </c>
      <c r="J89" s="16" t="s">
        <v>115</v>
      </c>
      <c r="N89" s="16" t="b">
        <v>1</v>
      </c>
      <c r="R89" s="16" t="s">
        <v>667</v>
      </c>
    </row>
    <row r="90" hidden="1">
      <c r="A90" s="12">
        <v>2241937.0</v>
      </c>
      <c r="B90" s="13">
        <v>46198.89460648148</v>
      </c>
      <c r="C90" s="12" t="s">
        <v>81</v>
      </c>
      <c r="D90" s="12" t="s">
        <v>669</v>
      </c>
      <c r="E90" s="15"/>
      <c r="F90" s="12" t="s">
        <v>671</v>
      </c>
      <c r="G90" s="16">
        <v>7.0</v>
      </c>
      <c r="I90" s="16" t="b">
        <v>0</v>
      </c>
      <c r="J90" s="16" t="s">
        <v>115</v>
      </c>
      <c r="N90" s="16" t="b">
        <v>1</v>
      </c>
      <c r="R90" s="16" t="s">
        <v>674</v>
      </c>
    </row>
    <row r="91" hidden="1">
      <c r="A91" s="12">
        <v>2241938.0</v>
      </c>
      <c r="B91" s="13">
        <v>46198.894953703704</v>
      </c>
      <c r="C91" s="12" t="s">
        <v>81</v>
      </c>
      <c r="D91" s="12" t="s">
        <v>676</v>
      </c>
      <c r="E91" s="21"/>
      <c r="F91" s="12" t="s">
        <v>193</v>
      </c>
      <c r="G91" s="16">
        <v>11.02</v>
      </c>
      <c r="I91" s="16" t="b">
        <v>0</v>
      </c>
      <c r="J91" s="16" t="s">
        <v>115</v>
      </c>
      <c r="N91" s="16" t="b">
        <v>1</v>
      </c>
      <c r="R91" s="16" t="s">
        <v>678</v>
      </c>
    </row>
    <row r="92" hidden="1">
      <c r="A92" s="12">
        <v>2241961.0</v>
      </c>
      <c r="B92" s="13">
        <v>46198.9015162037</v>
      </c>
      <c r="C92" s="12" t="s">
        <v>81</v>
      </c>
      <c r="D92" s="12" t="s">
        <v>590</v>
      </c>
      <c r="E92" s="15"/>
      <c r="F92" s="12" t="s">
        <v>128</v>
      </c>
      <c r="G92" s="16">
        <v>350.0</v>
      </c>
      <c r="I92" s="16" t="b">
        <v>0</v>
      </c>
      <c r="J92" s="16" t="s">
        <v>130</v>
      </c>
      <c r="K92" s="16" t="s">
        <v>132</v>
      </c>
      <c r="N92" s="16" t="b">
        <v>1</v>
      </c>
      <c r="R92" s="16" t="s">
        <v>682</v>
      </c>
    </row>
    <row r="93" hidden="1">
      <c r="A93" s="12">
        <v>2242613.0</v>
      </c>
      <c r="B93" s="13">
        <v>46199.698854166665</v>
      </c>
      <c r="C93" s="12" t="s">
        <v>152</v>
      </c>
      <c r="D93" s="12" t="s">
        <v>684</v>
      </c>
      <c r="E93" s="15"/>
      <c r="F93" s="12" t="s">
        <v>158</v>
      </c>
      <c r="G93" s="16">
        <v>27.0</v>
      </c>
      <c r="I93" s="16" t="b">
        <v>0</v>
      </c>
      <c r="J93" s="16" t="s">
        <v>159</v>
      </c>
      <c r="N93" s="16" t="b">
        <v>1</v>
      </c>
      <c r="R93" s="16" t="s">
        <v>686</v>
      </c>
    </row>
    <row r="94" hidden="1">
      <c r="A94" s="12">
        <v>2242709.0</v>
      </c>
      <c r="B94" s="13">
        <v>46199.73640046296</v>
      </c>
      <c r="C94" s="12" t="s">
        <v>81</v>
      </c>
      <c r="D94" s="12" t="s">
        <v>688</v>
      </c>
      <c r="E94" s="15"/>
      <c r="F94" s="12" t="s">
        <v>690</v>
      </c>
      <c r="G94" s="16">
        <v>92.4</v>
      </c>
      <c r="I94" s="16" t="b">
        <v>0</v>
      </c>
      <c r="J94" s="16" t="s">
        <v>142</v>
      </c>
      <c r="N94" s="16" t="b">
        <v>1</v>
      </c>
      <c r="R94" s="16" t="s">
        <v>691</v>
      </c>
    </row>
    <row r="95" hidden="1">
      <c r="A95" s="12">
        <v>2242711.0</v>
      </c>
      <c r="B95" s="13">
        <v>46199.736655092594</v>
      </c>
      <c r="C95" s="12" t="s">
        <v>81</v>
      </c>
      <c r="D95" s="12" t="s">
        <v>695</v>
      </c>
      <c r="E95" s="15"/>
      <c r="F95" s="12" t="s">
        <v>568</v>
      </c>
      <c r="G95" s="16">
        <v>13.18</v>
      </c>
      <c r="I95" s="16" t="b">
        <v>0</v>
      </c>
      <c r="J95" s="16" t="s">
        <v>364</v>
      </c>
      <c r="K95" s="23" t="s">
        <v>366</v>
      </c>
      <c r="N95" s="16" t="b">
        <v>1</v>
      </c>
      <c r="R95" s="16" t="s">
        <v>697</v>
      </c>
    </row>
    <row r="96" hidden="1">
      <c r="A96" s="12">
        <v>2242968.0</v>
      </c>
      <c r="B96" s="13">
        <v>46199.859872685185</v>
      </c>
      <c r="C96" s="12" t="s">
        <v>81</v>
      </c>
      <c r="D96" s="12" t="s">
        <v>700</v>
      </c>
      <c r="E96" s="15"/>
      <c r="F96" s="12" t="s">
        <v>193</v>
      </c>
      <c r="G96" s="16">
        <v>23.47</v>
      </c>
      <c r="I96" s="16" t="b">
        <v>0</v>
      </c>
      <c r="J96" s="16" t="s">
        <v>115</v>
      </c>
      <c r="M96" s="16" t="s">
        <v>702</v>
      </c>
      <c r="N96" s="16" t="b">
        <v>1</v>
      </c>
      <c r="R96" s="16" t="s">
        <v>703</v>
      </c>
    </row>
    <row r="97" hidden="1">
      <c r="A97" s="12">
        <v>2243006.0</v>
      </c>
      <c r="B97" s="13">
        <v>46199.87396990741</v>
      </c>
      <c r="C97" s="12" t="s">
        <v>81</v>
      </c>
      <c r="D97" s="12" t="s">
        <v>590</v>
      </c>
      <c r="E97" s="15"/>
      <c r="F97" s="12" t="s">
        <v>128</v>
      </c>
      <c r="G97" s="16">
        <v>350.0</v>
      </c>
      <c r="I97" s="16" t="b">
        <v>0</v>
      </c>
      <c r="J97" s="16" t="s">
        <v>130</v>
      </c>
      <c r="K97" s="16" t="s">
        <v>132</v>
      </c>
      <c r="N97" s="16" t="b">
        <v>1</v>
      </c>
      <c r="R97" s="16" t="s">
        <v>710</v>
      </c>
    </row>
    <row r="98" hidden="1">
      <c r="A98" s="12">
        <v>2243964.0</v>
      </c>
      <c r="B98" s="13">
        <v>46200.70951388889</v>
      </c>
      <c r="C98" s="12" t="s">
        <v>81</v>
      </c>
      <c r="D98" s="12" t="s">
        <v>713</v>
      </c>
      <c r="E98" s="15"/>
      <c r="F98" s="12" t="s">
        <v>714</v>
      </c>
      <c r="G98" s="16">
        <v>50.0</v>
      </c>
      <c r="I98" s="16" t="b">
        <v>0</v>
      </c>
      <c r="J98" s="16" t="s">
        <v>231</v>
      </c>
      <c r="M98" s="16" t="s">
        <v>718</v>
      </c>
      <c r="N98" s="16" t="b">
        <v>1</v>
      </c>
      <c r="R98" s="16" t="s">
        <v>720</v>
      </c>
    </row>
    <row r="99" hidden="1">
      <c r="A99" s="12">
        <v>2244467.0</v>
      </c>
      <c r="B99" s="13">
        <v>46200.881203703706</v>
      </c>
      <c r="C99" s="12" t="s">
        <v>81</v>
      </c>
      <c r="D99" s="12" t="s">
        <v>722</v>
      </c>
      <c r="E99" s="15"/>
      <c r="F99" s="12" t="s">
        <v>506</v>
      </c>
      <c r="G99" s="16">
        <v>112.0</v>
      </c>
      <c r="I99" s="16" t="b">
        <v>0</v>
      </c>
      <c r="J99" s="16" t="s">
        <v>231</v>
      </c>
      <c r="M99" s="16" t="s">
        <v>725</v>
      </c>
      <c r="N99" s="16" t="b">
        <v>1</v>
      </c>
      <c r="R99" s="16" t="s">
        <v>728</v>
      </c>
    </row>
    <row r="100" hidden="1">
      <c r="A100" s="12">
        <v>2244470.0</v>
      </c>
      <c r="B100" s="13">
        <v>46200.881886574076</v>
      </c>
      <c r="C100" s="12" t="s">
        <v>81</v>
      </c>
      <c r="D100" s="12" t="s">
        <v>184</v>
      </c>
      <c r="E100" s="15"/>
      <c r="F100" s="12" t="s">
        <v>381</v>
      </c>
      <c r="G100" s="16">
        <v>450.0</v>
      </c>
      <c r="I100" s="16" t="b">
        <v>0</v>
      </c>
      <c r="J100" s="16" t="s">
        <v>130</v>
      </c>
      <c r="K100" s="16" t="s">
        <v>132</v>
      </c>
      <c r="N100" s="16" t="b">
        <v>1</v>
      </c>
      <c r="R100" s="16" t="s">
        <v>735</v>
      </c>
    </row>
    <row r="101" hidden="1">
      <c r="A101" s="12">
        <v>2244481.0</v>
      </c>
      <c r="B101" s="13">
        <v>46200.885243055556</v>
      </c>
      <c r="C101" s="12" t="s">
        <v>81</v>
      </c>
      <c r="D101" s="12" t="s">
        <v>738</v>
      </c>
      <c r="E101" s="15"/>
      <c r="F101" s="12" t="s">
        <v>460</v>
      </c>
      <c r="G101" s="16">
        <v>183.42</v>
      </c>
      <c r="I101" s="16" t="b">
        <v>0</v>
      </c>
      <c r="J101" s="16" t="s">
        <v>115</v>
      </c>
      <c r="M101" s="16" t="s">
        <v>743</v>
      </c>
      <c r="N101" s="16" t="b">
        <v>1</v>
      </c>
      <c r="R101" s="16" t="s">
        <v>745</v>
      </c>
    </row>
    <row r="102" hidden="1">
      <c r="A102" s="12">
        <v>2246261.0</v>
      </c>
      <c r="B102" s="13">
        <v>46201.86628472222</v>
      </c>
      <c r="C102" s="12" t="s">
        <v>81</v>
      </c>
      <c r="D102" s="12" t="s">
        <v>747</v>
      </c>
      <c r="E102" s="15"/>
      <c r="F102" s="12" t="s">
        <v>748</v>
      </c>
      <c r="G102" s="16">
        <v>56.61</v>
      </c>
      <c r="I102" s="16" t="b">
        <v>0</v>
      </c>
      <c r="J102" s="16" t="s">
        <v>142</v>
      </c>
      <c r="N102" s="16" t="b">
        <v>1</v>
      </c>
      <c r="R102" s="16" t="s">
        <v>749</v>
      </c>
    </row>
    <row r="103" hidden="1">
      <c r="A103" s="12">
        <v>2247224.0</v>
      </c>
      <c r="B103" s="13">
        <v>46202.44291666667</v>
      </c>
      <c r="C103" s="12" t="s">
        <v>81</v>
      </c>
      <c r="D103" s="12" t="s">
        <v>289</v>
      </c>
      <c r="E103" s="15"/>
      <c r="F103" s="12" t="s">
        <v>752</v>
      </c>
      <c r="G103" s="16">
        <v>32.0</v>
      </c>
      <c r="I103" s="16" t="b">
        <v>0</v>
      </c>
      <c r="J103" s="16" t="s">
        <v>98</v>
      </c>
      <c r="N103" s="16" t="b">
        <v>1</v>
      </c>
      <c r="R103" s="16" t="s">
        <v>755</v>
      </c>
    </row>
    <row r="104" hidden="1">
      <c r="A104" s="12">
        <v>2247626.0</v>
      </c>
      <c r="B104" s="13">
        <v>46202.738032407404</v>
      </c>
      <c r="C104" s="12" t="s">
        <v>81</v>
      </c>
      <c r="D104" s="12" t="s">
        <v>758</v>
      </c>
      <c r="E104" s="15"/>
      <c r="F104" s="12" t="s">
        <v>759</v>
      </c>
      <c r="G104" s="16">
        <v>8.15</v>
      </c>
      <c r="I104" s="16" t="b">
        <v>0</v>
      </c>
      <c r="J104" s="16" t="s">
        <v>364</v>
      </c>
      <c r="K104" s="23" t="s">
        <v>366</v>
      </c>
      <c r="N104" s="16" t="b">
        <v>1</v>
      </c>
      <c r="R104" s="16" t="s">
        <v>760</v>
      </c>
    </row>
    <row r="105" hidden="1">
      <c r="A105" s="12">
        <v>2247964.0</v>
      </c>
      <c r="B105" s="13">
        <v>46202.87212962963</v>
      </c>
      <c r="C105" s="12" t="s">
        <v>81</v>
      </c>
      <c r="D105" s="12" t="s">
        <v>162</v>
      </c>
      <c r="E105" s="15"/>
      <c r="F105" s="12" t="s">
        <v>128</v>
      </c>
      <c r="G105" s="16">
        <v>150.0</v>
      </c>
      <c r="I105" s="16" t="b">
        <v>0</v>
      </c>
      <c r="J105" s="16" t="s">
        <v>130</v>
      </c>
      <c r="K105" s="16" t="s">
        <v>132</v>
      </c>
      <c r="N105" s="16" t="b">
        <v>1</v>
      </c>
      <c r="R105" s="16" t="s">
        <v>764</v>
      </c>
    </row>
    <row r="106" hidden="1">
      <c r="A106" s="12">
        <v>2247965.0</v>
      </c>
      <c r="B106" s="13">
        <v>46202.872453703705</v>
      </c>
      <c r="C106" s="12" t="s">
        <v>81</v>
      </c>
      <c r="D106" s="12" t="s">
        <v>86</v>
      </c>
      <c r="E106" s="15"/>
      <c r="F106" s="12" t="s">
        <v>574</v>
      </c>
      <c r="G106" s="16">
        <v>9.0</v>
      </c>
      <c r="I106" s="16" t="b">
        <v>0</v>
      </c>
      <c r="J106" s="16" t="s">
        <v>98</v>
      </c>
      <c r="N106" s="16" t="b">
        <v>1</v>
      </c>
      <c r="R106" s="16" t="s">
        <v>766</v>
      </c>
    </row>
    <row r="107" hidden="1">
      <c r="A107" s="12">
        <v>2249464.0</v>
      </c>
      <c r="B107" s="13">
        <v>46203.866377314815</v>
      </c>
      <c r="C107" s="12" t="s">
        <v>81</v>
      </c>
      <c r="D107" s="12" t="s">
        <v>155</v>
      </c>
      <c r="E107" s="15"/>
      <c r="F107" s="12" t="s">
        <v>768</v>
      </c>
      <c r="G107" s="16">
        <v>21.0</v>
      </c>
      <c r="I107" s="16" t="b">
        <v>0</v>
      </c>
      <c r="J107" s="16" t="s">
        <v>98</v>
      </c>
      <c r="N107" s="16" t="b">
        <v>1</v>
      </c>
      <c r="R107" s="16" t="s">
        <v>773</v>
      </c>
    </row>
    <row r="108" hidden="1">
      <c r="A108" s="12">
        <v>2249465.0</v>
      </c>
      <c r="B108" s="13">
        <v>46203.86667824074</v>
      </c>
      <c r="C108" s="12" t="s">
        <v>81</v>
      </c>
      <c r="D108" s="12" t="s">
        <v>343</v>
      </c>
      <c r="E108" s="15"/>
      <c r="F108" s="12" t="s">
        <v>381</v>
      </c>
      <c r="G108" s="16">
        <v>550.0</v>
      </c>
      <c r="I108" s="16" t="b">
        <v>0</v>
      </c>
      <c r="J108" s="16" t="s">
        <v>130</v>
      </c>
      <c r="K108" s="16" t="s">
        <v>132</v>
      </c>
      <c r="N108" s="16" t="b">
        <v>1</v>
      </c>
      <c r="R108" s="16" t="s">
        <v>776</v>
      </c>
    </row>
    <row r="109" hidden="1">
      <c r="A109" s="12">
        <v>2251010.0</v>
      </c>
      <c r="B109" s="13">
        <v>46204.87971064815</v>
      </c>
      <c r="C109" s="12" t="s">
        <v>81</v>
      </c>
      <c r="D109" s="12" t="s">
        <v>780</v>
      </c>
      <c r="E109" s="15"/>
      <c r="F109" s="12" t="s">
        <v>193</v>
      </c>
      <c r="G109" s="16">
        <v>57.72</v>
      </c>
      <c r="I109" s="16" t="b">
        <v>0</v>
      </c>
      <c r="J109" s="16" t="s">
        <v>115</v>
      </c>
      <c r="M109" s="16" t="s">
        <v>782</v>
      </c>
      <c r="N109" s="16" t="b">
        <v>1</v>
      </c>
      <c r="R109" s="16" t="s">
        <v>783</v>
      </c>
    </row>
    <row r="110" hidden="1">
      <c r="A110" s="12">
        <v>2251016.0</v>
      </c>
      <c r="B110" s="13">
        <v>46204.88040509259</v>
      </c>
      <c r="C110" s="12" t="s">
        <v>81</v>
      </c>
      <c r="D110" s="12" t="s">
        <v>86</v>
      </c>
      <c r="E110" s="15"/>
      <c r="F110" s="12" t="s">
        <v>574</v>
      </c>
      <c r="G110" s="16">
        <v>9.0</v>
      </c>
      <c r="I110" s="16" t="b">
        <v>0</v>
      </c>
      <c r="J110" s="16" t="s">
        <v>98</v>
      </c>
      <c r="N110" s="16" t="b">
        <v>1</v>
      </c>
      <c r="R110" s="16" t="s">
        <v>787</v>
      </c>
    </row>
    <row r="111" hidden="1">
      <c r="A111" s="12">
        <v>2252383.0</v>
      </c>
      <c r="B111" s="13">
        <v>46205.87335648148</v>
      </c>
      <c r="C111" s="12" t="s">
        <v>81</v>
      </c>
      <c r="D111" s="12" t="s">
        <v>350</v>
      </c>
      <c r="E111" s="21"/>
      <c r="F111" s="12" t="s">
        <v>791</v>
      </c>
      <c r="G111" s="16">
        <v>12.0</v>
      </c>
      <c r="I111" s="16" t="b">
        <v>0</v>
      </c>
      <c r="J111" s="16" t="s">
        <v>98</v>
      </c>
      <c r="N111" s="16" t="b">
        <v>1</v>
      </c>
      <c r="R111" s="16" t="s">
        <v>792</v>
      </c>
    </row>
    <row r="112" hidden="1">
      <c r="A112" s="12">
        <v>2255491.0</v>
      </c>
      <c r="B112" s="13">
        <v>46207.883310185185</v>
      </c>
      <c r="C112" s="12" t="s">
        <v>81</v>
      </c>
      <c r="D112" s="12" t="s">
        <v>146</v>
      </c>
      <c r="E112" s="15"/>
      <c r="F112" s="12" t="s">
        <v>795</v>
      </c>
      <c r="G112" s="16">
        <v>400.0</v>
      </c>
      <c r="I112" s="16" t="b">
        <v>0</v>
      </c>
      <c r="J112" s="16" t="s">
        <v>130</v>
      </c>
      <c r="K112" s="16" t="s">
        <v>348</v>
      </c>
      <c r="N112" s="16" t="b">
        <v>1</v>
      </c>
      <c r="R112" s="16" t="s">
        <v>798</v>
      </c>
    </row>
    <row r="113" hidden="1">
      <c r="A113" s="12">
        <v>2256307.0</v>
      </c>
      <c r="B113" s="13">
        <v>46208.58231481481</v>
      </c>
      <c r="C113" s="12" t="s">
        <v>81</v>
      </c>
      <c r="D113" s="12" t="s">
        <v>800</v>
      </c>
      <c r="E113" s="15"/>
      <c r="F113" s="12" t="s">
        <v>802</v>
      </c>
      <c r="G113" s="16">
        <v>144.75</v>
      </c>
      <c r="I113" s="16" t="b">
        <v>0</v>
      </c>
      <c r="J113" s="16" t="s">
        <v>115</v>
      </c>
      <c r="M113" s="16" t="s">
        <v>803</v>
      </c>
      <c r="N113" s="16" t="b">
        <v>1</v>
      </c>
      <c r="R113" s="16" t="s">
        <v>804</v>
      </c>
    </row>
    <row r="114" hidden="1">
      <c r="A114" s="12">
        <v>2257404.0</v>
      </c>
      <c r="B114" s="13">
        <v>46208.91815972222</v>
      </c>
      <c r="C114" s="12" t="s">
        <v>81</v>
      </c>
      <c r="D114" s="12" t="s">
        <v>457</v>
      </c>
      <c r="E114" s="15"/>
      <c r="F114" s="12" t="s">
        <v>806</v>
      </c>
      <c r="G114" s="16">
        <v>200.0</v>
      </c>
      <c r="I114" s="16" t="b">
        <v>0</v>
      </c>
      <c r="J114" s="16" t="s">
        <v>130</v>
      </c>
      <c r="K114" s="16" t="s">
        <v>132</v>
      </c>
      <c r="N114" s="16" t="b">
        <v>1</v>
      </c>
      <c r="R114" s="16" t="s">
        <v>808</v>
      </c>
    </row>
    <row r="115" hidden="1">
      <c r="A115" s="12">
        <v>2257412.0</v>
      </c>
      <c r="B115" s="13">
        <v>46208.918541666666</v>
      </c>
      <c r="C115" s="12" t="s">
        <v>81</v>
      </c>
      <c r="D115" s="12" t="s">
        <v>811</v>
      </c>
      <c r="E115" s="15"/>
      <c r="F115" s="12" t="s">
        <v>812</v>
      </c>
      <c r="G115" s="16">
        <v>110.0</v>
      </c>
      <c r="I115" s="16" t="b">
        <v>0</v>
      </c>
      <c r="J115" s="16" t="s">
        <v>231</v>
      </c>
      <c r="M115" s="16" t="s">
        <v>814</v>
      </c>
      <c r="N115" s="16" t="b">
        <v>1</v>
      </c>
      <c r="R115" s="16" t="s">
        <v>815</v>
      </c>
    </row>
    <row r="116" hidden="1">
      <c r="A116" s="12">
        <v>2257423.0</v>
      </c>
      <c r="B116" s="13">
        <v>46208.91887731481</v>
      </c>
      <c r="C116" s="12" t="s">
        <v>81</v>
      </c>
      <c r="D116" s="12" t="s">
        <v>816</v>
      </c>
      <c r="E116" s="15"/>
      <c r="F116" s="12" t="s">
        <v>818</v>
      </c>
      <c r="G116" s="16">
        <v>217.0</v>
      </c>
      <c r="I116" s="16" t="b">
        <v>0</v>
      </c>
      <c r="J116" s="16" t="s">
        <v>231</v>
      </c>
      <c r="M116" s="16" t="s">
        <v>819</v>
      </c>
      <c r="N116" s="16" t="b">
        <v>1</v>
      </c>
      <c r="R116" s="16" t="s">
        <v>820</v>
      </c>
    </row>
    <row r="117" hidden="1">
      <c r="A117" s="12">
        <v>2257429.0</v>
      </c>
      <c r="B117" s="13">
        <v>46208.919074074074</v>
      </c>
      <c r="C117" s="12" t="s">
        <v>81</v>
      </c>
      <c r="D117" s="12" t="s">
        <v>823</v>
      </c>
      <c r="E117" s="15"/>
      <c r="F117" s="12" t="s">
        <v>824</v>
      </c>
      <c r="G117" s="16">
        <v>120.0</v>
      </c>
      <c r="I117" s="16" t="b">
        <v>0</v>
      </c>
      <c r="J117" s="16" t="s">
        <v>231</v>
      </c>
      <c r="M117" s="16" t="s">
        <v>825</v>
      </c>
      <c r="N117" s="16" t="b">
        <v>1</v>
      </c>
      <c r="R117" s="16" t="s">
        <v>826</v>
      </c>
    </row>
    <row r="118" hidden="1">
      <c r="A118" s="12">
        <v>2258844.0</v>
      </c>
      <c r="B118" s="13">
        <v>46209.877592592595</v>
      </c>
      <c r="C118" s="12" t="s">
        <v>81</v>
      </c>
      <c r="D118" s="12" t="s">
        <v>828</v>
      </c>
      <c r="E118" s="15"/>
      <c r="F118" s="12" t="s">
        <v>829</v>
      </c>
      <c r="G118" s="16">
        <v>75.91</v>
      </c>
      <c r="I118" s="16" t="b">
        <v>0</v>
      </c>
      <c r="J118" s="16" t="s">
        <v>115</v>
      </c>
      <c r="M118" s="16" t="s">
        <v>830</v>
      </c>
      <c r="N118" s="16" t="b">
        <v>1</v>
      </c>
      <c r="R118" s="16" t="s">
        <v>831</v>
      </c>
    </row>
    <row r="119" hidden="1">
      <c r="A119" s="12">
        <v>2258853.0</v>
      </c>
      <c r="B119" s="13">
        <v>46209.879328703704</v>
      </c>
      <c r="C119" s="12" t="s">
        <v>81</v>
      </c>
      <c r="D119" s="12" t="s">
        <v>834</v>
      </c>
      <c r="E119" s="15"/>
      <c r="F119" s="12" t="s">
        <v>835</v>
      </c>
      <c r="G119" s="16">
        <v>15.0</v>
      </c>
      <c r="I119" s="16" t="b">
        <v>0</v>
      </c>
      <c r="J119" s="16" t="s">
        <v>115</v>
      </c>
      <c r="N119" s="16" t="b">
        <v>1</v>
      </c>
      <c r="R119" s="16" t="s">
        <v>836</v>
      </c>
      <c r="W119" s="16" t="b">
        <v>1</v>
      </c>
      <c r="X119" s="16" t="s">
        <v>340</v>
      </c>
    </row>
    <row r="120" hidden="1">
      <c r="A120" s="12">
        <v>2260008.0</v>
      </c>
      <c r="B120" s="13">
        <v>46210.76556712963</v>
      </c>
      <c r="C120" s="12" t="s">
        <v>81</v>
      </c>
      <c r="D120" s="12" t="s">
        <v>659</v>
      </c>
      <c r="E120" s="15"/>
      <c r="F120" s="12" t="s">
        <v>839</v>
      </c>
      <c r="G120" s="16">
        <v>4.0</v>
      </c>
      <c r="I120" s="16" t="b">
        <v>0</v>
      </c>
      <c r="J120" s="16" t="s">
        <v>364</v>
      </c>
      <c r="K120" s="23" t="s">
        <v>366</v>
      </c>
      <c r="N120" s="16" t="b">
        <v>1</v>
      </c>
      <c r="R120" s="16" t="s">
        <v>841</v>
      </c>
    </row>
    <row r="121" hidden="1">
      <c r="A121" s="12">
        <v>2260208.0</v>
      </c>
      <c r="B121" s="13">
        <v>46210.867060185185</v>
      </c>
      <c r="C121" s="12" t="s">
        <v>81</v>
      </c>
      <c r="D121" s="12" t="s">
        <v>146</v>
      </c>
      <c r="E121" s="21"/>
      <c r="F121" s="12" t="s">
        <v>844</v>
      </c>
      <c r="G121" s="16">
        <v>400.0</v>
      </c>
      <c r="I121" s="16" t="b">
        <v>0</v>
      </c>
      <c r="J121" s="16" t="s">
        <v>130</v>
      </c>
      <c r="K121" s="16" t="s">
        <v>132</v>
      </c>
      <c r="N121" s="16" t="b">
        <v>1</v>
      </c>
      <c r="R121" s="16" t="s">
        <v>847</v>
      </c>
    </row>
    <row r="122" hidden="1">
      <c r="A122" s="12">
        <v>2261667.0</v>
      </c>
      <c r="B122" s="13">
        <v>46211.89336805556</v>
      </c>
      <c r="C122" s="12" t="s">
        <v>81</v>
      </c>
      <c r="D122" s="12" t="s">
        <v>146</v>
      </c>
      <c r="E122" s="15"/>
      <c r="F122" s="12" t="s">
        <v>806</v>
      </c>
      <c r="G122" s="16">
        <v>400.0</v>
      </c>
      <c r="I122" s="16" t="b">
        <v>0</v>
      </c>
      <c r="J122" s="16" t="s">
        <v>130</v>
      </c>
      <c r="K122" s="16" t="s">
        <v>132</v>
      </c>
      <c r="N122" s="16" t="b">
        <v>1</v>
      </c>
      <c r="R122" s="16" t="s">
        <v>852</v>
      </c>
    </row>
    <row r="123" hidden="1">
      <c r="A123" s="12">
        <v>2261671.0</v>
      </c>
      <c r="B123" s="13">
        <v>46211.89460648148</v>
      </c>
      <c r="C123" s="12" t="s">
        <v>81</v>
      </c>
      <c r="D123" s="12" t="s">
        <v>855</v>
      </c>
      <c r="E123" s="21"/>
      <c r="F123" s="12" t="s">
        <v>856</v>
      </c>
      <c r="G123" s="16">
        <v>6.4</v>
      </c>
      <c r="I123" s="16" t="b">
        <v>0</v>
      </c>
      <c r="J123" s="16" t="s">
        <v>364</v>
      </c>
      <c r="K123" s="16" t="s">
        <v>857</v>
      </c>
      <c r="N123" s="16" t="b">
        <v>1</v>
      </c>
      <c r="R123" s="16" t="s">
        <v>858</v>
      </c>
    </row>
    <row r="124" hidden="1">
      <c r="A124" s="12">
        <v>2262629.0</v>
      </c>
      <c r="B124" s="13">
        <v>46212.6903125</v>
      </c>
      <c r="C124" s="12" t="s">
        <v>81</v>
      </c>
      <c r="D124" s="12" t="s">
        <v>859</v>
      </c>
      <c r="E124" s="21"/>
      <c r="F124" s="12" t="s">
        <v>862</v>
      </c>
      <c r="G124" s="16">
        <v>9.06</v>
      </c>
      <c r="I124" s="16" t="b">
        <v>0</v>
      </c>
      <c r="J124" s="16" t="s">
        <v>364</v>
      </c>
      <c r="K124" s="23" t="s">
        <v>366</v>
      </c>
      <c r="N124" s="16" t="b">
        <v>1</v>
      </c>
      <c r="R124" s="16" t="s">
        <v>864</v>
      </c>
    </row>
    <row r="125" hidden="1">
      <c r="A125" s="12">
        <v>2262642.0</v>
      </c>
      <c r="B125" s="13">
        <v>46212.69409722222</v>
      </c>
      <c r="C125" s="12" t="s">
        <v>81</v>
      </c>
      <c r="D125" s="12" t="s">
        <v>866</v>
      </c>
      <c r="E125" s="15"/>
      <c r="F125" s="12" t="s">
        <v>867</v>
      </c>
      <c r="G125" s="16">
        <v>40.5</v>
      </c>
      <c r="I125" s="16" t="b">
        <v>0</v>
      </c>
      <c r="J125" s="16" t="s">
        <v>115</v>
      </c>
      <c r="M125" s="16" t="s">
        <v>868</v>
      </c>
      <c r="N125" s="16" t="b">
        <v>1</v>
      </c>
      <c r="R125" s="16" t="s">
        <v>869</v>
      </c>
    </row>
    <row r="126" hidden="1">
      <c r="A126" s="12">
        <v>2262862.0</v>
      </c>
      <c r="B126" s="13">
        <v>46212.766597222224</v>
      </c>
      <c r="C126" s="12" t="s">
        <v>81</v>
      </c>
      <c r="D126" s="12" t="s">
        <v>659</v>
      </c>
      <c r="E126" s="15"/>
      <c r="F126" s="12" t="s">
        <v>856</v>
      </c>
      <c r="G126" s="16">
        <v>4.0</v>
      </c>
      <c r="I126" s="16" t="b">
        <v>0</v>
      </c>
      <c r="J126" s="16" t="s">
        <v>364</v>
      </c>
      <c r="K126" s="16" t="s">
        <v>857</v>
      </c>
      <c r="N126" s="16" t="b">
        <v>1</v>
      </c>
      <c r="R126" s="16" t="s">
        <v>872</v>
      </c>
    </row>
    <row r="127" hidden="1">
      <c r="A127" s="12">
        <v>2263112.0</v>
      </c>
      <c r="B127" s="13">
        <v>46212.85300925926</v>
      </c>
      <c r="C127" s="12" t="s">
        <v>81</v>
      </c>
      <c r="D127" s="12" t="s">
        <v>590</v>
      </c>
      <c r="E127" s="15"/>
      <c r="F127" s="12" t="s">
        <v>806</v>
      </c>
      <c r="G127" s="16">
        <v>350.0</v>
      </c>
      <c r="I127" s="16" t="b">
        <v>0</v>
      </c>
      <c r="J127" s="16" t="s">
        <v>130</v>
      </c>
      <c r="K127" s="16" t="s">
        <v>132</v>
      </c>
      <c r="N127" s="16" t="b">
        <v>1</v>
      </c>
      <c r="R127" s="16" t="s">
        <v>878</v>
      </c>
    </row>
    <row r="128" hidden="1">
      <c r="A128" s="12">
        <v>2263154.0</v>
      </c>
      <c r="B128" s="13">
        <v>46212.868680555555</v>
      </c>
      <c r="C128" s="12" t="s">
        <v>81</v>
      </c>
      <c r="D128" s="12" t="s">
        <v>576</v>
      </c>
      <c r="E128" s="15"/>
      <c r="F128" s="12" t="s">
        <v>880</v>
      </c>
      <c r="G128" s="16">
        <v>18.0</v>
      </c>
      <c r="I128" s="16" t="b">
        <v>0</v>
      </c>
      <c r="J128" s="16" t="s">
        <v>98</v>
      </c>
      <c r="N128" s="16" t="b">
        <v>1</v>
      </c>
      <c r="R128" s="16" t="s">
        <v>883</v>
      </c>
    </row>
    <row r="129" hidden="1">
      <c r="A129" s="12">
        <v>2264690.0</v>
      </c>
      <c r="B129" s="13">
        <v>46213.83731481482</v>
      </c>
      <c r="C129" s="12" t="s">
        <v>81</v>
      </c>
      <c r="D129" s="12" t="s">
        <v>416</v>
      </c>
      <c r="E129" s="15"/>
      <c r="F129" s="12" t="s">
        <v>887</v>
      </c>
      <c r="G129" s="16">
        <v>100.0</v>
      </c>
      <c r="I129" s="16" t="b">
        <v>0</v>
      </c>
      <c r="J129" s="16" t="s">
        <v>159</v>
      </c>
      <c r="N129" s="16" t="b">
        <v>1</v>
      </c>
      <c r="R129" s="16" t="s">
        <v>889</v>
      </c>
    </row>
    <row r="130" hidden="1">
      <c r="A130" s="12">
        <v>2264703.0</v>
      </c>
      <c r="B130" s="13">
        <v>46213.84148148148</v>
      </c>
      <c r="C130" s="12" t="s">
        <v>81</v>
      </c>
      <c r="D130" s="12" t="s">
        <v>590</v>
      </c>
      <c r="E130" s="15"/>
      <c r="F130" s="12" t="s">
        <v>844</v>
      </c>
      <c r="G130" s="16">
        <v>350.0</v>
      </c>
      <c r="I130" s="16" t="b">
        <v>0</v>
      </c>
      <c r="J130" s="16" t="s">
        <v>130</v>
      </c>
      <c r="K130" s="16" t="s">
        <v>132</v>
      </c>
      <c r="N130" s="16" t="b">
        <v>1</v>
      </c>
      <c r="R130" s="16" t="s">
        <v>891</v>
      </c>
    </row>
    <row r="131" hidden="1">
      <c r="A131" s="12">
        <v>2264728.0</v>
      </c>
      <c r="B131" s="13">
        <v>46213.847025462965</v>
      </c>
      <c r="C131" s="12" t="s">
        <v>81</v>
      </c>
      <c r="D131" s="12" t="s">
        <v>86</v>
      </c>
      <c r="E131" s="15"/>
      <c r="F131" s="12" t="s">
        <v>895</v>
      </c>
      <c r="G131" s="16">
        <v>9.0</v>
      </c>
      <c r="I131" s="16" t="b">
        <v>0</v>
      </c>
      <c r="J131" s="16" t="s">
        <v>98</v>
      </c>
      <c r="N131" s="16" t="b">
        <v>1</v>
      </c>
      <c r="R131" s="16" t="s">
        <v>896</v>
      </c>
    </row>
    <row r="132" hidden="1">
      <c r="A132" s="12">
        <v>2266067.0</v>
      </c>
      <c r="B132" s="13">
        <v>46214.740428240744</v>
      </c>
      <c r="C132" s="12" t="s">
        <v>81</v>
      </c>
      <c r="D132" s="12" t="s">
        <v>335</v>
      </c>
      <c r="E132" s="15"/>
      <c r="F132" s="12" t="s">
        <v>898</v>
      </c>
      <c r="G132" s="16">
        <v>10.0</v>
      </c>
      <c r="I132" s="16" t="b">
        <v>0</v>
      </c>
      <c r="J132" s="16" t="s">
        <v>98</v>
      </c>
      <c r="N132" s="16" t="b">
        <v>1</v>
      </c>
      <c r="R132" s="16" t="s">
        <v>899</v>
      </c>
    </row>
    <row r="133" hidden="1">
      <c r="A133" s="12">
        <v>2266091.0</v>
      </c>
      <c r="B133" s="13">
        <v>46214.75068287037</v>
      </c>
      <c r="C133" s="12" t="s">
        <v>81</v>
      </c>
      <c r="D133" s="12" t="s">
        <v>659</v>
      </c>
      <c r="E133" s="15"/>
      <c r="F133" s="12" t="s">
        <v>902</v>
      </c>
      <c r="G133" s="16">
        <v>4.0</v>
      </c>
      <c r="I133" s="16" t="b">
        <v>0</v>
      </c>
      <c r="J133" s="16" t="s">
        <v>364</v>
      </c>
      <c r="K133" s="16" t="s">
        <v>857</v>
      </c>
      <c r="N133" s="16" t="b">
        <v>1</v>
      </c>
      <c r="R133" s="16" t="s">
        <v>903</v>
      </c>
    </row>
    <row r="134" hidden="1">
      <c r="A134" s="12">
        <v>2266465.0</v>
      </c>
      <c r="B134" s="13">
        <v>46214.87259259259</v>
      </c>
      <c r="C134" s="12" t="s">
        <v>81</v>
      </c>
      <c r="D134" s="12" t="s">
        <v>906</v>
      </c>
      <c r="E134" s="15"/>
      <c r="F134" s="12" t="s">
        <v>907</v>
      </c>
      <c r="G134" s="16">
        <v>94.83</v>
      </c>
      <c r="I134" s="16" t="b">
        <v>0</v>
      </c>
      <c r="J134" s="16" t="s">
        <v>115</v>
      </c>
      <c r="M134" s="16" t="s">
        <v>908</v>
      </c>
      <c r="N134" s="16" t="b">
        <v>1</v>
      </c>
      <c r="R134" s="16" t="s">
        <v>909</v>
      </c>
    </row>
    <row r="135" hidden="1">
      <c r="A135" s="12">
        <v>2268736.0</v>
      </c>
      <c r="B135" s="13">
        <v>46215.89297453704</v>
      </c>
      <c r="C135" s="12" t="s">
        <v>81</v>
      </c>
      <c r="D135" s="12" t="s">
        <v>910</v>
      </c>
      <c r="E135" s="15"/>
      <c r="F135" s="12" t="s">
        <v>912</v>
      </c>
      <c r="G135" s="16">
        <v>1000.0</v>
      </c>
      <c r="I135" s="16" t="b">
        <v>0</v>
      </c>
      <c r="J135" s="16" t="s">
        <v>130</v>
      </c>
      <c r="K135" s="16" t="s">
        <v>348</v>
      </c>
      <c r="N135" s="16" t="b">
        <v>1</v>
      </c>
      <c r="R135" s="16" t="s">
        <v>915</v>
      </c>
    </row>
    <row r="136" hidden="1">
      <c r="A136" s="12">
        <v>2270363.0</v>
      </c>
      <c r="B136" s="13">
        <v>46216.79824074074</v>
      </c>
      <c r="C136" s="12" t="s">
        <v>81</v>
      </c>
      <c r="D136" s="12" t="s">
        <v>855</v>
      </c>
      <c r="E136" s="15"/>
      <c r="F136" s="12" t="s">
        <v>902</v>
      </c>
      <c r="G136" s="16">
        <v>6.4</v>
      </c>
      <c r="I136" s="16" t="b">
        <v>0</v>
      </c>
      <c r="J136" s="16" t="s">
        <v>364</v>
      </c>
      <c r="K136" s="16" t="s">
        <v>857</v>
      </c>
      <c r="N136" s="16" t="b">
        <v>1</v>
      </c>
      <c r="R136" s="16" t="s">
        <v>917</v>
      </c>
    </row>
    <row r="137" hidden="1">
      <c r="A137" s="12">
        <v>2270595.0</v>
      </c>
      <c r="B137" s="13">
        <v>46216.89810185185</v>
      </c>
      <c r="C137" s="12" t="s">
        <v>81</v>
      </c>
      <c r="D137" s="12" t="s">
        <v>146</v>
      </c>
      <c r="E137" s="15"/>
      <c r="F137" s="12" t="s">
        <v>844</v>
      </c>
      <c r="G137" s="16">
        <v>400.0</v>
      </c>
      <c r="I137" s="16" t="b">
        <v>0</v>
      </c>
      <c r="J137" s="16" t="s">
        <v>130</v>
      </c>
      <c r="K137" s="16" t="s">
        <v>132</v>
      </c>
      <c r="N137" s="16" t="b">
        <v>1</v>
      </c>
      <c r="R137" s="16" t="s">
        <v>920</v>
      </c>
    </row>
    <row r="138" hidden="1">
      <c r="A138" s="12">
        <v>2271932.0</v>
      </c>
      <c r="B138" s="13">
        <v>46217.87825231482</v>
      </c>
      <c r="C138" s="12" t="s">
        <v>81</v>
      </c>
      <c r="D138" s="12" t="s">
        <v>924</v>
      </c>
      <c r="E138" s="15"/>
      <c r="F138" s="12" t="s">
        <v>844</v>
      </c>
      <c r="G138" s="16">
        <v>340.0</v>
      </c>
      <c r="I138" s="16" t="b">
        <v>0</v>
      </c>
      <c r="J138" s="16" t="s">
        <v>130</v>
      </c>
      <c r="K138" s="16" t="s">
        <v>132</v>
      </c>
      <c r="N138" s="16" t="b">
        <v>1</v>
      </c>
      <c r="R138" s="16" t="s">
        <v>927</v>
      </c>
    </row>
    <row r="139" hidden="1">
      <c r="A139" s="12">
        <v>2271944.0</v>
      </c>
      <c r="B139" s="13">
        <v>46217.88282407408</v>
      </c>
      <c r="C139" s="12" t="s">
        <v>81</v>
      </c>
      <c r="D139" s="12" t="s">
        <v>929</v>
      </c>
      <c r="E139" s="15"/>
      <c r="F139" s="12" t="s">
        <v>880</v>
      </c>
      <c r="G139" s="16">
        <v>28.0</v>
      </c>
      <c r="I139" s="16" t="b">
        <v>0</v>
      </c>
      <c r="J139" s="16" t="s">
        <v>98</v>
      </c>
      <c r="N139" s="16" t="b">
        <v>1</v>
      </c>
      <c r="R139" s="16" t="s">
        <v>931</v>
      </c>
    </row>
    <row r="140" hidden="1">
      <c r="A140" s="12">
        <v>2271947.0</v>
      </c>
      <c r="B140" s="13">
        <v>46217.88322916667</v>
      </c>
      <c r="C140" s="12" t="s">
        <v>81</v>
      </c>
      <c r="D140" s="12" t="s">
        <v>933</v>
      </c>
      <c r="E140" s="15"/>
      <c r="F140" s="12" t="s">
        <v>935</v>
      </c>
      <c r="G140" s="16">
        <v>31.68</v>
      </c>
      <c r="I140" s="16" t="b">
        <v>0</v>
      </c>
      <c r="J140" s="16" t="s">
        <v>115</v>
      </c>
      <c r="M140" s="16" t="s">
        <v>936</v>
      </c>
      <c r="N140" s="16" t="b">
        <v>1</v>
      </c>
      <c r="R140" s="16" t="s">
        <v>937</v>
      </c>
    </row>
    <row r="141" hidden="1">
      <c r="A141" s="12">
        <v>2273597.0</v>
      </c>
      <c r="B141" s="13">
        <v>46218.9184837963</v>
      </c>
      <c r="C141" s="12" t="s">
        <v>81</v>
      </c>
      <c r="D141" s="12" t="s">
        <v>938</v>
      </c>
      <c r="E141" s="15"/>
      <c r="F141" s="12" t="s">
        <v>867</v>
      </c>
      <c r="G141" s="16">
        <v>281.95</v>
      </c>
      <c r="I141" s="16" t="b">
        <v>0</v>
      </c>
      <c r="J141" s="16" t="s">
        <v>115</v>
      </c>
      <c r="M141" s="16" t="s">
        <v>940</v>
      </c>
      <c r="N141" s="16" t="b">
        <v>1</v>
      </c>
      <c r="R141" s="16" t="s">
        <v>941</v>
      </c>
    </row>
    <row r="142" hidden="1">
      <c r="A142" s="12">
        <v>2273601.0</v>
      </c>
      <c r="B142" s="13">
        <v>46218.918761574074</v>
      </c>
      <c r="C142" s="12" t="s">
        <v>81</v>
      </c>
      <c r="D142" s="12" t="s">
        <v>943</v>
      </c>
      <c r="E142" s="15"/>
      <c r="F142" s="12" t="s">
        <v>806</v>
      </c>
      <c r="G142" s="16">
        <v>800.0</v>
      </c>
      <c r="I142" s="16" t="b">
        <v>0</v>
      </c>
      <c r="J142" s="16" t="s">
        <v>130</v>
      </c>
      <c r="K142" s="16" t="s">
        <v>132</v>
      </c>
      <c r="N142" s="16" t="b">
        <v>1</v>
      </c>
      <c r="R142" s="16" t="s">
        <v>947</v>
      </c>
    </row>
    <row r="143" hidden="1">
      <c r="A143" s="12">
        <v>2273612.0</v>
      </c>
      <c r="B143" s="13">
        <v>46218.91966435185</v>
      </c>
      <c r="C143" s="12" t="s">
        <v>81</v>
      </c>
      <c r="D143" s="12" t="s">
        <v>335</v>
      </c>
      <c r="E143" s="15"/>
      <c r="F143" s="12" t="s">
        <v>948</v>
      </c>
      <c r="G143" s="16">
        <v>10.0</v>
      </c>
      <c r="I143" s="16" t="b">
        <v>0</v>
      </c>
      <c r="J143" s="16" t="s">
        <v>115</v>
      </c>
      <c r="N143" s="16" t="b">
        <v>1</v>
      </c>
      <c r="R143" s="16" t="s">
        <v>950</v>
      </c>
      <c r="W143" s="16" t="b">
        <v>1</v>
      </c>
      <c r="X143" s="16" t="s">
        <v>340</v>
      </c>
    </row>
    <row r="144" hidden="1">
      <c r="A144" s="12">
        <v>2273618.0</v>
      </c>
      <c r="B144" s="13">
        <v>46218.92023148148</v>
      </c>
      <c r="C144" s="12" t="s">
        <v>81</v>
      </c>
      <c r="D144" s="12" t="s">
        <v>335</v>
      </c>
      <c r="E144" s="21"/>
      <c r="F144" s="12" t="s">
        <v>955</v>
      </c>
      <c r="G144" s="16">
        <v>10.0</v>
      </c>
      <c r="I144" s="16" t="b">
        <v>0</v>
      </c>
      <c r="J144" s="16" t="s">
        <v>98</v>
      </c>
      <c r="N144" s="16" t="b">
        <v>1</v>
      </c>
      <c r="R144" s="16" t="s">
        <v>957</v>
      </c>
    </row>
    <row r="145" hidden="1">
      <c r="A145" s="12">
        <v>2274517.0</v>
      </c>
      <c r="B145" s="13">
        <v>46219.71141203704</v>
      </c>
      <c r="C145" s="12" t="s">
        <v>81</v>
      </c>
      <c r="D145" s="12" t="s">
        <v>958</v>
      </c>
      <c r="E145" s="15"/>
      <c r="F145" s="12" t="s">
        <v>959</v>
      </c>
      <c r="G145" s="16">
        <v>112.82</v>
      </c>
      <c r="I145" s="16" t="b">
        <v>0</v>
      </c>
      <c r="J145" s="16" t="s">
        <v>142</v>
      </c>
      <c r="N145" s="16" t="b">
        <v>1</v>
      </c>
      <c r="R145" s="16" t="s">
        <v>961</v>
      </c>
    </row>
    <row r="146" hidden="1">
      <c r="A146" s="12">
        <v>2275182.0</v>
      </c>
      <c r="B146" s="13">
        <v>46219.910150462965</v>
      </c>
      <c r="C146" s="12" t="s">
        <v>81</v>
      </c>
      <c r="D146" s="12" t="s">
        <v>443</v>
      </c>
      <c r="E146" s="15"/>
      <c r="F146" s="12" t="s">
        <v>844</v>
      </c>
      <c r="G146" s="16">
        <v>900.0</v>
      </c>
      <c r="I146" s="16" t="b">
        <v>0</v>
      </c>
      <c r="J146" s="16" t="s">
        <v>130</v>
      </c>
      <c r="K146" s="16" t="s">
        <v>132</v>
      </c>
      <c r="N146" s="16" t="b">
        <v>1</v>
      </c>
      <c r="R146" s="16" t="s">
        <v>966</v>
      </c>
    </row>
    <row r="147" hidden="1">
      <c r="A147" s="12">
        <v>2275221.0</v>
      </c>
      <c r="B147" s="13">
        <v>46219.91405092592</v>
      </c>
      <c r="C147" s="12" t="s">
        <v>81</v>
      </c>
      <c r="D147" s="12" t="s">
        <v>162</v>
      </c>
      <c r="E147" s="21"/>
      <c r="F147" s="12" t="s">
        <v>968</v>
      </c>
      <c r="G147" s="16">
        <v>150.0</v>
      </c>
      <c r="I147" s="16" t="b">
        <v>0</v>
      </c>
      <c r="J147" s="16" t="s">
        <v>969</v>
      </c>
      <c r="K147" s="16" t="s">
        <v>857</v>
      </c>
      <c r="N147" s="16" t="b">
        <v>1</v>
      </c>
      <c r="R147" s="16" t="s">
        <v>971</v>
      </c>
    </row>
    <row r="148" hidden="1">
      <c r="A148" s="12">
        <v>2276066.0</v>
      </c>
      <c r="B148" s="13">
        <v>46220.63172453704</v>
      </c>
      <c r="C148" s="12" t="s">
        <v>152</v>
      </c>
      <c r="D148" s="12" t="s">
        <v>536</v>
      </c>
      <c r="E148" s="15"/>
      <c r="F148" s="12" t="s">
        <v>975</v>
      </c>
      <c r="G148" s="16">
        <v>80.0</v>
      </c>
      <c r="I148" s="16" t="b">
        <v>0</v>
      </c>
      <c r="J148" s="16" t="s">
        <v>159</v>
      </c>
      <c r="N148" s="16" t="b">
        <v>1</v>
      </c>
      <c r="R148" s="16" t="s">
        <v>978</v>
      </c>
    </row>
    <row r="149" hidden="1">
      <c r="A149" s="12">
        <v>2276318.0</v>
      </c>
      <c r="B149" s="13">
        <v>46220.69587962963</v>
      </c>
      <c r="C149" s="12" t="s">
        <v>81</v>
      </c>
      <c r="D149" s="12" t="s">
        <v>979</v>
      </c>
      <c r="E149" s="15"/>
      <c r="F149" s="12" t="s">
        <v>839</v>
      </c>
      <c r="G149" s="16">
        <v>2.4</v>
      </c>
      <c r="I149" s="16" t="b">
        <v>0</v>
      </c>
      <c r="J149" s="16" t="s">
        <v>364</v>
      </c>
      <c r="K149" s="23" t="s">
        <v>366</v>
      </c>
      <c r="N149" s="16" t="b">
        <v>1</v>
      </c>
      <c r="R149" s="16" t="s">
        <v>982</v>
      </c>
    </row>
    <row r="150" hidden="1">
      <c r="A150" s="12">
        <v>2277153.0</v>
      </c>
      <c r="B150" s="13">
        <v>46220.90662037037</v>
      </c>
      <c r="C150" s="12" t="s">
        <v>81</v>
      </c>
      <c r="D150" s="12" t="s">
        <v>443</v>
      </c>
      <c r="E150" s="15"/>
      <c r="F150" s="12" t="s">
        <v>806</v>
      </c>
      <c r="G150" s="16">
        <v>900.0</v>
      </c>
      <c r="I150" s="16" t="b">
        <v>0</v>
      </c>
      <c r="J150" s="16" t="s">
        <v>130</v>
      </c>
      <c r="K150" s="16" t="s">
        <v>132</v>
      </c>
      <c r="N150" s="16" t="b">
        <v>1</v>
      </c>
      <c r="R150" s="16" t="s">
        <v>987</v>
      </c>
    </row>
    <row r="151" hidden="1">
      <c r="A151" s="12">
        <v>2279555.0</v>
      </c>
      <c r="B151" s="13">
        <v>46221.91752314815</v>
      </c>
      <c r="C151" s="12" t="s">
        <v>81</v>
      </c>
      <c r="D151" s="12" t="s">
        <v>988</v>
      </c>
      <c r="E151" s="15"/>
      <c r="F151" s="12" t="s">
        <v>989</v>
      </c>
      <c r="G151" s="16">
        <v>1200.0</v>
      </c>
      <c r="I151" s="16" t="b">
        <v>0</v>
      </c>
      <c r="J151" s="16" t="s">
        <v>130</v>
      </c>
      <c r="K151" s="16" t="s">
        <v>348</v>
      </c>
      <c r="N151" s="16" t="b">
        <v>1</v>
      </c>
      <c r="R151" s="16" t="s">
        <v>990</v>
      </c>
    </row>
    <row r="152" hidden="1">
      <c r="A152" s="12">
        <v>2281835.0</v>
      </c>
      <c r="B152" s="13">
        <v>46222.88980324074</v>
      </c>
      <c r="C152" s="12" t="s">
        <v>81</v>
      </c>
      <c r="D152" s="12" t="s">
        <v>993</v>
      </c>
      <c r="E152" s="15"/>
      <c r="F152" s="12" t="s">
        <v>994</v>
      </c>
      <c r="G152" s="16">
        <v>322.0</v>
      </c>
      <c r="I152" s="16" t="b">
        <v>0</v>
      </c>
      <c r="J152" s="16" t="s">
        <v>231</v>
      </c>
      <c r="M152" s="16" t="s">
        <v>997</v>
      </c>
      <c r="N152" s="16" t="b">
        <v>1</v>
      </c>
      <c r="R152" s="16" t="s">
        <v>998</v>
      </c>
    </row>
    <row r="153" hidden="1">
      <c r="A153" s="12">
        <v>2281836.0</v>
      </c>
      <c r="B153" s="13">
        <v>46222.89003472222</v>
      </c>
      <c r="C153" s="12" t="s">
        <v>81</v>
      </c>
      <c r="D153" s="12" t="s">
        <v>457</v>
      </c>
      <c r="E153" s="15"/>
      <c r="F153" s="12" t="s">
        <v>1000</v>
      </c>
      <c r="G153" s="16">
        <v>200.0</v>
      </c>
      <c r="I153" s="16" t="b">
        <v>0</v>
      </c>
      <c r="J153" s="16" t="s">
        <v>231</v>
      </c>
      <c r="M153" s="16" t="s">
        <v>1002</v>
      </c>
      <c r="N153" s="16" t="b">
        <v>1</v>
      </c>
      <c r="R153" s="16" t="s">
        <v>1004</v>
      </c>
    </row>
    <row r="154" hidden="1">
      <c r="A154" s="12">
        <v>2281840.0</v>
      </c>
      <c r="B154" s="13">
        <v>46222.89076388889</v>
      </c>
      <c r="C154" s="12" t="s">
        <v>81</v>
      </c>
      <c r="D154" s="12" t="s">
        <v>1005</v>
      </c>
      <c r="E154" s="15"/>
      <c r="F154" s="12" t="s">
        <v>806</v>
      </c>
      <c r="G154" s="16">
        <v>1250.0</v>
      </c>
      <c r="I154" s="16" t="b">
        <v>0</v>
      </c>
      <c r="J154" s="16" t="s">
        <v>130</v>
      </c>
      <c r="K154" s="16" t="s">
        <v>132</v>
      </c>
      <c r="N154" s="16" t="b">
        <v>1</v>
      </c>
      <c r="R154" s="16" t="s">
        <v>1008</v>
      </c>
    </row>
    <row r="155" hidden="1">
      <c r="A155" s="12">
        <v>2281935.0</v>
      </c>
      <c r="B155" s="13">
        <v>46222.901354166665</v>
      </c>
      <c r="C155" s="12" t="s">
        <v>81</v>
      </c>
      <c r="D155" s="12" t="s">
        <v>1011</v>
      </c>
      <c r="E155" s="15"/>
      <c r="F155" s="12" t="s">
        <v>955</v>
      </c>
      <c r="G155" s="16">
        <v>59.0</v>
      </c>
      <c r="I155" s="16" t="b">
        <v>0</v>
      </c>
      <c r="J155" s="16" t="s">
        <v>98</v>
      </c>
      <c r="N155" s="16" t="b">
        <v>1</v>
      </c>
      <c r="R155" s="16" t="s">
        <v>1013</v>
      </c>
    </row>
    <row r="156" hidden="1">
      <c r="A156" s="12">
        <v>2283107.0</v>
      </c>
      <c r="B156" s="13">
        <v>46223.593518518515</v>
      </c>
      <c r="C156" s="12" t="s">
        <v>81</v>
      </c>
      <c r="D156" s="12" t="s">
        <v>1014</v>
      </c>
      <c r="E156" s="15"/>
      <c r="F156" s="12" t="s">
        <v>907</v>
      </c>
      <c r="G156" s="16">
        <v>158.28</v>
      </c>
      <c r="I156" s="16" t="b">
        <v>0</v>
      </c>
      <c r="J156" s="16" t="s">
        <v>115</v>
      </c>
      <c r="M156" s="16" t="s">
        <v>1016</v>
      </c>
      <c r="N156" s="16" t="b">
        <v>1</v>
      </c>
      <c r="R156" s="16" t="s">
        <v>1018</v>
      </c>
    </row>
    <row r="157" hidden="1">
      <c r="A157" s="12">
        <v>2283112.0</v>
      </c>
      <c r="B157" s="13">
        <v>46223.59658564815</v>
      </c>
      <c r="C157" s="12" t="s">
        <v>81</v>
      </c>
      <c r="D157" s="12" t="s">
        <v>1022</v>
      </c>
      <c r="E157" s="15"/>
      <c r="F157" s="12" t="s">
        <v>1023</v>
      </c>
      <c r="G157" s="16">
        <v>9.66</v>
      </c>
      <c r="I157" s="16" t="b">
        <v>0</v>
      </c>
      <c r="J157" s="16" t="s">
        <v>364</v>
      </c>
      <c r="K157" s="23" t="s">
        <v>366</v>
      </c>
      <c r="N157" s="16" t="b">
        <v>1</v>
      </c>
      <c r="R157" s="16" t="s">
        <v>1025</v>
      </c>
    </row>
    <row r="158" hidden="1">
      <c r="A158" s="12">
        <v>2283133.0</v>
      </c>
      <c r="B158" s="13">
        <v>46223.606782407405</v>
      </c>
      <c r="C158" s="12" t="s">
        <v>81</v>
      </c>
      <c r="D158" s="12" t="s">
        <v>1026</v>
      </c>
      <c r="E158" s="15"/>
      <c r="F158" s="12" t="s">
        <v>1028</v>
      </c>
      <c r="G158" s="16">
        <v>118.0</v>
      </c>
      <c r="I158" s="16" t="b">
        <v>0</v>
      </c>
      <c r="J158" s="16" t="s">
        <v>115</v>
      </c>
      <c r="M158" s="16" t="s">
        <v>1029</v>
      </c>
      <c r="N158" s="16" t="b">
        <v>1</v>
      </c>
      <c r="R158" s="16" t="s">
        <v>1031</v>
      </c>
    </row>
    <row r="159" hidden="1">
      <c r="A159" s="12">
        <v>2283436.0</v>
      </c>
      <c r="B159" s="13">
        <v>46223.70019675926</v>
      </c>
      <c r="C159" s="12" t="s">
        <v>152</v>
      </c>
      <c r="D159" s="12" t="s">
        <v>335</v>
      </c>
      <c r="E159" s="15"/>
      <c r="F159" s="12" t="s">
        <v>1034</v>
      </c>
      <c r="G159" s="16">
        <v>10.0</v>
      </c>
      <c r="I159" s="16" t="b">
        <v>0</v>
      </c>
      <c r="J159" s="16" t="s">
        <v>159</v>
      </c>
      <c r="N159" s="16" t="b">
        <v>1</v>
      </c>
      <c r="R159" s="16" t="s">
        <v>1035</v>
      </c>
    </row>
    <row r="160" hidden="1">
      <c r="A160" s="12">
        <v>2283823.0</v>
      </c>
      <c r="B160" s="13">
        <v>46223.796805555554</v>
      </c>
      <c r="C160" s="12" t="s">
        <v>81</v>
      </c>
      <c r="D160" s="12" t="s">
        <v>659</v>
      </c>
      <c r="E160" s="15"/>
      <c r="F160" s="12" t="s">
        <v>862</v>
      </c>
      <c r="G160" s="16">
        <v>4.0</v>
      </c>
      <c r="I160" s="16" t="b">
        <v>0</v>
      </c>
      <c r="J160" s="16" t="s">
        <v>364</v>
      </c>
      <c r="K160" s="23" t="s">
        <v>366</v>
      </c>
      <c r="N160" s="16" t="b">
        <v>1</v>
      </c>
      <c r="R160" s="16" t="s">
        <v>1039</v>
      </c>
    </row>
    <row r="161" hidden="1">
      <c r="A161" s="12">
        <v>2283860.0</v>
      </c>
      <c r="B161" s="13">
        <v>46223.807280092595</v>
      </c>
      <c r="C161" s="12" t="s">
        <v>81</v>
      </c>
      <c r="D161" s="12" t="s">
        <v>1043</v>
      </c>
      <c r="E161" s="15"/>
      <c r="F161" s="12" t="s">
        <v>1044</v>
      </c>
      <c r="G161" s="16">
        <v>7.99</v>
      </c>
      <c r="I161" s="16" t="b">
        <v>0</v>
      </c>
      <c r="J161" s="16" t="s">
        <v>115</v>
      </c>
      <c r="M161" s="16" t="s">
        <v>1045</v>
      </c>
      <c r="N161" s="16" t="b">
        <v>1</v>
      </c>
      <c r="R161" s="16" t="s">
        <v>1046</v>
      </c>
    </row>
    <row r="162" hidden="1">
      <c r="A162" s="12">
        <v>2283863.0</v>
      </c>
      <c r="B162" s="13">
        <v>46223.80917824074</v>
      </c>
      <c r="C162" s="12" t="s">
        <v>81</v>
      </c>
      <c r="D162" s="12" t="s">
        <v>1049</v>
      </c>
      <c r="E162" s="15"/>
      <c r="F162" s="12" t="s">
        <v>1050</v>
      </c>
      <c r="G162" s="16">
        <v>8.19</v>
      </c>
      <c r="I162" s="16" t="b">
        <v>0</v>
      </c>
      <c r="J162" s="16" t="s">
        <v>115</v>
      </c>
      <c r="M162" s="16" t="s">
        <v>1051</v>
      </c>
      <c r="N162" s="16" t="b">
        <v>1</v>
      </c>
      <c r="R162" s="16" t="s">
        <v>1054</v>
      </c>
    </row>
    <row r="163" hidden="1">
      <c r="A163" s="12">
        <v>2284308.0</v>
      </c>
      <c r="B163" s="13">
        <v>46223.92177083333</v>
      </c>
      <c r="C163" s="12" t="s">
        <v>81</v>
      </c>
      <c r="D163" s="12" t="s">
        <v>127</v>
      </c>
      <c r="E163" s="15"/>
      <c r="F163" s="12" t="s">
        <v>806</v>
      </c>
      <c r="G163" s="16">
        <v>250.0</v>
      </c>
      <c r="I163" s="16" t="b">
        <v>0</v>
      </c>
      <c r="J163" s="16" t="s">
        <v>130</v>
      </c>
      <c r="K163" s="16" t="s">
        <v>132</v>
      </c>
      <c r="N163" s="16" t="b">
        <v>1</v>
      </c>
      <c r="R163" s="16" t="s">
        <v>1056</v>
      </c>
    </row>
    <row r="164" hidden="1">
      <c r="A164" s="12">
        <v>2284312.0</v>
      </c>
      <c r="B164" s="13">
        <v>46223.922002314815</v>
      </c>
      <c r="C164" s="12" t="s">
        <v>81</v>
      </c>
      <c r="D164" s="12" t="s">
        <v>343</v>
      </c>
      <c r="E164" s="15"/>
      <c r="F164" s="12" t="s">
        <v>1059</v>
      </c>
      <c r="G164" s="16">
        <v>550.0</v>
      </c>
      <c r="I164" s="16" t="b">
        <v>0</v>
      </c>
      <c r="J164" s="16" t="s">
        <v>159</v>
      </c>
      <c r="N164" s="16" t="b">
        <v>1</v>
      </c>
      <c r="R164" s="16" t="s">
        <v>1061</v>
      </c>
    </row>
    <row r="165" hidden="1">
      <c r="A165" s="12">
        <v>2285846.0</v>
      </c>
      <c r="B165" s="13">
        <v>46224.88458333333</v>
      </c>
      <c r="C165" s="12" t="s">
        <v>81</v>
      </c>
      <c r="D165" s="12" t="s">
        <v>200</v>
      </c>
      <c r="E165" s="15"/>
      <c r="F165" s="12" t="s">
        <v>844</v>
      </c>
      <c r="G165" s="16">
        <v>300.0</v>
      </c>
      <c r="I165" s="16" t="b">
        <v>0</v>
      </c>
      <c r="J165" s="16" t="s">
        <v>130</v>
      </c>
      <c r="K165" s="16" t="s">
        <v>132</v>
      </c>
      <c r="N165" s="16" t="b">
        <v>1</v>
      </c>
      <c r="R165" s="16" t="s">
        <v>1064</v>
      </c>
    </row>
    <row r="166" hidden="1">
      <c r="A166" s="12">
        <v>2285848.0</v>
      </c>
      <c r="B166" s="13">
        <v>46224.88489583333</v>
      </c>
      <c r="C166" s="12" t="s">
        <v>81</v>
      </c>
      <c r="D166" s="12" t="s">
        <v>325</v>
      </c>
      <c r="E166" s="15"/>
      <c r="F166" s="12" t="s">
        <v>1066</v>
      </c>
      <c r="G166" s="16">
        <v>22.0</v>
      </c>
      <c r="I166" s="16" t="b">
        <v>0</v>
      </c>
      <c r="J166" s="16" t="s">
        <v>115</v>
      </c>
      <c r="M166" s="16" t="s">
        <v>1068</v>
      </c>
      <c r="N166" s="16" t="b">
        <v>1</v>
      </c>
      <c r="R166" s="16" t="s">
        <v>1070</v>
      </c>
    </row>
    <row r="167" hidden="1">
      <c r="A167" s="12">
        <v>2287100.0</v>
      </c>
      <c r="B167" s="13">
        <v>46225.77553240741</v>
      </c>
      <c r="C167" s="12" t="s">
        <v>81</v>
      </c>
      <c r="D167" s="12" t="s">
        <v>576</v>
      </c>
      <c r="E167" s="15"/>
      <c r="F167" s="12" t="s">
        <v>1072</v>
      </c>
      <c r="G167" s="16">
        <v>18.0</v>
      </c>
      <c r="I167" s="16" t="b">
        <v>0</v>
      </c>
      <c r="J167" s="16" t="s">
        <v>98</v>
      </c>
      <c r="N167" s="16" t="b">
        <v>1</v>
      </c>
      <c r="R167" s="16" t="s">
        <v>1073</v>
      </c>
    </row>
    <row r="168" hidden="1">
      <c r="A168" s="12">
        <v>2287436.0</v>
      </c>
      <c r="B168" s="13">
        <v>46225.90277777778</v>
      </c>
      <c r="C168" s="12" t="s">
        <v>81</v>
      </c>
      <c r="D168" s="12" t="s">
        <v>1075</v>
      </c>
      <c r="E168" s="15"/>
      <c r="F168" s="12" t="s">
        <v>1076</v>
      </c>
      <c r="G168" s="16">
        <v>19.0</v>
      </c>
      <c r="I168" s="16" t="b">
        <v>0</v>
      </c>
      <c r="J168" s="16" t="s">
        <v>98</v>
      </c>
      <c r="N168" s="16" t="b">
        <v>1</v>
      </c>
      <c r="R168" s="16" t="s">
        <v>1080</v>
      </c>
    </row>
    <row r="169" hidden="1">
      <c r="A169" s="12">
        <v>2288871.0</v>
      </c>
      <c r="B169" s="13">
        <v>46226.88511574074</v>
      </c>
      <c r="C169" s="12" t="s">
        <v>81</v>
      </c>
      <c r="D169" s="12" t="s">
        <v>1081</v>
      </c>
      <c r="E169" s="15"/>
      <c r="F169" s="12" t="s">
        <v>907</v>
      </c>
      <c r="G169" s="16">
        <v>187.87</v>
      </c>
      <c r="I169" s="16" t="b">
        <v>0</v>
      </c>
      <c r="J169" s="16" t="s">
        <v>115</v>
      </c>
      <c r="M169" s="16" t="s">
        <v>1083</v>
      </c>
      <c r="N169" s="16" t="b">
        <v>1</v>
      </c>
      <c r="R169" s="16" t="s">
        <v>1084</v>
      </c>
    </row>
    <row r="170" hidden="1">
      <c r="A170" s="12">
        <v>2288877.0</v>
      </c>
      <c r="B170" s="13">
        <v>46226.888402777775</v>
      </c>
      <c r="C170" s="12" t="s">
        <v>81</v>
      </c>
      <c r="D170" s="12" t="s">
        <v>1086</v>
      </c>
      <c r="E170" s="15"/>
      <c r="F170" s="12" t="s">
        <v>867</v>
      </c>
      <c r="G170" s="16">
        <v>473.57</v>
      </c>
      <c r="I170" s="16" t="b">
        <v>0</v>
      </c>
      <c r="J170" s="16" t="s">
        <v>115</v>
      </c>
      <c r="N170" s="16" t="b">
        <v>1</v>
      </c>
      <c r="R170" s="16" t="s">
        <v>1089</v>
      </c>
    </row>
    <row r="171" hidden="1">
      <c r="A171" s="12">
        <v>2288902.0</v>
      </c>
      <c r="B171" s="13">
        <v>46226.89436342593</v>
      </c>
      <c r="C171" s="12" t="s">
        <v>81</v>
      </c>
      <c r="D171" s="12" t="s">
        <v>1090</v>
      </c>
      <c r="E171" s="15"/>
      <c r="F171" s="12" t="s">
        <v>1091</v>
      </c>
      <c r="G171" s="16">
        <v>37.97</v>
      </c>
      <c r="I171" s="16" t="b">
        <v>0</v>
      </c>
      <c r="J171" s="16" t="s">
        <v>115</v>
      </c>
      <c r="M171" s="16" t="s">
        <v>1092</v>
      </c>
      <c r="N171" s="16" t="b">
        <v>1</v>
      </c>
      <c r="R171" s="16" t="s">
        <v>1094</v>
      </c>
    </row>
    <row r="172" hidden="1">
      <c r="A172" s="12">
        <v>2288911.0</v>
      </c>
      <c r="B172" s="13">
        <v>46226.89462962963</v>
      </c>
      <c r="C172" s="12" t="s">
        <v>81</v>
      </c>
      <c r="D172" s="12" t="s">
        <v>127</v>
      </c>
      <c r="E172" s="15"/>
      <c r="F172" s="12" t="s">
        <v>806</v>
      </c>
      <c r="G172" s="16">
        <v>250.0</v>
      </c>
      <c r="I172" s="16" t="b">
        <v>0</v>
      </c>
      <c r="J172" s="16" t="s">
        <v>130</v>
      </c>
      <c r="K172" s="16" t="s">
        <v>132</v>
      </c>
      <c r="N172" s="16" t="b">
        <v>1</v>
      </c>
      <c r="R172" s="16" t="s">
        <v>1097</v>
      </c>
    </row>
    <row r="173" hidden="1">
      <c r="A173" s="12">
        <v>2288913.0</v>
      </c>
      <c r="B173" s="13">
        <v>46226.89491898148</v>
      </c>
      <c r="C173" s="12" t="s">
        <v>81</v>
      </c>
      <c r="D173" s="12" t="s">
        <v>350</v>
      </c>
      <c r="E173" s="15"/>
      <c r="F173" s="12" t="s">
        <v>955</v>
      </c>
      <c r="G173" s="16">
        <v>12.0</v>
      </c>
      <c r="I173" s="16" t="b">
        <v>0</v>
      </c>
      <c r="J173" s="16" t="s">
        <v>98</v>
      </c>
      <c r="N173" s="16" t="b">
        <v>1</v>
      </c>
      <c r="R173" s="16" t="s">
        <v>1101</v>
      </c>
    </row>
    <row r="174" hidden="1">
      <c r="A174" s="12">
        <v>2289465.0</v>
      </c>
      <c r="B174" s="13">
        <v>46227.489120370374</v>
      </c>
      <c r="C174" s="12" t="s">
        <v>152</v>
      </c>
      <c r="D174" s="12" t="s">
        <v>684</v>
      </c>
      <c r="E174" s="15"/>
      <c r="F174" s="12" t="s">
        <v>975</v>
      </c>
      <c r="G174" s="16">
        <v>27.0</v>
      </c>
      <c r="I174" s="16" t="b">
        <v>0</v>
      </c>
      <c r="J174" s="16" t="s">
        <v>159</v>
      </c>
      <c r="N174" s="16" t="b">
        <v>1</v>
      </c>
      <c r="R174" s="16" t="s">
        <v>1105</v>
      </c>
    </row>
    <row r="175" hidden="1">
      <c r="A175" s="12">
        <v>2289606.0</v>
      </c>
      <c r="B175" s="13">
        <v>46227.59303240741</v>
      </c>
      <c r="C175" s="12" t="s">
        <v>81</v>
      </c>
      <c r="D175" s="12" t="s">
        <v>485</v>
      </c>
      <c r="E175" s="15"/>
      <c r="F175" s="12" t="s">
        <v>1108</v>
      </c>
      <c r="G175" s="16">
        <v>48.0</v>
      </c>
      <c r="I175" s="16" t="b">
        <v>0</v>
      </c>
      <c r="J175" s="16" t="s">
        <v>364</v>
      </c>
      <c r="K175" s="16" t="s">
        <v>132</v>
      </c>
      <c r="N175" s="16" t="b">
        <v>1</v>
      </c>
      <c r="R175" s="16" t="s">
        <v>1110</v>
      </c>
    </row>
    <row r="176" hidden="1">
      <c r="A176" s="12">
        <v>2290382.0</v>
      </c>
      <c r="B176" s="13">
        <v>46227.87273148148</v>
      </c>
      <c r="C176" s="12" t="s">
        <v>81</v>
      </c>
      <c r="D176" s="12" t="s">
        <v>1113</v>
      </c>
      <c r="E176" s="15"/>
      <c r="F176" s="12" t="s">
        <v>1116</v>
      </c>
      <c r="G176" s="16">
        <v>90.0</v>
      </c>
      <c r="I176" s="16" t="b">
        <v>0</v>
      </c>
      <c r="J176" s="16" t="s">
        <v>231</v>
      </c>
      <c r="N176" s="16" t="b">
        <v>1</v>
      </c>
      <c r="R176" s="16" t="s">
        <v>1117</v>
      </c>
    </row>
    <row r="177" hidden="1">
      <c r="A177" s="12">
        <v>2290395.0</v>
      </c>
      <c r="B177" s="13">
        <v>46227.875289351854</v>
      </c>
      <c r="C177" s="12" t="s">
        <v>81</v>
      </c>
      <c r="D177" s="12" t="s">
        <v>335</v>
      </c>
      <c r="E177" s="15"/>
      <c r="F177" s="12" t="s">
        <v>1120</v>
      </c>
      <c r="G177" s="16">
        <v>10.0</v>
      </c>
      <c r="I177" s="16" t="b">
        <v>0</v>
      </c>
      <c r="J177" s="16" t="s">
        <v>98</v>
      </c>
      <c r="N177" s="16" t="b">
        <v>1</v>
      </c>
      <c r="R177" s="16" t="s">
        <v>1121</v>
      </c>
    </row>
    <row r="178" hidden="1">
      <c r="A178" s="12">
        <v>2291101.0</v>
      </c>
      <c r="B178" s="13">
        <v>46228.54759259259</v>
      </c>
      <c r="C178" s="12" t="s">
        <v>152</v>
      </c>
      <c r="D178" s="12" t="s">
        <v>1125</v>
      </c>
      <c r="E178" s="15"/>
      <c r="F178" s="12" t="s">
        <v>1126</v>
      </c>
      <c r="G178" s="16">
        <v>34.7</v>
      </c>
      <c r="I178" s="16" t="b">
        <v>0</v>
      </c>
      <c r="J178" s="16" t="s">
        <v>159</v>
      </c>
      <c r="N178" s="16" t="b">
        <v>1</v>
      </c>
      <c r="R178" s="16" t="s">
        <v>1128</v>
      </c>
    </row>
    <row r="179" hidden="1">
      <c r="A179" s="12">
        <v>2291510.0</v>
      </c>
      <c r="B179" s="13">
        <v>46228.70829861111</v>
      </c>
      <c r="C179" s="12" t="s">
        <v>152</v>
      </c>
      <c r="D179" s="12" t="s">
        <v>1131</v>
      </c>
      <c r="E179" s="15"/>
      <c r="F179" s="12" t="s">
        <v>1126</v>
      </c>
      <c r="G179" s="16">
        <v>57.4</v>
      </c>
      <c r="I179" s="16" t="b">
        <v>0</v>
      </c>
      <c r="J179" s="16" t="s">
        <v>159</v>
      </c>
      <c r="N179" s="16" t="b">
        <v>1</v>
      </c>
      <c r="R179" s="16" t="s">
        <v>1134</v>
      </c>
    </row>
    <row r="180" hidden="1">
      <c r="A180" s="12">
        <v>2291596.0</v>
      </c>
      <c r="B180" s="13">
        <v>46228.72840277778</v>
      </c>
      <c r="C180" s="12" t="s">
        <v>152</v>
      </c>
      <c r="D180" s="12" t="s">
        <v>1137</v>
      </c>
      <c r="E180" s="15"/>
      <c r="F180" s="12" t="s">
        <v>1126</v>
      </c>
      <c r="G180" s="16">
        <v>56.0</v>
      </c>
      <c r="I180" s="16" t="b">
        <v>0</v>
      </c>
      <c r="J180" s="16" t="s">
        <v>159</v>
      </c>
      <c r="N180" s="16" t="b">
        <v>1</v>
      </c>
      <c r="R180" s="16" t="s">
        <v>1141</v>
      </c>
    </row>
    <row r="181" hidden="1">
      <c r="A181" s="12">
        <v>2291784.0</v>
      </c>
      <c r="B181" s="13">
        <v>46228.77075231481</v>
      </c>
      <c r="C181" s="12" t="s">
        <v>81</v>
      </c>
      <c r="D181" s="12" t="s">
        <v>1143</v>
      </c>
      <c r="E181" s="15"/>
      <c r="F181" s="12" t="s">
        <v>1145</v>
      </c>
      <c r="G181" s="16">
        <v>268.02</v>
      </c>
      <c r="I181" s="16" t="b">
        <v>0</v>
      </c>
      <c r="J181" s="16" t="s">
        <v>115</v>
      </c>
      <c r="M181" s="16" t="s">
        <v>1147</v>
      </c>
      <c r="N181" s="16" t="b">
        <v>1</v>
      </c>
      <c r="R181" s="16" t="s">
        <v>1149</v>
      </c>
    </row>
    <row r="182" hidden="1">
      <c r="A182" s="12">
        <v>2292156.0</v>
      </c>
      <c r="B182" s="13">
        <v>46228.88439814815</v>
      </c>
      <c r="C182" s="12" t="s">
        <v>81</v>
      </c>
      <c r="D182" s="12" t="s">
        <v>335</v>
      </c>
      <c r="E182" s="15"/>
      <c r="F182" s="12" t="s">
        <v>1120</v>
      </c>
      <c r="G182" s="16">
        <v>10.0</v>
      </c>
      <c r="I182" s="16" t="b">
        <v>0</v>
      </c>
      <c r="J182" s="16" t="s">
        <v>98</v>
      </c>
      <c r="N182" s="16" t="b">
        <v>1</v>
      </c>
      <c r="R182" s="16" t="s">
        <v>1151</v>
      </c>
    </row>
    <row r="183" hidden="1">
      <c r="A183" s="12">
        <v>2292165.0</v>
      </c>
      <c r="B183" s="13">
        <v>46228.88560185185</v>
      </c>
      <c r="C183" s="12" t="s">
        <v>81</v>
      </c>
      <c r="D183" s="12" t="s">
        <v>979</v>
      </c>
      <c r="E183" s="15"/>
      <c r="F183" s="12" t="s">
        <v>1153</v>
      </c>
      <c r="G183" s="16">
        <v>2.4</v>
      </c>
      <c r="I183" s="16" t="b">
        <v>0</v>
      </c>
      <c r="J183" s="16" t="s">
        <v>364</v>
      </c>
      <c r="K183" s="23" t="s">
        <v>366</v>
      </c>
      <c r="N183" s="16" t="b">
        <v>1</v>
      </c>
      <c r="R183" s="16" t="s">
        <v>1158</v>
      </c>
    </row>
    <row r="184" hidden="1">
      <c r="A184" s="12">
        <v>2292191.0</v>
      </c>
      <c r="B184" s="13">
        <v>46228.88899305555</v>
      </c>
      <c r="C184" s="12" t="s">
        <v>81</v>
      </c>
      <c r="D184" s="12" t="s">
        <v>1163</v>
      </c>
      <c r="E184" s="15"/>
      <c r="F184" s="12" t="s">
        <v>1165</v>
      </c>
      <c r="G184" s="16">
        <v>2000.0</v>
      </c>
      <c r="I184" s="16" t="b">
        <v>0</v>
      </c>
      <c r="J184" s="16" t="s">
        <v>130</v>
      </c>
      <c r="K184" s="16" t="s">
        <v>132</v>
      </c>
      <c r="N184" s="16" t="b">
        <v>1</v>
      </c>
      <c r="R184" s="16" t="s">
        <v>1167</v>
      </c>
    </row>
    <row r="185" hidden="1">
      <c r="A185" s="12">
        <v>2293049.0</v>
      </c>
      <c r="B185" s="13">
        <v>46229.559537037036</v>
      </c>
      <c r="C185" s="12" t="s">
        <v>152</v>
      </c>
      <c r="D185" s="12" t="s">
        <v>1169</v>
      </c>
      <c r="E185" s="15"/>
      <c r="F185" s="12" t="s">
        <v>1126</v>
      </c>
      <c r="G185" s="16">
        <v>53.55</v>
      </c>
      <c r="I185" s="16" t="b">
        <v>0</v>
      </c>
      <c r="J185" s="16" t="s">
        <v>159</v>
      </c>
      <c r="N185" s="16" t="b">
        <v>1</v>
      </c>
      <c r="R185" s="16" t="s">
        <v>1173</v>
      </c>
    </row>
    <row r="186" hidden="1">
      <c r="A186" s="12">
        <v>2293313.0</v>
      </c>
      <c r="B186" s="13">
        <v>46229.663090277776</v>
      </c>
      <c r="C186" s="12" t="s">
        <v>81</v>
      </c>
      <c r="D186" s="12" t="s">
        <v>1174</v>
      </c>
      <c r="E186" s="15"/>
      <c r="F186" s="12" t="s">
        <v>1176</v>
      </c>
      <c r="G186" s="16">
        <v>35.48</v>
      </c>
      <c r="I186" s="16" t="b">
        <v>0</v>
      </c>
      <c r="J186" s="16" t="s">
        <v>630</v>
      </c>
      <c r="N186" s="16" t="b">
        <v>1</v>
      </c>
      <c r="R186" s="16" t="s">
        <v>1179</v>
      </c>
    </row>
    <row r="187" hidden="1">
      <c r="A187" s="12">
        <v>2294027.0</v>
      </c>
      <c r="B187" s="13">
        <v>46229.80011574074</v>
      </c>
      <c r="C187" s="12" t="s">
        <v>81</v>
      </c>
      <c r="D187" s="12" t="s">
        <v>1181</v>
      </c>
      <c r="E187" s="15"/>
      <c r="F187" s="12" t="s">
        <v>1183</v>
      </c>
      <c r="G187" s="16">
        <v>76.0</v>
      </c>
      <c r="I187" s="16" t="b">
        <v>0</v>
      </c>
      <c r="J187" s="16" t="s">
        <v>98</v>
      </c>
      <c r="N187" s="16" t="b">
        <v>1</v>
      </c>
      <c r="R187" s="16" t="s">
        <v>1186</v>
      </c>
    </row>
    <row r="188" hidden="1">
      <c r="A188" s="12">
        <v>2294035.0</v>
      </c>
      <c r="B188" s="13">
        <v>46229.802141203705</v>
      </c>
      <c r="C188" s="12" t="s">
        <v>81</v>
      </c>
      <c r="D188" s="12" t="s">
        <v>1187</v>
      </c>
      <c r="E188" s="15"/>
      <c r="F188" s="12" t="s">
        <v>1145</v>
      </c>
      <c r="G188" s="16">
        <v>193.6</v>
      </c>
      <c r="I188" s="16" t="b">
        <v>0</v>
      </c>
      <c r="J188" s="16" t="s">
        <v>115</v>
      </c>
      <c r="M188" s="16" t="s">
        <v>1189</v>
      </c>
      <c r="N188" s="16" t="b">
        <v>1</v>
      </c>
      <c r="R188" s="16" t="s">
        <v>1190</v>
      </c>
    </row>
    <row r="189" hidden="1">
      <c r="A189" s="12">
        <v>2294038.0</v>
      </c>
      <c r="B189" s="13">
        <v>46229.80306712963</v>
      </c>
      <c r="C189" s="12" t="s">
        <v>81</v>
      </c>
      <c r="D189" s="12" t="s">
        <v>1193</v>
      </c>
      <c r="E189" s="15"/>
      <c r="F189" s="12" t="s">
        <v>1194</v>
      </c>
      <c r="G189" s="16">
        <v>31.6</v>
      </c>
      <c r="I189" s="16" t="b">
        <v>0</v>
      </c>
      <c r="J189" s="16" t="s">
        <v>115</v>
      </c>
      <c r="M189" s="16" t="s">
        <v>1196</v>
      </c>
      <c r="N189" s="16" t="b">
        <v>1</v>
      </c>
      <c r="R189" s="16" t="s">
        <v>1198</v>
      </c>
    </row>
    <row r="190" hidden="1">
      <c r="A190" s="12">
        <v>2294435.0</v>
      </c>
      <c r="B190" s="13">
        <v>46229.87689814815</v>
      </c>
      <c r="C190" s="12" t="s">
        <v>81</v>
      </c>
      <c r="D190" s="12" t="s">
        <v>1200</v>
      </c>
      <c r="E190" s="15"/>
      <c r="F190" s="12" t="s">
        <v>1201</v>
      </c>
      <c r="G190" s="16">
        <v>225.0</v>
      </c>
      <c r="I190" s="16" t="b">
        <v>0</v>
      </c>
      <c r="J190" s="16" t="s">
        <v>231</v>
      </c>
      <c r="N190" s="16" t="b">
        <v>1</v>
      </c>
      <c r="R190" s="16" t="s">
        <v>1203</v>
      </c>
    </row>
    <row r="191" hidden="1">
      <c r="A191" s="12">
        <v>2294442.0</v>
      </c>
      <c r="B191" s="13">
        <v>46229.8771412037</v>
      </c>
      <c r="C191" s="12" t="s">
        <v>81</v>
      </c>
      <c r="D191" s="12" t="s">
        <v>1200</v>
      </c>
      <c r="E191" s="15"/>
      <c r="F191" s="12" t="s">
        <v>1206</v>
      </c>
      <c r="G191" s="16">
        <v>225.0</v>
      </c>
      <c r="I191" s="16" t="b">
        <v>0</v>
      </c>
      <c r="J191" s="16" t="s">
        <v>231</v>
      </c>
      <c r="N191" s="16" t="b">
        <v>1</v>
      </c>
      <c r="R191" s="16" t="s">
        <v>1203</v>
      </c>
    </row>
    <row r="192" hidden="1">
      <c r="A192" s="12">
        <v>2294449.0</v>
      </c>
      <c r="B192" s="13">
        <v>46229.877974537034</v>
      </c>
      <c r="C192" s="12" t="s">
        <v>81</v>
      </c>
      <c r="D192" s="12" t="s">
        <v>402</v>
      </c>
      <c r="E192" s="15"/>
      <c r="F192" s="12" t="s">
        <v>1210</v>
      </c>
      <c r="G192" s="16">
        <v>20.0</v>
      </c>
      <c r="I192" s="16" t="b">
        <v>0</v>
      </c>
      <c r="J192" s="16" t="s">
        <v>98</v>
      </c>
      <c r="N192" s="16" t="b">
        <v>1</v>
      </c>
      <c r="R192" s="16" t="s">
        <v>1211</v>
      </c>
    </row>
    <row r="193" hidden="1">
      <c r="A193" s="12">
        <v>2294508.0</v>
      </c>
      <c r="B193" s="13">
        <v>46229.8846412037</v>
      </c>
      <c r="C193" s="12" t="s">
        <v>81</v>
      </c>
      <c r="D193" s="12" t="s">
        <v>1212</v>
      </c>
      <c r="E193" s="15"/>
      <c r="F193" s="12" t="s">
        <v>1214</v>
      </c>
      <c r="G193" s="16">
        <v>1300.0</v>
      </c>
      <c r="I193" s="16" t="b">
        <v>0</v>
      </c>
      <c r="J193" s="16" t="s">
        <v>130</v>
      </c>
      <c r="K193" s="16" t="s">
        <v>132</v>
      </c>
      <c r="N193" s="16" t="b">
        <v>1</v>
      </c>
      <c r="R193" s="16" t="s">
        <v>1217</v>
      </c>
    </row>
    <row r="194" hidden="1">
      <c r="A194" s="12">
        <v>2295619.0</v>
      </c>
      <c r="B194" s="13">
        <v>46230.50524305556</v>
      </c>
      <c r="C194" s="12" t="s">
        <v>152</v>
      </c>
      <c r="D194" s="12" t="s">
        <v>1212</v>
      </c>
      <c r="E194" s="15"/>
      <c r="F194" s="12" t="s">
        <v>1221</v>
      </c>
      <c r="G194" s="16">
        <v>1300.0</v>
      </c>
      <c r="I194" s="16" t="b">
        <v>0</v>
      </c>
      <c r="J194" s="16" t="s">
        <v>130</v>
      </c>
      <c r="K194" s="16" t="s">
        <v>132</v>
      </c>
      <c r="N194" s="16" t="b">
        <v>1</v>
      </c>
      <c r="R194" s="16" t="s">
        <v>1222</v>
      </c>
    </row>
    <row r="195" hidden="1">
      <c r="A195" s="12">
        <v>2295621.0</v>
      </c>
      <c r="B195" s="13">
        <v>46230.50599537037</v>
      </c>
      <c r="C195" s="12" t="s">
        <v>81</v>
      </c>
      <c r="D195" s="12" t="s">
        <v>590</v>
      </c>
      <c r="E195" s="15"/>
      <c r="F195" s="12" t="s">
        <v>1223</v>
      </c>
      <c r="G195" s="16">
        <v>350.0</v>
      </c>
      <c r="I195" s="16" t="b">
        <v>0</v>
      </c>
      <c r="J195" s="16" t="s">
        <v>969</v>
      </c>
      <c r="K195" s="16" t="s">
        <v>857</v>
      </c>
      <c r="N195" s="16" t="b">
        <v>1</v>
      </c>
      <c r="R195" s="16" t="s">
        <v>1226</v>
      </c>
    </row>
    <row r="196" hidden="1">
      <c r="A196" s="12">
        <v>2295624.0</v>
      </c>
      <c r="B196" s="13">
        <v>46230.50623842593</v>
      </c>
      <c r="C196" s="12" t="s">
        <v>81</v>
      </c>
      <c r="D196" s="12" t="s">
        <v>1228</v>
      </c>
      <c r="E196" s="15"/>
      <c r="F196" s="12" t="s">
        <v>1230</v>
      </c>
      <c r="G196" s="16">
        <v>950.0</v>
      </c>
      <c r="I196" s="16" t="b">
        <v>0</v>
      </c>
      <c r="J196" s="16" t="s">
        <v>130</v>
      </c>
      <c r="K196" s="16" t="s">
        <v>132</v>
      </c>
      <c r="N196" s="16" t="b">
        <v>1</v>
      </c>
      <c r="R196" s="16" t="s">
        <v>1233</v>
      </c>
    </row>
    <row r="197" hidden="1">
      <c r="A197" s="12">
        <v>2295628.0</v>
      </c>
      <c r="B197" s="13">
        <v>46230.50952546296</v>
      </c>
      <c r="C197" s="12" t="s">
        <v>152</v>
      </c>
      <c r="D197" s="12" t="s">
        <v>1234</v>
      </c>
      <c r="E197" s="15"/>
      <c r="F197" s="12" t="s">
        <v>975</v>
      </c>
      <c r="G197" s="16">
        <v>73.0</v>
      </c>
      <c r="I197" s="16" t="b">
        <v>0</v>
      </c>
      <c r="J197" s="16" t="s">
        <v>159</v>
      </c>
      <c r="N197" s="16" t="b">
        <v>1</v>
      </c>
      <c r="R197" s="16" t="s">
        <v>1236</v>
      </c>
    </row>
    <row r="198" hidden="1">
      <c r="A198" s="12">
        <v>2295821.0</v>
      </c>
      <c r="B198" s="13">
        <v>46230.60832175926</v>
      </c>
      <c r="C198" s="12" t="s">
        <v>81</v>
      </c>
      <c r="D198" s="12" t="s">
        <v>590</v>
      </c>
      <c r="E198" s="15"/>
      <c r="F198" s="12" t="s">
        <v>1240</v>
      </c>
      <c r="G198" s="16">
        <v>350.0</v>
      </c>
      <c r="I198" s="16" t="b">
        <v>0</v>
      </c>
      <c r="J198" s="16" t="s">
        <v>115</v>
      </c>
      <c r="M198" s="16" t="s">
        <v>1241</v>
      </c>
      <c r="N198" s="16" t="b">
        <v>1</v>
      </c>
      <c r="R198" s="16" t="s">
        <v>1242</v>
      </c>
    </row>
    <row r="199" hidden="1">
      <c r="A199" s="12">
        <v>2296841.0</v>
      </c>
      <c r="B199" s="13">
        <v>46230.8972337963</v>
      </c>
      <c r="C199" s="12" t="s">
        <v>81</v>
      </c>
      <c r="D199" s="12" t="s">
        <v>402</v>
      </c>
      <c r="E199" s="15"/>
      <c r="F199" s="12" t="s">
        <v>1210</v>
      </c>
      <c r="G199" s="16">
        <v>20.0</v>
      </c>
      <c r="I199" s="16" t="b">
        <v>0</v>
      </c>
      <c r="J199" s="16" t="s">
        <v>98</v>
      </c>
      <c r="N199" s="16" t="b">
        <v>1</v>
      </c>
      <c r="R199" s="16" t="s">
        <v>1246</v>
      </c>
    </row>
    <row r="200" hidden="1">
      <c r="A200" s="12">
        <v>2296853.0</v>
      </c>
      <c r="B200" s="13">
        <v>46230.89915509259</v>
      </c>
      <c r="C200" s="12" t="s">
        <v>81</v>
      </c>
      <c r="D200" s="12" t="s">
        <v>1248</v>
      </c>
      <c r="E200" s="15"/>
      <c r="F200" s="12" t="s">
        <v>1214</v>
      </c>
      <c r="G200" s="16">
        <v>850.0</v>
      </c>
      <c r="I200" s="16" t="b">
        <v>0</v>
      </c>
      <c r="J200" s="16" t="s">
        <v>130</v>
      </c>
      <c r="K200" s="16" t="s">
        <v>132</v>
      </c>
      <c r="N200" s="16" t="b">
        <v>1</v>
      </c>
      <c r="R200" s="16" t="s">
        <v>1251</v>
      </c>
    </row>
    <row r="201" hidden="1">
      <c r="A201" s="12">
        <v>2297464.0</v>
      </c>
      <c r="B201" s="13">
        <v>46231.51424768518</v>
      </c>
      <c r="C201" s="12" t="s">
        <v>152</v>
      </c>
      <c r="D201" s="12" t="s">
        <v>1252</v>
      </c>
      <c r="E201" s="15"/>
      <c r="F201" s="12" t="s">
        <v>1126</v>
      </c>
      <c r="G201" s="16">
        <v>89.4</v>
      </c>
      <c r="I201" s="16" t="b">
        <v>0</v>
      </c>
      <c r="J201" s="16" t="s">
        <v>159</v>
      </c>
      <c r="N201" s="16" t="b">
        <v>1</v>
      </c>
      <c r="R201" s="16" t="s">
        <v>1255</v>
      </c>
    </row>
    <row r="202" hidden="1">
      <c r="A202" s="12">
        <v>2298541.0</v>
      </c>
      <c r="B202" s="13">
        <v>46231.87520833333</v>
      </c>
      <c r="C202" s="12" t="s">
        <v>81</v>
      </c>
      <c r="D202" s="12" t="s">
        <v>1257</v>
      </c>
      <c r="E202" s="21"/>
      <c r="F202" s="12" t="s">
        <v>1259</v>
      </c>
      <c r="G202" s="16">
        <v>52.5</v>
      </c>
      <c r="I202" s="16" t="b">
        <v>0</v>
      </c>
      <c r="J202" s="16" t="s">
        <v>231</v>
      </c>
      <c r="N202" s="16" t="b">
        <v>1</v>
      </c>
      <c r="R202" s="16" t="s">
        <v>1260</v>
      </c>
    </row>
    <row r="203" hidden="1">
      <c r="A203" s="12">
        <v>2298572.0</v>
      </c>
      <c r="B203" s="13">
        <v>46231.88251157408</v>
      </c>
      <c r="C203" s="12" t="s">
        <v>81</v>
      </c>
      <c r="D203" s="12" t="s">
        <v>1263</v>
      </c>
      <c r="E203" s="15"/>
      <c r="F203" s="12" t="s">
        <v>1264</v>
      </c>
      <c r="G203" s="16">
        <v>70.0</v>
      </c>
      <c r="I203" s="16" t="b">
        <v>0</v>
      </c>
      <c r="J203" s="16" t="s">
        <v>231</v>
      </c>
      <c r="N203" s="16" t="b">
        <v>1</v>
      </c>
      <c r="R203" s="16" t="s">
        <v>1266</v>
      </c>
    </row>
    <row r="204" hidden="1">
      <c r="A204" s="12">
        <v>2298597.0</v>
      </c>
      <c r="B204" s="13">
        <v>46231.88606481482</v>
      </c>
      <c r="C204" s="12" t="s">
        <v>81</v>
      </c>
      <c r="D204" s="12" t="s">
        <v>200</v>
      </c>
      <c r="E204" s="15"/>
      <c r="F204" s="12" t="s">
        <v>1214</v>
      </c>
      <c r="G204" s="16">
        <v>300.0</v>
      </c>
      <c r="I204" s="16" t="b">
        <v>0</v>
      </c>
      <c r="J204" s="16" t="s">
        <v>130</v>
      </c>
      <c r="K204" s="16" t="s">
        <v>132</v>
      </c>
      <c r="N204" s="16" t="b">
        <v>1</v>
      </c>
      <c r="R204" s="16" t="s">
        <v>1268</v>
      </c>
    </row>
    <row r="205" hidden="1">
      <c r="A205" s="12">
        <v>2299469.0</v>
      </c>
      <c r="B205" s="13">
        <v>46232.611655092594</v>
      </c>
      <c r="C205" s="12" t="s">
        <v>152</v>
      </c>
      <c r="D205" s="12" t="s">
        <v>1248</v>
      </c>
      <c r="E205" s="15"/>
      <c r="F205" s="12" t="s">
        <v>1271</v>
      </c>
      <c r="G205" s="16">
        <v>850.0</v>
      </c>
      <c r="I205" s="16" t="b">
        <v>0</v>
      </c>
      <c r="J205" s="16" t="s">
        <v>130</v>
      </c>
      <c r="K205" s="16" t="s">
        <v>132</v>
      </c>
      <c r="N205" s="16" t="b">
        <v>1</v>
      </c>
      <c r="R205" s="16" t="s">
        <v>1272</v>
      </c>
    </row>
    <row r="206" hidden="1">
      <c r="A206" s="12">
        <v>2299484.0</v>
      </c>
      <c r="B206" s="13">
        <v>46232.620254629626</v>
      </c>
      <c r="C206" s="12" t="s">
        <v>81</v>
      </c>
      <c r="D206" s="12" t="s">
        <v>1275</v>
      </c>
      <c r="E206" s="15"/>
      <c r="F206" s="12" t="s">
        <v>1277</v>
      </c>
      <c r="G206" s="16">
        <v>478.65</v>
      </c>
      <c r="I206" s="16" t="b">
        <v>0</v>
      </c>
      <c r="J206" s="16" t="s">
        <v>115</v>
      </c>
      <c r="M206" s="16" t="s">
        <v>1278</v>
      </c>
      <c r="N206" s="16" t="b">
        <v>1</v>
      </c>
      <c r="R206" s="16" t="s">
        <v>1279</v>
      </c>
    </row>
    <row r="207" hidden="1">
      <c r="A207" s="12">
        <v>2300270.0</v>
      </c>
      <c r="B207" s="13">
        <v>46232.89371527778</v>
      </c>
      <c r="C207" s="12" t="s">
        <v>81</v>
      </c>
      <c r="D207" s="12" t="s">
        <v>929</v>
      </c>
      <c r="E207" s="15"/>
      <c r="F207" s="12" t="s">
        <v>1281</v>
      </c>
      <c r="G207" s="16">
        <v>28.0</v>
      </c>
      <c r="I207" s="16" t="b">
        <v>0</v>
      </c>
      <c r="J207" s="16" t="s">
        <v>98</v>
      </c>
      <c r="N207" s="16" t="b">
        <v>1</v>
      </c>
      <c r="R207" s="16" t="s">
        <v>1282</v>
      </c>
    </row>
    <row r="208" hidden="1">
      <c r="A208" s="12">
        <v>2300289.0</v>
      </c>
      <c r="B208" s="13">
        <v>46232.89744212963</v>
      </c>
      <c r="C208" s="12" t="s">
        <v>81</v>
      </c>
      <c r="D208" s="12" t="s">
        <v>443</v>
      </c>
      <c r="E208" s="15"/>
      <c r="F208" s="12" t="s">
        <v>1214</v>
      </c>
      <c r="G208" s="16">
        <v>900.0</v>
      </c>
      <c r="I208" s="16" t="b">
        <v>0</v>
      </c>
      <c r="J208" s="16" t="s">
        <v>130</v>
      </c>
      <c r="K208" s="16" t="s">
        <v>132</v>
      </c>
      <c r="N208" s="16" t="b">
        <v>1</v>
      </c>
      <c r="R208" s="16" t="s">
        <v>1283</v>
      </c>
    </row>
    <row r="209" hidden="1">
      <c r="A209" s="12">
        <v>2300851.0</v>
      </c>
      <c r="B209" s="13">
        <v>46233.53011574074</v>
      </c>
      <c r="C209" s="12" t="s">
        <v>81</v>
      </c>
      <c r="D209" s="12" t="s">
        <v>1285</v>
      </c>
      <c r="E209" s="15"/>
      <c r="F209" s="12" t="s">
        <v>1286</v>
      </c>
      <c r="G209" s="16">
        <v>75.67</v>
      </c>
      <c r="I209" s="16" t="b">
        <v>0</v>
      </c>
      <c r="J209" s="16" t="s">
        <v>115</v>
      </c>
      <c r="M209" s="23" t="s">
        <v>1288</v>
      </c>
      <c r="N209" s="16" t="b">
        <v>1</v>
      </c>
      <c r="R209" s="16" t="s">
        <v>1291</v>
      </c>
    </row>
    <row r="210" hidden="1">
      <c r="A210" s="12">
        <v>2301915.0</v>
      </c>
      <c r="B210" s="13">
        <v>46233.892916666664</v>
      </c>
      <c r="C210" s="12" t="s">
        <v>81</v>
      </c>
      <c r="D210" s="12" t="s">
        <v>1293</v>
      </c>
      <c r="E210" s="21"/>
      <c r="F210" s="12" t="s">
        <v>1214</v>
      </c>
      <c r="G210" s="16">
        <v>1150.0</v>
      </c>
      <c r="I210" s="16" t="b">
        <v>0</v>
      </c>
      <c r="J210" s="16" t="s">
        <v>130</v>
      </c>
      <c r="K210" s="16" t="s">
        <v>132</v>
      </c>
      <c r="N210" s="16" t="b">
        <v>1</v>
      </c>
      <c r="R210" s="16" t="s">
        <v>1294</v>
      </c>
    </row>
    <row r="211" hidden="1">
      <c r="A211" s="12">
        <v>2301918.0</v>
      </c>
      <c r="B211" s="13">
        <v>46233.89362268519</v>
      </c>
      <c r="C211" s="12" t="s">
        <v>81</v>
      </c>
      <c r="D211" s="12" t="s">
        <v>1296</v>
      </c>
      <c r="E211" s="15"/>
      <c r="F211" s="12" t="s">
        <v>1297</v>
      </c>
      <c r="G211" s="16">
        <v>69.98</v>
      </c>
      <c r="I211" s="16" t="b">
        <v>0</v>
      </c>
      <c r="J211" s="16" t="s">
        <v>115</v>
      </c>
      <c r="M211" s="16" t="s">
        <v>1301</v>
      </c>
      <c r="N211" s="16" t="b">
        <v>1</v>
      </c>
      <c r="R211" s="16" t="s">
        <v>1303</v>
      </c>
    </row>
    <row r="212" hidden="1">
      <c r="A212" s="12">
        <v>2301928.0</v>
      </c>
      <c r="B212" s="13">
        <v>46233.89556712963</v>
      </c>
      <c r="C212" s="12" t="s">
        <v>81</v>
      </c>
      <c r="D212" s="12" t="s">
        <v>1308</v>
      </c>
      <c r="E212" s="15"/>
      <c r="F212" s="12" t="s">
        <v>1309</v>
      </c>
      <c r="G212" s="16">
        <v>118.38</v>
      </c>
      <c r="I212" s="16" t="b">
        <v>0</v>
      </c>
      <c r="J212" s="16" t="s">
        <v>115</v>
      </c>
      <c r="M212" s="16" t="s">
        <v>1313</v>
      </c>
      <c r="N212" s="16" t="b">
        <v>1</v>
      </c>
      <c r="R212" s="16" t="s">
        <v>1315</v>
      </c>
    </row>
    <row r="213" hidden="1">
      <c r="A213" s="12">
        <v>2303160.0</v>
      </c>
      <c r="B213" s="13">
        <v>46234.72435185185</v>
      </c>
      <c r="C213" s="12" t="s">
        <v>152</v>
      </c>
      <c r="D213" s="12" t="s">
        <v>1317</v>
      </c>
      <c r="E213" s="15"/>
      <c r="F213" s="12" t="s">
        <v>1034</v>
      </c>
      <c r="G213" s="16">
        <v>130.4</v>
      </c>
      <c r="I213" s="16" t="b">
        <v>0</v>
      </c>
      <c r="J213" s="16" t="s">
        <v>159</v>
      </c>
      <c r="N213" s="16" t="b">
        <v>1</v>
      </c>
      <c r="R213" s="16" t="s">
        <v>1323</v>
      </c>
    </row>
    <row r="214" hidden="1">
      <c r="A214" s="12">
        <v>2303429.0</v>
      </c>
      <c r="B214" s="13">
        <v>46234.79292824074</v>
      </c>
      <c r="C214" s="12" t="s">
        <v>81</v>
      </c>
      <c r="D214" s="12" t="s">
        <v>1327</v>
      </c>
      <c r="E214" s="15"/>
      <c r="F214" s="12" t="s">
        <v>862</v>
      </c>
      <c r="G214" s="16">
        <v>10.26</v>
      </c>
      <c r="I214" s="16" t="b">
        <v>0</v>
      </c>
      <c r="J214" s="16" t="s">
        <v>364</v>
      </c>
      <c r="K214" s="23" t="s">
        <v>366</v>
      </c>
      <c r="N214" s="16" t="b">
        <v>1</v>
      </c>
      <c r="R214" s="16" t="s">
        <v>1331</v>
      </c>
    </row>
    <row r="215" hidden="1">
      <c r="A215" s="12">
        <v>2303661.0</v>
      </c>
      <c r="B215" s="13">
        <v>46234.86547453704</v>
      </c>
      <c r="C215" s="12" t="s">
        <v>81</v>
      </c>
      <c r="D215" s="12" t="s">
        <v>1334</v>
      </c>
      <c r="E215" s="15"/>
      <c r="F215" s="12" t="s">
        <v>955</v>
      </c>
      <c r="G215" s="16">
        <v>48.0</v>
      </c>
      <c r="I215" s="16" t="b">
        <v>0</v>
      </c>
      <c r="J215" s="16" t="s">
        <v>98</v>
      </c>
      <c r="N215" s="16" t="b">
        <v>1</v>
      </c>
      <c r="R215" s="16" t="s">
        <v>1338</v>
      </c>
    </row>
    <row r="216" hidden="1">
      <c r="A216" s="12">
        <v>2303668.0</v>
      </c>
      <c r="B216" s="13">
        <v>46234.86777777778</v>
      </c>
      <c r="C216" s="12" t="s">
        <v>81</v>
      </c>
      <c r="D216" s="12" t="s">
        <v>446</v>
      </c>
      <c r="E216" s="15"/>
      <c r="F216" s="12" t="s">
        <v>806</v>
      </c>
      <c r="G216" s="16">
        <v>700.0</v>
      </c>
      <c r="I216" s="16" t="b">
        <v>0</v>
      </c>
      <c r="J216" s="16" t="s">
        <v>130</v>
      </c>
      <c r="K216" s="16" t="s">
        <v>132</v>
      </c>
      <c r="N216" s="16" t="b">
        <v>1</v>
      </c>
      <c r="R216" s="16" t="s">
        <v>1343</v>
      </c>
    </row>
    <row r="217" hidden="1">
      <c r="A217" s="12">
        <v>2303736.0</v>
      </c>
      <c r="B217" s="13">
        <v>46234.88122685185</v>
      </c>
      <c r="C217" s="12" t="s">
        <v>81</v>
      </c>
      <c r="D217" s="12" t="s">
        <v>713</v>
      </c>
      <c r="E217" s="15"/>
      <c r="F217" s="12" t="s">
        <v>818</v>
      </c>
      <c r="G217" s="16">
        <v>50.0</v>
      </c>
      <c r="I217" s="16" t="b">
        <v>0</v>
      </c>
      <c r="J217" s="16" t="s">
        <v>231</v>
      </c>
      <c r="N217" s="16" t="b">
        <v>1</v>
      </c>
      <c r="R217" s="16" t="s">
        <v>1346</v>
      </c>
    </row>
    <row r="218" hidden="1">
      <c r="A218" s="12">
        <v>2304611.0</v>
      </c>
      <c r="B218" s="13">
        <v>46235.54284722222</v>
      </c>
      <c r="C218" s="12" t="s">
        <v>81</v>
      </c>
      <c r="D218" s="12" t="s">
        <v>823</v>
      </c>
      <c r="E218" s="15"/>
      <c r="F218" s="12" t="s">
        <v>1348</v>
      </c>
      <c r="G218" s="16">
        <v>120.0</v>
      </c>
      <c r="I218" s="16" t="b">
        <v>0</v>
      </c>
      <c r="J218" s="16" t="s">
        <v>231</v>
      </c>
      <c r="N218" s="16" t="b">
        <v>1</v>
      </c>
      <c r="R218" s="16" t="s">
        <v>1350</v>
      </c>
    </row>
    <row r="219" hidden="1">
      <c r="A219" s="12">
        <v>2304686.0</v>
      </c>
      <c r="B219" s="13">
        <v>46235.566296296296</v>
      </c>
      <c r="C219" s="12" t="s">
        <v>152</v>
      </c>
      <c r="D219" s="12" t="s">
        <v>1352</v>
      </c>
      <c r="E219" s="21"/>
      <c r="F219" s="12" t="s">
        <v>975</v>
      </c>
      <c r="G219" s="16">
        <v>5.25</v>
      </c>
      <c r="I219" s="16" t="b">
        <v>0</v>
      </c>
      <c r="J219" s="16" t="s">
        <v>159</v>
      </c>
      <c r="N219" s="16" t="b">
        <v>1</v>
      </c>
      <c r="R219" s="16" t="s">
        <v>1355</v>
      </c>
    </row>
    <row r="220" hidden="1">
      <c r="A220" s="12">
        <v>2304688.0</v>
      </c>
      <c r="B220" s="13">
        <v>46235.56704861111</v>
      </c>
      <c r="C220" s="12" t="s">
        <v>81</v>
      </c>
      <c r="D220" s="12" t="s">
        <v>1356</v>
      </c>
      <c r="E220" s="15"/>
      <c r="F220" s="12" t="s">
        <v>802</v>
      </c>
      <c r="G220" s="16">
        <v>12.47</v>
      </c>
      <c r="I220" s="16" t="b">
        <v>0</v>
      </c>
      <c r="J220" s="16" t="s">
        <v>115</v>
      </c>
      <c r="M220" s="23" t="s">
        <v>1357</v>
      </c>
      <c r="N220" s="16" t="b">
        <v>1</v>
      </c>
      <c r="R220" s="16" t="s">
        <v>1359</v>
      </c>
    </row>
    <row r="221" hidden="1">
      <c r="A221" s="12">
        <v>2304689.0</v>
      </c>
      <c r="B221" s="13">
        <v>46235.56721064815</v>
      </c>
      <c r="C221" s="12" t="s">
        <v>81</v>
      </c>
      <c r="D221" s="12" t="s">
        <v>457</v>
      </c>
      <c r="E221" s="15"/>
      <c r="F221" s="12" t="s">
        <v>802</v>
      </c>
      <c r="G221" s="16">
        <v>200.0</v>
      </c>
      <c r="I221" s="16" t="b">
        <v>0</v>
      </c>
      <c r="J221" s="16" t="s">
        <v>115</v>
      </c>
      <c r="M221" s="16" t="s">
        <v>1363</v>
      </c>
      <c r="N221" s="16" t="b">
        <v>1</v>
      </c>
      <c r="R221" s="16" t="s">
        <v>1364</v>
      </c>
    </row>
    <row r="222" hidden="1">
      <c r="A222" s="12">
        <v>2305014.0</v>
      </c>
      <c r="B222" s="13">
        <v>46235.66355324074</v>
      </c>
      <c r="C222" s="12" t="s">
        <v>81</v>
      </c>
      <c r="D222" s="12" t="s">
        <v>1365</v>
      </c>
      <c r="E222" s="15"/>
      <c r="F222" s="12" t="s">
        <v>1366</v>
      </c>
      <c r="G222" s="16">
        <v>48.81</v>
      </c>
      <c r="I222" s="16" t="b">
        <v>0</v>
      </c>
      <c r="J222" s="16" t="s">
        <v>142</v>
      </c>
      <c r="N222" s="16" t="b">
        <v>1</v>
      </c>
      <c r="R222" s="16" t="s">
        <v>1367</v>
      </c>
    </row>
    <row r="223" hidden="1">
      <c r="A223" s="12">
        <v>2305867.0</v>
      </c>
      <c r="B223" s="13">
        <v>46235.84302083333</v>
      </c>
      <c r="C223" s="12" t="s">
        <v>81</v>
      </c>
      <c r="D223" s="12" t="s">
        <v>1370</v>
      </c>
      <c r="E223" s="15"/>
      <c r="F223" s="12" t="s">
        <v>1050</v>
      </c>
      <c r="G223" s="16">
        <v>4.0</v>
      </c>
      <c r="I223" s="16" t="b">
        <v>0</v>
      </c>
      <c r="J223" s="16" t="s">
        <v>115</v>
      </c>
      <c r="M223" s="16" t="s">
        <v>1373</v>
      </c>
      <c r="N223" s="16" t="b">
        <v>1</v>
      </c>
      <c r="R223" s="16" t="s">
        <v>1375</v>
      </c>
    </row>
    <row r="224" hidden="1">
      <c r="A224" s="12">
        <v>2305876.0</v>
      </c>
      <c r="B224" s="13">
        <v>46235.84494212963</v>
      </c>
      <c r="C224" s="12" t="s">
        <v>81</v>
      </c>
      <c r="D224" s="12" t="s">
        <v>1334</v>
      </c>
      <c r="E224" s="15"/>
      <c r="F224" s="12" t="s">
        <v>955</v>
      </c>
      <c r="G224" s="16">
        <v>48.0</v>
      </c>
      <c r="I224" s="16" t="b">
        <v>0</v>
      </c>
      <c r="J224" s="16" t="s">
        <v>98</v>
      </c>
      <c r="N224" s="16" t="b">
        <v>1</v>
      </c>
      <c r="R224" s="16" t="s">
        <v>1376</v>
      </c>
    </row>
    <row r="225" hidden="1">
      <c r="A225" s="12">
        <v>2306149.0</v>
      </c>
      <c r="B225" s="13">
        <v>46235.89712962963</v>
      </c>
      <c r="C225" s="12" t="s">
        <v>81</v>
      </c>
      <c r="D225" s="12" t="s">
        <v>1379</v>
      </c>
      <c r="E225" s="15"/>
      <c r="F225" s="12" t="s">
        <v>806</v>
      </c>
      <c r="G225" s="16">
        <v>1760.0</v>
      </c>
      <c r="I225" s="16" t="b">
        <v>0</v>
      </c>
      <c r="J225" s="16" t="s">
        <v>130</v>
      </c>
      <c r="K225" s="16" t="s">
        <v>132</v>
      </c>
      <c r="N225" s="16" t="b">
        <v>1</v>
      </c>
      <c r="R225" s="16" t="s">
        <v>1381</v>
      </c>
    </row>
    <row r="226" hidden="1">
      <c r="A226" s="12">
        <v>2308775.0</v>
      </c>
      <c r="B226" s="13">
        <v>46236.892164351855</v>
      </c>
      <c r="C226" s="12" t="s">
        <v>81</v>
      </c>
      <c r="D226" s="12" t="s">
        <v>1384</v>
      </c>
      <c r="E226" s="15"/>
      <c r="F226" s="12" t="s">
        <v>839</v>
      </c>
      <c r="G226" s="16">
        <v>12.24</v>
      </c>
      <c r="I226" s="16" t="b">
        <v>0</v>
      </c>
      <c r="J226" s="16" t="s">
        <v>364</v>
      </c>
      <c r="K226" s="23" t="s">
        <v>366</v>
      </c>
      <c r="N226" s="16" t="b">
        <v>1</v>
      </c>
      <c r="R226" s="16" t="s">
        <v>1385</v>
      </c>
    </row>
    <row r="227" hidden="1">
      <c r="A227" s="12">
        <v>2308974.0</v>
      </c>
      <c r="B227" s="13">
        <v>46236.911828703705</v>
      </c>
      <c r="C227" s="12" t="s">
        <v>81</v>
      </c>
      <c r="D227" s="12" t="s">
        <v>1388</v>
      </c>
      <c r="E227" s="15"/>
      <c r="F227" s="12" t="s">
        <v>1076</v>
      </c>
      <c r="G227" s="16">
        <v>92.0</v>
      </c>
      <c r="I227" s="16" t="b">
        <v>0</v>
      </c>
      <c r="J227" s="16" t="s">
        <v>98</v>
      </c>
      <c r="N227" s="16" t="b">
        <v>1</v>
      </c>
      <c r="R227" s="16" t="s">
        <v>1391</v>
      </c>
    </row>
    <row r="228" hidden="1">
      <c r="A228" s="12">
        <v>2308981.0</v>
      </c>
      <c r="B228" s="13">
        <v>46236.9121875</v>
      </c>
      <c r="C228" s="12" t="s">
        <v>81</v>
      </c>
      <c r="D228" s="12" t="s">
        <v>1393</v>
      </c>
      <c r="E228" s="15"/>
      <c r="F228" s="12" t="s">
        <v>1394</v>
      </c>
      <c r="G228" s="16">
        <v>104.29</v>
      </c>
      <c r="I228" s="16" t="b">
        <v>0</v>
      </c>
      <c r="J228" s="16" t="s">
        <v>142</v>
      </c>
      <c r="N228" s="16" t="b">
        <v>1</v>
      </c>
      <c r="R228" s="16" t="s">
        <v>1396</v>
      </c>
    </row>
    <row r="229" hidden="1">
      <c r="A229" s="12">
        <v>2309322.0</v>
      </c>
      <c r="B229" s="13">
        <v>46236.935324074075</v>
      </c>
      <c r="C229" s="12" t="s">
        <v>81</v>
      </c>
      <c r="D229" s="12" t="s">
        <v>1400</v>
      </c>
      <c r="E229" s="15"/>
      <c r="F229" s="12" t="s">
        <v>806</v>
      </c>
      <c r="G229" s="16">
        <v>1640.0</v>
      </c>
      <c r="I229" s="16" t="b">
        <v>0</v>
      </c>
      <c r="J229" s="16" t="s">
        <v>130</v>
      </c>
      <c r="K229" s="16" t="s">
        <v>132</v>
      </c>
      <c r="N229" s="16" t="b">
        <v>1</v>
      </c>
      <c r="R229" s="16" t="s">
        <v>1403</v>
      </c>
    </row>
    <row r="230" hidden="1">
      <c r="A230" s="12">
        <v>2309328.0</v>
      </c>
      <c r="B230" s="13">
        <v>46236.93572916667</v>
      </c>
      <c r="C230" s="12" t="s">
        <v>81</v>
      </c>
      <c r="D230" s="12" t="s">
        <v>1406</v>
      </c>
      <c r="E230" s="15"/>
      <c r="F230" s="12" t="s">
        <v>812</v>
      </c>
      <c r="G230" s="16">
        <v>242.0</v>
      </c>
      <c r="I230" s="16" t="b">
        <v>0</v>
      </c>
      <c r="J230" s="16" t="s">
        <v>231</v>
      </c>
      <c r="M230" s="16" t="s">
        <v>1410</v>
      </c>
      <c r="N230" s="16" t="b">
        <v>1</v>
      </c>
      <c r="R230" s="16" t="s">
        <v>1413</v>
      </c>
    </row>
    <row r="231" hidden="1">
      <c r="A231" s="12">
        <v>2309330.0</v>
      </c>
      <c r="B231" s="13">
        <v>46236.93601851852</v>
      </c>
      <c r="C231" s="12" t="s">
        <v>81</v>
      </c>
      <c r="D231" s="12" t="s">
        <v>1416</v>
      </c>
      <c r="E231" s="15"/>
      <c r="F231" s="12" t="s">
        <v>824</v>
      </c>
      <c r="G231" s="16">
        <v>171.0</v>
      </c>
      <c r="I231" s="16" t="b">
        <v>0</v>
      </c>
      <c r="J231" s="16" t="s">
        <v>231</v>
      </c>
      <c r="M231" s="23" t="s">
        <v>1418</v>
      </c>
      <c r="N231" s="16" t="b">
        <v>1</v>
      </c>
      <c r="R231" s="16" t="s">
        <v>1420</v>
      </c>
    </row>
    <row r="232" hidden="1">
      <c r="A232" s="12">
        <v>2309331.0</v>
      </c>
      <c r="B232" s="13">
        <v>46236.93634259259</v>
      </c>
      <c r="C232" s="12" t="s">
        <v>81</v>
      </c>
      <c r="D232" s="12" t="s">
        <v>1422</v>
      </c>
      <c r="E232" s="15"/>
      <c r="F232" s="12" t="s">
        <v>818</v>
      </c>
      <c r="G232" s="16">
        <v>380.0</v>
      </c>
      <c r="I232" s="16" t="b">
        <v>0</v>
      </c>
      <c r="J232" s="16" t="s">
        <v>231</v>
      </c>
      <c r="M232" s="16" t="s">
        <v>1425</v>
      </c>
      <c r="N232" s="16" t="b">
        <v>1</v>
      </c>
      <c r="R232" s="16" t="s">
        <v>1427</v>
      </c>
    </row>
    <row r="233" hidden="1">
      <c r="A233" s="12">
        <v>2309377.0</v>
      </c>
      <c r="B233" s="13">
        <v>46236.939988425926</v>
      </c>
      <c r="C233" s="12" t="s">
        <v>152</v>
      </c>
      <c r="D233" s="12" t="s">
        <v>517</v>
      </c>
      <c r="E233" s="21"/>
      <c r="F233" s="12" t="s">
        <v>1034</v>
      </c>
      <c r="G233" s="16">
        <v>40.0</v>
      </c>
      <c r="I233" s="16" t="b">
        <v>0</v>
      </c>
      <c r="J233" s="16" t="s">
        <v>159</v>
      </c>
      <c r="N233" s="16" t="b">
        <v>1</v>
      </c>
      <c r="R233" s="16" t="s">
        <v>1431</v>
      </c>
    </row>
    <row r="234">
      <c r="A234" s="12">
        <v>2310078.0</v>
      </c>
      <c r="B234" s="13">
        <v>46237.58578703704</v>
      </c>
      <c r="C234" s="12" t="s">
        <v>81</v>
      </c>
      <c r="D234" s="12" t="s">
        <v>1432</v>
      </c>
      <c r="E234" s="15"/>
      <c r="F234" s="12" t="s">
        <v>1434</v>
      </c>
      <c r="G234" s="16">
        <v>13.0</v>
      </c>
      <c r="I234" s="16" t="b">
        <v>0</v>
      </c>
      <c r="J234" s="16" t="s">
        <v>115</v>
      </c>
      <c r="M234" s="16" t="s">
        <v>1436</v>
      </c>
      <c r="N234" s="16" t="b">
        <v>1</v>
      </c>
      <c r="R234" s="16" t="s">
        <v>1439</v>
      </c>
    </row>
    <row r="235">
      <c r="A235" s="12">
        <v>2310166.0</v>
      </c>
      <c r="B235" s="13">
        <v>46237.61724537037</v>
      </c>
      <c r="C235" s="12" t="s">
        <v>81</v>
      </c>
      <c r="D235" s="12" t="s">
        <v>1443</v>
      </c>
      <c r="E235" s="15"/>
      <c r="F235" s="12" t="s">
        <v>1044</v>
      </c>
      <c r="G235" s="16">
        <v>26.97</v>
      </c>
      <c r="I235" s="16" t="b">
        <v>0</v>
      </c>
      <c r="J235" s="16" t="s">
        <v>115</v>
      </c>
      <c r="M235" s="16" t="s">
        <v>1444</v>
      </c>
      <c r="N235" s="16" t="b">
        <v>1</v>
      </c>
      <c r="R235" s="16" t="s">
        <v>1445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6" max="6" width="40.75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20</v>
      </c>
      <c r="O1" s="2" t="s">
        <v>22</v>
      </c>
      <c r="P1" s="2" t="s">
        <v>24</v>
      </c>
      <c r="Q1" s="2" t="s">
        <v>25</v>
      </c>
      <c r="R1" s="2" t="s">
        <v>28</v>
      </c>
      <c r="S1" s="2" t="s">
        <v>29</v>
      </c>
      <c r="T1" s="2" t="s">
        <v>32</v>
      </c>
      <c r="U1" s="2" t="s">
        <v>34</v>
      </c>
      <c r="V1" s="2" t="s">
        <v>35</v>
      </c>
      <c r="W1" s="2" t="s">
        <v>38</v>
      </c>
      <c r="X1" s="2" t="s">
        <v>40</v>
      </c>
      <c r="Y1" s="2" t="s">
        <v>41</v>
      </c>
      <c r="Z1" s="2" t="s">
        <v>43</v>
      </c>
      <c r="AA1" s="2" t="s">
        <v>45</v>
      </c>
      <c r="AB1" s="2" t="s">
        <v>47</v>
      </c>
      <c r="AC1" s="2" t="s">
        <v>49</v>
      </c>
      <c r="AD1" s="2" t="s">
        <v>51</v>
      </c>
      <c r="AE1" s="2" t="s">
        <v>53</v>
      </c>
      <c r="AF1" s="2" t="s">
        <v>54</v>
      </c>
      <c r="AG1" s="2" t="s">
        <v>57</v>
      </c>
      <c r="AH1" s="2" t="s">
        <v>59</v>
      </c>
      <c r="AI1" s="2" t="s">
        <v>62</v>
      </c>
      <c r="AJ1" s="2" t="s">
        <v>64</v>
      </c>
      <c r="AK1" s="2" t="s">
        <v>67</v>
      </c>
      <c r="AL1" s="2" t="s">
        <v>68</v>
      </c>
      <c r="AM1" s="2" t="s">
        <v>69</v>
      </c>
      <c r="AN1" s="2" t="s">
        <v>71</v>
      </c>
      <c r="AO1" s="2" t="s">
        <v>72</v>
      </c>
      <c r="AP1" s="2" t="s">
        <v>74</v>
      </c>
      <c r="AQ1" s="2" t="s">
        <v>75</v>
      </c>
      <c r="AR1" s="2" t="s">
        <v>77</v>
      </c>
      <c r="AS1" s="2" t="s">
        <v>79</v>
      </c>
      <c r="AT1" s="2" t="s">
        <v>80</v>
      </c>
      <c r="AU1" s="2" t="s">
        <v>82</v>
      </c>
      <c r="AV1" s="2" t="s">
        <v>84</v>
      </c>
      <c r="AW1" s="2" t="s">
        <v>85</v>
      </c>
      <c r="AX1" s="2" t="s">
        <v>87</v>
      </c>
      <c r="AY1" s="2" t="s">
        <v>88</v>
      </c>
      <c r="AZ1" s="2" t="s">
        <v>89</v>
      </c>
      <c r="BA1" s="2" t="s">
        <v>90</v>
      </c>
      <c r="BB1" s="2" t="s">
        <v>91</v>
      </c>
      <c r="BC1" s="2" t="s">
        <v>93</v>
      </c>
      <c r="BD1" s="2" t="s">
        <v>94</v>
      </c>
      <c r="BE1" s="2" t="s">
        <v>96</v>
      </c>
      <c r="BF1" s="2" t="s">
        <v>97</v>
      </c>
      <c r="BG1" s="2" t="s">
        <v>99</v>
      </c>
      <c r="BH1" s="2" t="s">
        <v>101</v>
      </c>
      <c r="BI1" s="2" t="s">
        <v>103</v>
      </c>
      <c r="BJ1" s="2" t="s">
        <v>105</v>
      </c>
      <c r="BK1" s="2" t="s">
        <v>107</v>
      </c>
      <c r="BL1" s="2" t="s">
        <v>109</v>
      </c>
      <c r="BM1" s="2" t="s">
        <v>110</v>
      </c>
      <c r="BN1" s="2" t="s">
        <v>112</v>
      </c>
      <c r="BO1" s="2" t="s">
        <v>113</v>
      </c>
      <c r="BP1" s="2" t="s">
        <v>21</v>
      </c>
      <c r="BQ1" s="2" t="s">
        <v>44</v>
      </c>
      <c r="BR1" s="2" t="s">
        <v>116</v>
      </c>
      <c r="BS1" s="2" t="s">
        <v>0</v>
      </c>
      <c r="BT1" s="2" t="s">
        <v>27</v>
      </c>
      <c r="BU1" s="2" t="s">
        <v>30</v>
      </c>
      <c r="BV1" s="2" t="s">
        <v>33</v>
      </c>
      <c r="BW1" s="2" t="s">
        <v>36</v>
      </c>
      <c r="BX1" s="2" t="s">
        <v>39</v>
      </c>
      <c r="BY1" s="2" t="s">
        <v>42</v>
      </c>
    </row>
    <row r="2">
      <c r="A2" s="16" t="s">
        <v>173</v>
      </c>
      <c r="B2" s="16" t="s">
        <v>65</v>
      </c>
      <c r="C2" s="18">
        <v>45815.0</v>
      </c>
      <c r="D2" s="16" t="s">
        <v>177</v>
      </c>
      <c r="F2" s="16" t="s">
        <v>179</v>
      </c>
      <c r="G2" s="16" t="s">
        <v>181</v>
      </c>
      <c r="H2" s="16">
        <v>1.0</v>
      </c>
      <c r="I2" s="20">
        <v>42.85</v>
      </c>
      <c r="J2" s="20">
        <v>42.85</v>
      </c>
      <c r="BO2" s="20">
        <v>42.85</v>
      </c>
      <c r="BR2" s="20">
        <v>42.85</v>
      </c>
      <c r="BU2" s="16" t="s">
        <v>187</v>
      </c>
    </row>
    <row r="3">
      <c r="A3" s="16" t="s">
        <v>190</v>
      </c>
      <c r="B3" s="16" t="s">
        <v>65</v>
      </c>
      <c r="C3" s="19">
        <v>45843.0</v>
      </c>
      <c r="D3" s="16" t="s">
        <v>194</v>
      </c>
      <c r="F3" s="16" t="s">
        <v>196</v>
      </c>
      <c r="G3" s="16" t="s">
        <v>197</v>
      </c>
      <c r="H3" s="16">
        <v>1.0</v>
      </c>
      <c r="I3" s="20">
        <v>266.44</v>
      </c>
      <c r="J3" s="20">
        <v>266.44</v>
      </c>
      <c r="BO3" s="20">
        <v>266.44</v>
      </c>
      <c r="BR3" s="20">
        <v>266.44</v>
      </c>
      <c r="BU3" s="16" t="s">
        <v>187</v>
      </c>
    </row>
    <row r="4">
      <c r="A4" s="16">
        <v>1.34023215E8</v>
      </c>
      <c r="B4" s="16" t="s">
        <v>65</v>
      </c>
      <c r="C4" s="19">
        <v>45832.0</v>
      </c>
      <c r="D4" s="16" t="s">
        <v>207</v>
      </c>
      <c r="F4" s="16" t="s">
        <v>208</v>
      </c>
      <c r="G4" s="16" t="s">
        <v>210</v>
      </c>
      <c r="H4" s="16">
        <v>1.0</v>
      </c>
      <c r="I4" s="20">
        <v>417.47</v>
      </c>
      <c r="J4" s="20">
        <v>417.47</v>
      </c>
      <c r="BO4" s="20">
        <v>417.47</v>
      </c>
      <c r="BR4" s="20">
        <v>417.47</v>
      </c>
      <c r="BU4" s="16" t="s">
        <v>218</v>
      </c>
    </row>
    <row r="5">
      <c r="A5" s="16" t="s">
        <v>221</v>
      </c>
      <c r="B5" s="16" t="s">
        <v>65</v>
      </c>
      <c r="C5" s="19">
        <v>45833.0</v>
      </c>
      <c r="D5" s="16" t="s">
        <v>131</v>
      </c>
      <c r="F5" s="16" t="s">
        <v>223</v>
      </c>
      <c r="G5" s="16" t="s">
        <v>224</v>
      </c>
      <c r="H5" s="16">
        <v>1.0</v>
      </c>
      <c r="I5" s="20">
        <v>17519.28</v>
      </c>
      <c r="J5" s="20">
        <v>17519.28</v>
      </c>
      <c r="BO5" s="20">
        <v>17519.28</v>
      </c>
      <c r="BR5" s="20">
        <v>17519.28</v>
      </c>
      <c r="BU5" s="16" t="s">
        <v>218</v>
      </c>
    </row>
    <row r="6">
      <c r="A6" s="16" t="s">
        <v>234</v>
      </c>
      <c r="B6" s="16" t="s">
        <v>65</v>
      </c>
      <c r="C6" s="19">
        <v>45832.0</v>
      </c>
      <c r="D6" s="20">
        <v>6.8893939E7</v>
      </c>
      <c r="F6" s="16" t="s">
        <v>238</v>
      </c>
      <c r="G6" s="16" t="s">
        <v>210</v>
      </c>
      <c r="H6" s="16">
        <v>1.0</v>
      </c>
      <c r="I6" s="20">
        <v>964.57</v>
      </c>
      <c r="J6" s="20">
        <v>964.57</v>
      </c>
      <c r="BO6" s="20">
        <v>964.57</v>
      </c>
      <c r="BR6" s="20">
        <v>964.57</v>
      </c>
      <c r="BU6" s="16" t="s">
        <v>218</v>
      </c>
    </row>
    <row r="7">
      <c r="A7" s="16" t="s">
        <v>243</v>
      </c>
      <c r="B7" s="16" t="s">
        <v>65</v>
      </c>
      <c r="C7" s="19">
        <v>45833.0</v>
      </c>
      <c r="D7" s="16" t="s">
        <v>131</v>
      </c>
      <c r="F7" s="16" t="s">
        <v>248</v>
      </c>
      <c r="G7" s="16" t="s">
        <v>224</v>
      </c>
      <c r="H7" s="16">
        <v>1.0</v>
      </c>
      <c r="I7" s="20">
        <v>1891.98</v>
      </c>
      <c r="J7" s="20">
        <v>1891.98</v>
      </c>
      <c r="BO7" s="20">
        <v>1891.98</v>
      </c>
      <c r="BR7" s="20">
        <v>1891.98</v>
      </c>
      <c r="BU7" s="16" t="s">
        <v>218</v>
      </c>
    </row>
    <row r="8">
      <c r="A8" s="16" t="s">
        <v>254</v>
      </c>
      <c r="B8" s="16" t="s">
        <v>65</v>
      </c>
      <c r="C8" s="19">
        <v>45832.0</v>
      </c>
      <c r="D8" s="16" t="s">
        <v>258</v>
      </c>
      <c r="F8" s="16" t="s">
        <v>259</v>
      </c>
      <c r="G8" s="16" t="s">
        <v>260</v>
      </c>
      <c r="H8" s="16">
        <v>1.0</v>
      </c>
      <c r="I8" s="20">
        <v>1328.67</v>
      </c>
      <c r="J8" s="20">
        <v>1328.67</v>
      </c>
      <c r="BO8" s="20">
        <v>1328.67</v>
      </c>
      <c r="BR8" s="20">
        <v>1328.67</v>
      </c>
      <c r="BU8" s="16" t="s">
        <v>218</v>
      </c>
    </row>
    <row r="9">
      <c r="A9" s="16" t="s">
        <v>266</v>
      </c>
      <c r="B9" s="16" t="s">
        <v>65</v>
      </c>
      <c r="C9" s="19">
        <v>45832.0</v>
      </c>
      <c r="D9" s="16" t="s">
        <v>268</v>
      </c>
      <c r="F9" s="16" t="s">
        <v>269</v>
      </c>
      <c r="G9" s="16" t="s">
        <v>210</v>
      </c>
      <c r="H9" s="16">
        <v>1.0</v>
      </c>
      <c r="I9" s="20">
        <v>2706.85</v>
      </c>
      <c r="J9" s="20">
        <v>2706.85</v>
      </c>
      <c r="BO9" s="20">
        <v>2706.85</v>
      </c>
      <c r="BR9" s="20">
        <v>2706.85</v>
      </c>
      <c r="BU9" s="16" t="s">
        <v>218</v>
      </c>
    </row>
    <row r="10">
      <c r="A10" s="16" t="s">
        <v>274</v>
      </c>
      <c r="B10" s="16" t="s">
        <v>65</v>
      </c>
      <c r="C10" s="22">
        <v>45832.0</v>
      </c>
      <c r="D10" s="16" t="s">
        <v>246</v>
      </c>
      <c r="F10" s="16" t="s">
        <v>277</v>
      </c>
      <c r="G10" s="16" t="s">
        <v>278</v>
      </c>
      <c r="H10" s="16">
        <v>1.0</v>
      </c>
      <c r="I10" s="20">
        <v>761.55</v>
      </c>
      <c r="J10" s="20">
        <v>761.55</v>
      </c>
      <c r="BO10" s="20">
        <v>761.55</v>
      </c>
      <c r="BR10" s="20">
        <v>761.55</v>
      </c>
      <c r="BU10" s="16" t="s">
        <v>218</v>
      </c>
    </row>
    <row r="11">
      <c r="A11" s="16" t="s">
        <v>283</v>
      </c>
      <c r="B11" s="16" t="s">
        <v>65</v>
      </c>
      <c r="C11" s="22">
        <v>45832.0</v>
      </c>
      <c r="D11" s="20">
        <v>6.8893939E7</v>
      </c>
      <c r="F11" s="16" t="s">
        <v>287</v>
      </c>
      <c r="G11" s="16" t="s">
        <v>210</v>
      </c>
      <c r="H11" s="16">
        <v>1.0</v>
      </c>
      <c r="I11" s="20">
        <v>957.86</v>
      </c>
      <c r="J11" s="20">
        <v>957.86</v>
      </c>
      <c r="BO11" s="20">
        <v>957.86</v>
      </c>
      <c r="BR11" s="20">
        <v>957.86</v>
      </c>
      <c r="BU11" s="16" t="s">
        <v>218</v>
      </c>
    </row>
    <row r="12">
      <c r="A12" s="16" t="s">
        <v>295</v>
      </c>
      <c r="B12" s="16" t="s">
        <v>65</v>
      </c>
      <c r="C12" s="22">
        <v>45832.0</v>
      </c>
      <c r="D12" s="16" t="s">
        <v>297</v>
      </c>
      <c r="F12" s="16" t="s">
        <v>287</v>
      </c>
      <c r="G12" s="16" t="s">
        <v>210</v>
      </c>
      <c r="H12" s="16">
        <v>1.0</v>
      </c>
      <c r="I12" s="20">
        <v>967.28</v>
      </c>
      <c r="J12" s="20">
        <v>967.28</v>
      </c>
      <c r="BO12" s="20">
        <v>967.28</v>
      </c>
      <c r="BR12" s="20">
        <v>967.28</v>
      </c>
      <c r="BU12" s="16" t="s">
        <v>218</v>
      </c>
    </row>
    <row r="13">
      <c r="A13" s="16" t="s">
        <v>303</v>
      </c>
      <c r="B13" s="16" t="s">
        <v>65</v>
      </c>
      <c r="C13" s="22">
        <v>45832.0</v>
      </c>
      <c r="D13" s="16" t="s">
        <v>246</v>
      </c>
      <c r="F13" s="16" t="s">
        <v>277</v>
      </c>
      <c r="G13" s="16" t="s">
        <v>278</v>
      </c>
      <c r="H13" s="16">
        <v>1.0</v>
      </c>
      <c r="I13" s="20">
        <v>170.43</v>
      </c>
      <c r="J13" s="20">
        <v>170.43</v>
      </c>
      <c r="BO13" s="20">
        <v>170.43</v>
      </c>
      <c r="BR13" s="20">
        <v>170.43</v>
      </c>
      <c r="BU13" s="16" t="s">
        <v>218</v>
      </c>
    </row>
    <row r="14">
      <c r="A14" s="16" t="s">
        <v>317</v>
      </c>
      <c r="B14" s="16" t="s">
        <v>65</v>
      </c>
      <c r="C14" s="22">
        <v>45832.0</v>
      </c>
      <c r="D14" s="16" t="s">
        <v>131</v>
      </c>
      <c r="F14" s="16" t="s">
        <v>223</v>
      </c>
      <c r="G14" s="16" t="s">
        <v>224</v>
      </c>
      <c r="H14" s="16">
        <v>1.0</v>
      </c>
      <c r="I14" s="20">
        <v>1105.29</v>
      </c>
      <c r="J14" s="20">
        <v>1105.29</v>
      </c>
      <c r="BO14" s="20">
        <v>1105.29</v>
      </c>
      <c r="BR14" s="20">
        <v>1105.29</v>
      </c>
      <c r="BU14" s="16" t="s">
        <v>218</v>
      </c>
    </row>
    <row r="15">
      <c r="A15" s="16" t="s">
        <v>328</v>
      </c>
      <c r="B15" s="16" t="s">
        <v>65</v>
      </c>
      <c r="C15" s="22">
        <v>45832.0</v>
      </c>
      <c r="D15" s="16" t="s">
        <v>131</v>
      </c>
      <c r="F15" s="16" t="s">
        <v>223</v>
      </c>
      <c r="G15" s="16" t="s">
        <v>224</v>
      </c>
      <c r="H15" s="16">
        <v>1.0</v>
      </c>
      <c r="I15" s="20">
        <v>230.03</v>
      </c>
      <c r="J15" s="20">
        <v>230.03</v>
      </c>
      <c r="BO15" s="20">
        <v>230.03</v>
      </c>
      <c r="BR15" s="20">
        <v>230.03</v>
      </c>
      <c r="BU15" s="16" t="s">
        <v>218</v>
      </c>
    </row>
    <row r="16">
      <c r="A16" s="16" t="s">
        <v>339</v>
      </c>
      <c r="B16" s="16" t="s">
        <v>65</v>
      </c>
      <c r="C16" s="22">
        <v>45832.0</v>
      </c>
      <c r="D16" s="16" t="s">
        <v>342</v>
      </c>
      <c r="F16" s="16" t="s">
        <v>345</v>
      </c>
      <c r="G16" s="16" t="s">
        <v>347</v>
      </c>
      <c r="H16" s="16">
        <v>1.0</v>
      </c>
      <c r="I16" s="20">
        <v>625.87</v>
      </c>
      <c r="J16" s="20">
        <v>625.87</v>
      </c>
      <c r="BO16" s="20">
        <v>625.87</v>
      </c>
      <c r="BR16" s="20">
        <v>625.87</v>
      </c>
      <c r="BU16" s="16" t="s">
        <v>218</v>
      </c>
    </row>
    <row r="17">
      <c r="A17" s="16" t="s">
        <v>353</v>
      </c>
      <c r="B17" s="16" t="s">
        <v>65</v>
      </c>
      <c r="C17" s="22">
        <v>45832.0</v>
      </c>
      <c r="D17" s="20">
        <v>6.8893939E7</v>
      </c>
      <c r="F17" s="16" t="s">
        <v>287</v>
      </c>
      <c r="G17" s="16" t="s">
        <v>210</v>
      </c>
      <c r="H17" s="16">
        <v>1.0</v>
      </c>
      <c r="I17" s="20">
        <v>107.5</v>
      </c>
      <c r="J17" s="20">
        <v>107.5</v>
      </c>
      <c r="BO17" s="20">
        <v>107.5</v>
      </c>
      <c r="BR17" s="20">
        <v>107.5</v>
      </c>
      <c r="BU17" s="16" t="s">
        <v>218</v>
      </c>
    </row>
    <row r="18">
      <c r="A18" s="16" t="s">
        <v>367</v>
      </c>
      <c r="B18" s="16" t="s">
        <v>65</v>
      </c>
      <c r="C18" s="22">
        <v>45838.0</v>
      </c>
      <c r="F18" s="16" t="s">
        <v>371</v>
      </c>
      <c r="G18" s="16" t="s">
        <v>372</v>
      </c>
      <c r="H18" s="16">
        <v>1.0</v>
      </c>
      <c r="I18" s="20">
        <v>290.0</v>
      </c>
      <c r="J18" s="20">
        <v>290.0</v>
      </c>
      <c r="BO18" s="20">
        <v>290.0</v>
      </c>
      <c r="BR18" s="20">
        <v>290.0</v>
      </c>
      <c r="BU18" s="16" t="s">
        <v>187</v>
      </c>
      <c r="BV18" s="16" t="s">
        <v>377</v>
      </c>
    </row>
    <row r="19">
      <c r="A19" s="16" t="s">
        <v>380</v>
      </c>
      <c r="B19" s="16" t="s">
        <v>65</v>
      </c>
      <c r="C19" s="22">
        <v>45838.0</v>
      </c>
      <c r="F19" s="16" t="s">
        <v>371</v>
      </c>
      <c r="G19" s="16" t="s">
        <v>372</v>
      </c>
      <c r="H19" s="16">
        <v>1.0</v>
      </c>
      <c r="I19" s="20">
        <v>322.0</v>
      </c>
      <c r="J19" s="20">
        <v>322.0</v>
      </c>
      <c r="BO19" s="20">
        <v>322.0</v>
      </c>
      <c r="BR19" s="20">
        <v>322.0</v>
      </c>
      <c r="BU19" s="16" t="s">
        <v>187</v>
      </c>
      <c r="BV19" s="16" t="s">
        <v>394</v>
      </c>
    </row>
    <row r="20">
      <c r="A20" s="16" t="s">
        <v>395</v>
      </c>
      <c r="B20" s="16" t="s">
        <v>65</v>
      </c>
      <c r="C20" s="22">
        <v>45838.0</v>
      </c>
      <c r="D20" s="16" t="s">
        <v>398</v>
      </c>
      <c r="F20" s="16" t="s">
        <v>345</v>
      </c>
      <c r="G20" s="16" t="s">
        <v>401</v>
      </c>
      <c r="H20" s="16">
        <v>1.0</v>
      </c>
      <c r="I20" s="20">
        <v>7000.0</v>
      </c>
      <c r="J20" s="20">
        <v>7000.0</v>
      </c>
      <c r="BO20" s="20">
        <v>7000.0</v>
      </c>
      <c r="BR20" s="20">
        <v>7000.0</v>
      </c>
      <c r="BU20" s="16" t="s">
        <v>187</v>
      </c>
    </row>
    <row r="21">
      <c r="A21" s="16" t="s">
        <v>407</v>
      </c>
      <c r="B21" s="16" t="s">
        <v>65</v>
      </c>
      <c r="C21" s="22">
        <v>45839.0</v>
      </c>
      <c r="D21" s="16" t="s">
        <v>131</v>
      </c>
      <c r="F21" s="16" t="s">
        <v>410</v>
      </c>
      <c r="G21" s="16" t="s">
        <v>224</v>
      </c>
      <c r="H21" s="16">
        <v>1.0</v>
      </c>
      <c r="I21" s="20">
        <v>74.48</v>
      </c>
      <c r="J21" s="20">
        <v>74.48</v>
      </c>
      <c r="BO21" s="20">
        <v>74.48</v>
      </c>
      <c r="BR21" s="20">
        <v>74.48</v>
      </c>
      <c r="BU21" s="16" t="s">
        <v>218</v>
      </c>
    </row>
    <row r="22">
      <c r="A22" s="16" t="s">
        <v>417</v>
      </c>
      <c r="B22" s="16" t="s">
        <v>65</v>
      </c>
      <c r="C22" s="22">
        <v>45839.0</v>
      </c>
      <c r="D22" s="16" t="s">
        <v>131</v>
      </c>
      <c r="F22" s="16" t="s">
        <v>422</v>
      </c>
      <c r="G22" s="16" t="s">
        <v>224</v>
      </c>
      <c r="H22" s="16">
        <v>1.0</v>
      </c>
      <c r="I22" s="20">
        <v>16.0</v>
      </c>
      <c r="J22" s="20">
        <v>16.0</v>
      </c>
      <c r="BO22" s="20">
        <v>16.0</v>
      </c>
      <c r="BR22" s="20">
        <v>16.0</v>
      </c>
      <c r="BU22" s="16" t="s">
        <v>218</v>
      </c>
    </row>
    <row r="23">
      <c r="A23" s="16" t="s">
        <v>432</v>
      </c>
      <c r="B23" s="16" t="s">
        <v>65</v>
      </c>
      <c r="C23" s="22">
        <v>45840.0</v>
      </c>
      <c r="D23" s="16" t="s">
        <v>437</v>
      </c>
      <c r="F23" s="16" t="s">
        <v>440</v>
      </c>
      <c r="G23" s="16" t="s">
        <v>442</v>
      </c>
      <c r="H23" s="16">
        <v>1.0</v>
      </c>
      <c r="I23" s="20">
        <v>183.66</v>
      </c>
      <c r="J23" s="20">
        <v>183.66</v>
      </c>
      <c r="BO23" s="20">
        <v>183.66</v>
      </c>
      <c r="BR23" s="20">
        <v>183.66</v>
      </c>
      <c r="BU23" s="16" t="s">
        <v>187</v>
      </c>
    </row>
    <row r="24">
      <c r="A24" s="16" t="s">
        <v>447</v>
      </c>
      <c r="B24" s="16" t="s">
        <v>65</v>
      </c>
      <c r="C24" s="22">
        <v>45838.0</v>
      </c>
      <c r="D24" s="16" t="s">
        <v>246</v>
      </c>
      <c r="F24" s="16" t="s">
        <v>277</v>
      </c>
      <c r="G24" s="16" t="s">
        <v>278</v>
      </c>
      <c r="H24" s="16">
        <v>1.0</v>
      </c>
      <c r="I24" s="20">
        <v>166.45</v>
      </c>
      <c r="J24" s="20">
        <v>166.45</v>
      </c>
      <c r="BO24" s="20">
        <v>166.45</v>
      </c>
      <c r="BR24" s="20">
        <v>166.45</v>
      </c>
      <c r="BU24" s="16" t="s">
        <v>218</v>
      </c>
    </row>
    <row r="25">
      <c r="A25" s="16" t="s">
        <v>459</v>
      </c>
      <c r="B25" s="16" t="s">
        <v>65</v>
      </c>
      <c r="C25" s="22">
        <v>45815.0</v>
      </c>
      <c r="D25" s="16" t="s">
        <v>465</v>
      </c>
      <c r="F25" s="16" t="s">
        <v>179</v>
      </c>
      <c r="G25" s="16" t="s">
        <v>467</v>
      </c>
      <c r="H25" s="16">
        <v>1.0</v>
      </c>
      <c r="I25" s="20">
        <v>111.0</v>
      </c>
      <c r="J25" s="20">
        <v>111.0</v>
      </c>
      <c r="BO25" s="20">
        <v>111.0</v>
      </c>
      <c r="BR25" s="20">
        <v>111.0</v>
      </c>
      <c r="BU25" s="16" t="s">
        <v>187</v>
      </c>
    </row>
    <row r="26">
      <c r="A26" s="16" t="s">
        <v>473</v>
      </c>
      <c r="B26" s="16" t="s">
        <v>65</v>
      </c>
      <c r="C26" s="22">
        <v>45815.0</v>
      </c>
      <c r="D26" s="16" t="s">
        <v>465</v>
      </c>
      <c r="F26" s="16" t="s">
        <v>179</v>
      </c>
      <c r="G26" s="16" t="s">
        <v>467</v>
      </c>
      <c r="H26" s="16">
        <v>1.0</v>
      </c>
      <c r="I26" s="20">
        <v>78.0</v>
      </c>
      <c r="J26" s="20">
        <v>78.0</v>
      </c>
      <c r="BO26" s="20">
        <v>78.0</v>
      </c>
      <c r="BR26" s="20">
        <v>78.0</v>
      </c>
      <c r="BU26" s="16" t="s">
        <v>187</v>
      </c>
    </row>
    <row r="27">
      <c r="A27" s="16" t="s">
        <v>482</v>
      </c>
      <c r="B27" s="16" t="s">
        <v>65</v>
      </c>
      <c r="C27" s="22">
        <v>45815.0</v>
      </c>
      <c r="D27" s="16" t="s">
        <v>465</v>
      </c>
      <c r="F27" s="16" t="s">
        <v>179</v>
      </c>
      <c r="G27" s="16" t="s">
        <v>467</v>
      </c>
      <c r="H27" s="16">
        <v>1.0</v>
      </c>
      <c r="I27" s="20">
        <v>120.0</v>
      </c>
      <c r="J27" s="20">
        <v>120.0</v>
      </c>
      <c r="BO27" s="20">
        <v>120.0</v>
      </c>
      <c r="BR27" s="20">
        <v>120.0</v>
      </c>
      <c r="BU27" s="16" t="s">
        <v>187</v>
      </c>
    </row>
    <row r="28">
      <c r="A28" s="16" t="s">
        <v>494</v>
      </c>
      <c r="B28" s="16" t="s">
        <v>65</v>
      </c>
      <c r="C28" s="22">
        <v>45816.0</v>
      </c>
      <c r="D28" s="16" t="s">
        <v>177</v>
      </c>
      <c r="F28" s="16" t="s">
        <v>179</v>
      </c>
      <c r="G28" s="16" t="s">
        <v>181</v>
      </c>
      <c r="H28" s="16">
        <v>1.0</v>
      </c>
      <c r="I28" s="20">
        <v>29.0</v>
      </c>
      <c r="J28" s="20">
        <v>29.0</v>
      </c>
      <c r="BO28" s="20">
        <v>29.0</v>
      </c>
      <c r="BR28" s="20">
        <v>29.0</v>
      </c>
      <c r="BU28" s="16" t="s">
        <v>187</v>
      </c>
    </row>
    <row r="29">
      <c r="A29" s="16" t="s">
        <v>503</v>
      </c>
      <c r="B29" s="16" t="s">
        <v>65</v>
      </c>
      <c r="C29" s="22">
        <v>45816.0</v>
      </c>
      <c r="D29" s="16" t="s">
        <v>177</v>
      </c>
      <c r="F29" s="16" t="s">
        <v>179</v>
      </c>
      <c r="G29" s="16" t="s">
        <v>181</v>
      </c>
      <c r="H29" s="16">
        <v>1.0</v>
      </c>
      <c r="I29" s="20">
        <v>19.0</v>
      </c>
      <c r="J29" s="20">
        <v>19.0</v>
      </c>
      <c r="BO29" s="20">
        <v>19.0</v>
      </c>
      <c r="BR29" s="20">
        <v>19.0</v>
      </c>
      <c r="BU29" s="16" t="s">
        <v>187</v>
      </c>
    </row>
    <row r="30">
      <c r="A30" s="16" t="s">
        <v>513</v>
      </c>
      <c r="B30" s="16" t="s">
        <v>65</v>
      </c>
      <c r="C30" s="22">
        <v>45816.0</v>
      </c>
      <c r="D30" s="16" t="s">
        <v>465</v>
      </c>
      <c r="F30" s="16" t="s">
        <v>179</v>
      </c>
      <c r="G30" s="16" t="s">
        <v>467</v>
      </c>
      <c r="H30" s="16">
        <v>1.0</v>
      </c>
      <c r="I30" s="20">
        <v>120.0</v>
      </c>
      <c r="J30" s="20">
        <v>120.0</v>
      </c>
      <c r="BO30" s="20">
        <v>120.0</v>
      </c>
      <c r="BR30" s="20">
        <v>120.0</v>
      </c>
      <c r="BU30" s="16" t="s">
        <v>187</v>
      </c>
    </row>
    <row r="31">
      <c r="A31" s="16" t="s">
        <v>519</v>
      </c>
      <c r="B31" s="16" t="s">
        <v>65</v>
      </c>
      <c r="C31" s="22">
        <v>45816.0</v>
      </c>
      <c r="D31" s="16" t="s">
        <v>465</v>
      </c>
      <c r="F31" s="16" t="s">
        <v>179</v>
      </c>
      <c r="G31" s="16" t="s">
        <v>467</v>
      </c>
      <c r="H31" s="16">
        <v>1.0</v>
      </c>
      <c r="I31" s="20">
        <v>243.0</v>
      </c>
      <c r="J31" s="20">
        <v>243.0</v>
      </c>
      <c r="BO31" s="20">
        <v>243.0</v>
      </c>
      <c r="BR31" s="20">
        <v>243.0</v>
      </c>
      <c r="BU31" s="16" t="s">
        <v>187</v>
      </c>
    </row>
    <row r="32">
      <c r="A32" s="16" t="s">
        <v>525</v>
      </c>
      <c r="B32" s="16" t="s">
        <v>65</v>
      </c>
      <c r="C32" s="22">
        <v>45817.0</v>
      </c>
      <c r="D32" s="16" t="s">
        <v>177</v>
      </c>
      <c r="F32" s="16" t="s">
        <v>179</v>
      </c>
      <c r="G32" s="16" t="s">
        <v>181</v>
      </c>
      <c r="H32" s="16">
        <v>1.0</v>
      </c>
      <c r="I32" s="20">
        <v>38.62</v>
      </c>
      <c r="J32" s="20">
        <v>38.62</v>
      </c>
      <c r="BO32" s="20">
        <v>38.62</v>
      </c>
      <c r="BR32" s="20">
        <v>38.62</v>
      </c>
      <c r="BU32" s="16" t="s">
        <v>187</v>
      </c>
    </row>
    <row r="33">
      <c r="A33" s="16" t="s">
        <v>533</v>
      </c>
      <c r="B33" s="16" t="s">
        <v>65</v>
      </c>
      <c r="C33" s="22">
        <v>45817.0</v>
      </c>
      <c r="D33" s="16" t="s">
        <v>465</v>
      </c>
      <c r="F33" s="16" t="s">
        <v>179</v>
      </c>
      <c r="G33" s="16" t="s">
        <v>467</v>
      </c>
      <c r="H33" s="16">
        <v>1.0</v>
      </c>
      <c r="I33" s="20">
        <v>100.0</v>
      </c>
      <c r="J33" s="20">
        <v>100.0</v>
      </c>
      <c r="BO33" s="20">
        <v>100.0</v>
      </c>
      <c r="BR33" s="20">
        <v>100.0</v>
      </c>
      <c r="BU33" s="16" t="s">
        <v>187</v>
      </c>
    </row>
    <row r="34">
      <c r="A34" s="16" t="s">
        <v>542</v>
      </c>
      <c r="B34" s="16" t="s">
        <v>65</v>
      </c>
      <c r="C34" s="22">
        <v>45819.0</v>
      </c>
      <c r="D34" s="16" t="s">
        <v>465</v>
      </c>
      <c r="F34" s="16" t="s">
        <v>179</v>
      </c>
      <c r="G34" s="16" t="s">
        <v>467</v>
      </c>
      <c r="H34" s="16">
        <v>1.0</v>
      </c>
      <c r="I34" s="20">
        <v>117.78</v>
      </c>
      <c r="J34" s="20">
        <v>117.78</v>
      </c>
      <c r="BO34" s="20">
        <v>117.78</v>
      </c>
      <c r="BR34" s="20">
        <v>117.78</v>
      </c>
      <c r="BU34" s="16" t="s">
        <v>187</v>
      </c>
    </row>
    <row r="35">
      <c r="A35" s="16" t="s">
        <v>550</v>
      </c>
      <c r="B35" s="16" t="s">
        <v>65</v>
      </c>
      <c r="C35" s="22">
        <v>45819.0</v>
      </c>
      <c r="D35" s="16" t="s">
        <v>551</v>
      </c>
      <c r="F35" s="16" t="s">
        <v>179</v>
      </c>
      <c r="G35" s="16" t="s">
        <v>565</v>
      </c>
      <c r="H35" s="16">
        <v>1.0</v>
      </c>
      <c r="I35" s="20">
        <v>79.54</v>
      </c>
      <c r="J35" s="20">
        <v>79.54</v>
      </c>
      <c r="BO35" s="20">
        <v>79.54</v>
      </c>
      <c r="BR35" s="20">
        <v>79.54</v>
      </c>
      <c r="BU35" s="16" t="s">
        <v>187</v>
      </c>
    </row>
    <row r="36">
      <c r="A36" s="16" t="s">
        <v>572</v>
      </c>
      <c r="B36" s="16" t="s">
        <v>65</v>
      </c>
      <c r="C36" s="22">
        <v>45820.0</v>
      </c>
      <c r="D36" s="16" t="s">
        <v>551</v>
      </c>
      <c r="F36" s="16" t="s">
        <v>179</v>
      </c>
      <c r="G36" s="16" t="s">
        <v>565</v>
      </c>
      <c r="H36" s="16">
        <v>1.0</v>
      </c>
      <c r="I36" s="20">
        <v>50.07</v>
      </c>
      <c r="J36" s="20">
        <v>50.07</v>
      </c>
      <c r="BO36" s="20">
        <v>50.07</v>
      </c>
      <c r="BR36" s="20">
        <v>50.07</v>
      </c>
      <c r="BU36" s="16" t="s">
        <v>187</v>
      </c>
    </row>
    <row r="37">
      <c r="A37" s="16" t="s">
        <v>581</v>
      </c>
      <c r="B37" s="16" t="s">
        <v>65</v>
      </c>
      <c r="C37" s="22">
        <v>45822.0</v>
      </c>
      <c r="D37" s="16" t="s">
        <v>465</v>
      </c>
      <c r="F37" s="16" t="s">
        <v>179</v>
      </c>
      <c r="G37" s="16" t="s">
        <v>467</v>
      </c>
      <c r="H37" s="16">
        <v>1.0</v>
      </c>
      <c r="I37" s="20">
        <v>45.5</v>
      </c>
      <c r="J37" s="20">
        <v>45.5</v>
      </c>
      <c r="BO37" s="20">
        <v>45.5</v>
      </c>
      <c r="BR37" s="20">
        <v>45.5</v>
      </c>
      <c r="BU37" s="16" t="s">
        <v>187</v>
      </c>
    </row>
    <row r="38">
      <c r="A38" s="16" t="s">
        <v>594</v>
      </c>
      <c r="B38" s="16" t="s">
        <v>65</v>
      </c>
      <c r="C38" s="22">
        <v>45823.0</v>
      </c>
      <c r="D38" s="16" t="s">
        <v>177</v>
      </c>
      <c r="F38" s="16" t="s">
        <v>179</v>
      </c>
      <c r="G38" s="16" t="s">
        <v>181</v>
      </c>
      <c r="H38" s="16">
        <v>1.0</v>
      </c>
      <c r="I38" s="20">
        <v>108.06</v>
      </c>
      <c r="J38" s="20">
        <v>108.06</v>
      </c>
      <c r="BO38" s="20">
        <v>108.06</v>
      </c>
      <c r="BR38" s="20">
        <v>108.06</v>
      </c>
      <c r="BU38" s="16" t="s">
        <v>187</v>
      </c>
    </row>
    <row r="39">
      <c r="A39" s="16" t="s">
        <v>605</v>
      </c>
      <c r="B39" s="16" t="s">
        <v>65</v>
      </c>
      <c r="C39" s="22">
        <v>45823.0</v>
      </c>
      <c r="D39" s="16" t="s">
        <v>465</v>
      </c>
      <c r="F39" s="16" t="s">
        <v>179</v>
      </c>
      <c r="G39" s="16" t="s">
        <v>467</v>
      </c>
      <c r="H39" s="16">
        <v>1.0</v>
      </c>
      <c r="I39" s="20">
        <v>110.0</v>
      </c>
      <c r="J39" s="20">
        <v>110.0</v>
      </c>
      <c r="BO39" s="20">
        <v>110.0</v>
      </c>
      <c r="BR39" s="20">
        <v>110.0</v>
      </c>
      <c r="BU39" s="16" t="s">
        <v>187</v>
      </c>
    </row>
    <row r="40">
      <c r="A40" s="16" t="s">
        <v>614</v>
      </c>
      <c r="B40" s="16" t="s">
        <v>65</v>
      </c>
      <c r="C40" s="22">
        <v>45823.0</v>
      </c>
      <c r="D40" s="16" t="s">
        <v>616</v>
      </c>
      <c r="F40" s="16" t="s">
        <v>179</v>
      </c>
      <c r="G40" s="16" t="s">
        <v>619</v>
      </c>
      <c r="H40" s="16">
        <v>1.0</v>
      </c>
      <c r="I40" s="20">
        <v>204.0</v>
      </c>
      <c r="J40" s="20">
        <v>204.0</v>
      </c>
      <c r="BO40" s="20">
        <v>204.0</v>
      </c>
      <c r="BR40" s="20">
        <v>204.0</v>
      </c>
      <c r="BU40" s="16" t="s">
        <v>187</v>
      </c>
    </row>
    <row r="41">
      <c r="A41" s="16" t="s">
        <v>627</v>
      </c>
      <c r="B41" s="16" t="s">
        <v>65</v>
      </c>
      <c r="C41" s="22">
        <v>45824.0</v>
      </c>
      <c r="D41" s="16" t="s">
        <v>465</v>
      </c>
      <c r="F41" s="16" t="s">
        <v>179</v>
      </c>
      <c r="G41" s="16" t="s">
        <v>467</v>
      </c>
      <c r="H41" s="16">
        <v>1.0</v>
      </c>
      <c r="I41" s="20">
        <v>70.2</v>
      </c>
      <c r="J41" s="20">
        <v>70.2</v>
      </c>
      <c r="BO41" s="20">
        <v>70.2</v>
      </c>
      <c r="BR41" s="20">
        <v>70.2</v>
      </c>
      <c r="BU41" s="16" t="s">
        <v>187</v>
      </c>
    </row>
    <row r="42">
      <c r="A42" s="16" t="s">
        <v>638</v>
      </c>
      <c r="B42" s="16" t="s">
        <v>65</v>
      </c>
      <c r="C42" s="22">
        <v>45825.0</v>
      </c>
      <c r="D42" s="16" t="s">
        <v>616</v>
      </c>
      <c r="F42" s="16" t="s">
        <v>179</v>
      </c>
      <c r="G42" s="16" t="s">
        <v>565</v>
      </c>
      <c r="H42" s="16">
        <v>1.0</v>
      </c>
      <c r="I42" s="20">
        <v>500.0</v>
      </c>
      <c r="J42" s="20">
        <v>500.0</v>
      </c>
      <c r="BO42" s="20">
        <v>500.0</v>
      </c>
      <c r="BR42" s="20">
        <v>500.0</v>
      </c>
      <c r="BU42" s="16" t="s">
        <v>187</v>
      </c>
    </row>
    <row r="43">
      <c r="A43" s="16" t="s">
        <v>648</v>
      </c>
      <c r="B43" s="16" t="s">
        <v>65</v>
      </c>
      <c r="C43" s="22">
        <v>45825.0</v>
      </c>
      <c r="D43" s="16" t="s">
        <v>551</v>
      </c>
      <c r="F43" s="16" t="s">
        <v>179</v>
      </c>
      <c r="G43" s="16" t="s">
        <v>565</v>
      </c>
      <c r="H43" s="16">
        <v>1.0</v>
      </c>
      <c r="I43" s="20">
        <v>89.82</v>
      </c>
      <c r="J43" s="20">
        <v>89.82</v>
      </c>
      <c r="BO43" s="20">
        <v>89.82</v>
      </c>
      <c r="BR43" s="20">
        <v>89.82</v>
      </c>
      <c r="BU43" s="16" t="s">
        <v>187</v>
      </c>
    </row>
    <row r="44">
      <c r="A44" s="16" t="s">
        <v>662</v>
      </c>
      <c r="B44" s="16" t="s">
        <v>65</v>
      </c>
      <c r="C44" s="22">
        <v>45826.0</v>
      </c>
      <c r="D44" s="16" t="s">
        <v>465</v>
      </c>
      <c r="F44" s="16" t="s">
        <v>179</v>
      </c>
      <c r="G44" s="16" t="s">
        <v>467</v>
      </c>
      <c r="H44" s="16">
        <v>1.0</v>
      </c>
      <c r="I44" s="20">
        <v>240.0</v>
      </c>
      <c r="J44" s="20">
        <v>240.0</v>
      </c>
      <c r="BO44" s="20">
        <v>240.0</v>
      </c>
      <c r="BR44" s="20">
        <v>240.0</v>
      </c>
      <c r="BU44" s="16" t="s">
        <v>187</v>
      </c>
    </row>
    <row r="45">
      <c r="A45" s="16" t="s">
        <v>675</v>
      </c>
      <c r="B45" s="16" t="s">
        <v>65</v>
      </c>
      <c r="C45" s="22">
        <v>45826.0</v>
      </c>
      <c r="D45" s="16" t="s">
        <v>677</v>
      </c>
      <c r="F45" s="16" t="s">
        <v>179</v>
      </c>
      <c r="G45" s="16" t="s">
        <v>679</v>
      </c>
      <c r="H45" s="16">
        <v>1.0</v>
      </c>
      <c r="I45" s="20">
        <v>132.6</v>
      </c>
      <c r="J45" s="20">
        <v>132.6</v>
      </c>
      <c r="BO45" s="20">
        <v>132.6</v>
      </c>
      <c r="BR45" s="20">
        <v>132.6</v>
      </c>
      <c r="BU45" s="16" t="s">
        <v>187</v>
      </c>
    </row>
    <row r="46">
      <c r="A46" s="16" t="s">
        <v>685</v>
      </c>
      <c r="B46" s="16" t="s">
        <v>65</v>
      </c>
      <c r="C46" s="22">
        <v>45826.0</v>
      </c>
      <c r="D46" s="16" t="s">
        <v>616</v>
      </c>
      <c r="F46" s="16" t="s">
        <v>179</v>
      </c>
      <c r="G46" s="16" t="s">
        <v>687</v>
      </c>
      <c r="H46" s="16">
        <v>1.0</v>
      </c>
      <c r="I46" s="20">
        <v>64.71</v>
      </c>
      <c r="J46" s="20">
        <v>64.71</v>
      </c>
      <c r="BO46" s="20">
        <v>64.71</v>
      </c>
      <c r="BR46" s="20">
        <v>64.71</v>
      </c>
      <c r="BU46" s="16" t="s">
        <v>187</v>
      </c>
    </row>
    <row r="47">
      <c r="A47" s="16" t="s">
        <v>694</v>
      </c>
      <c r="B47" s="16" t="s">
        <v>65</v>
      </c>
      <c r="C47" s="22">
        <v>45826.0</v>
      </c>
      <c r="D47" s="16" t="s">
        <v>177</v>
      </c>
      <c r="F47" s="16" t="s">
        <v>179</v>
      </c>
      <c r="G47" s="16" t="s">
        <v>181</v>
      </c>
      <c r="H47" s="16">
        <v>1.0</v>
      </c>
      <c r="I47" s="20">
        <v>263.77</v>
      </c>
      <c r="J47" s="20">
        <v>263.77</v>
      </c>
      <c r="BO47" s="20">
        <v>263.77</v>
      </c>
      <c r="BR47" s="20">
        <v>263.77</v>
      </c>
      <c r="BU47" s="16" t="s">
        <v>187</v>
      </c>
    </row>
    <row r="48">
      <c r="A48" s="16" t="s">
        <v>699</v>
      </c>
      <c r="B48" s="16" t="s">
        <v>65</v>
      </c>
      <c r="C48" s="22">
        <v>45827.0</v>
      </c>
      <c r="D48" s="16" t="s">
        <v>616</v>
      </c>
      <c r="F48" s="16" t="s">
        <v>179</v>
      </c>
      <c r="G48" s="16" t="s">
        <v>619</v>
      </c>
      <c r="H48" s="16">
        <v>1.0</v>
      </c>
      <c r="I48" s="20">
        <v>181.26</v>
      </c>
      <c r="J48" s="20">
        <v>181.26</v>
      </c>
      <c r="BO48" s="20">
        <v>181.26</v>
      </c>
      <c r="BR48" s="20">
        <v>181.26</v>
      </c>
      <c r="BU48" s="16" t="s">
        <v>187</v>
      </c>
    </row>
    <row r="49">
      <c r="A49" s="16" t="s">
        <v>705</v>
      </c>
      <c r="B49" s="16" t="s">
        <v>65</v>
      </c>
      <c r="C49" s="22">
        <v>45828.0</v>
      </c>
      <c r="D49" s="16" t="s">
        <v>465</v>
      </c>
      <c r="F49" s="16" t="s">
        <v>179</v>
      </c>
      <c r="G49" s="16" t="s">
        <v>467</v>
      </c>
      <c r="H49" s="16">
        <v>1.0</v>
      </c>
      <c r="I49" s="20">
        <v>65.0</v>
      </c>
      <c r="J49" s="20">
        <v>65.0</v>
      </c>
      <c r="BO49" s="20">
        <v>65.0</v>
      </c>
      <c r="BR49" s="20">
        <v>65.0</v>
      </c>
      <c r="BU49" s="16" t="s">
        <v>187</v>
      </c>
    </row>
    <row r="50">
      <c r="A50" s="16" t="s">
        <v>711</v>
      </c>
      <c r="B50" s="16" t="s">
        <v>65</v>
      </c>
      <c r="C50" s="22">
        <v>45845.0</v>
      </c>
      <c r="F50" s="16" t="s">
        <v>345</v>
      </c>
      <c r="G50" s="16" t="s">
        <v>372</v>
      </c>
      <c r="H50" s="16">
        <v>1.0</v>
      </c>
      <c r="I50" s="20">
        <v>2443.37</v>
      </c>
      <c r="J50" s="20">
        <v>2443.37</v>
      </c>
      <c r="BO50" s="20">
        <v>2443.37</v>
      </c>
      <c r="BR50" s="20">
        <v>2443.37</v>
      </c>
      <c r="BU50" s="16" t="s">
        <v>187</v>
      </c>
      <c r="BV50" s="16" t="s">
        <v>132</v>
      </c>
    </row>
    <row r="51">
      <c r="A51" s="16" t="s">
        <v>721</v>
      </c>
      <c r="B51" s="16" t="s">
        <v>65</v>
      </c>
      <c r="C51" s="22">
        <v>45845.0</v>
      </c>
      <c r="F51" s="16" t="s">
        <v>345</v>
      </c>
      <c r="G51" s="16" t="s">
        <v>372</v>
      </c>
      <c r="H51" s="16">
        <v>1.0</v>
      </c>
      <c r="I51" s="20">
        <v>1930.99</v>
      </c>
      <c r="J51" s="20">
        <v>1930.99</v>
      </c>
      <c r="BO51" s="20">
        <v>1930.99</v>
      </c>
      <c r="BR51" s="20">
        <v>1930.99</v>
      </c>
      <c r="BU51" s="16" t="s">
        <v>187</v>
      </c>
      <c r="BV51" s="16" t="s">
        <v>348</v>
      </c>
    </row>
    <row r="52">
      <c r="A52" s="16" t="s">
        <v>729</v>
      </c>
      <c r="B52" s="16" t="s">
        <v>65</v>
      </c>
      <c r="C52" s="22">
        <v>45845.0</v>
      </c>
      <c r="F52" s="16" t="s">
        <v>345</v>
      </c>
      <c r="G52" s="16" t="s">
        <v>372</v>
      </c>
      <c r="H52" s="16">
        <v>1.0</v>
      </c>
      <c r="I52" s="20">
        <v>2054.81</v>
      </c>
      <c r="J52" s="20">
        <v>2054.81</v>
      </c>
      <c r="BO52" s="20">
        <v>2054.81</v>
      </c>
      <c r="BR52" s="20">
        <v>2054.81</v>
      </c>
      <c r="BU52" s="16" t="s">
        <v>187</v>
      </c>
      <c r="BV52" s="20">
        <v>5.7411272E7</v>
      </c>
    </row>
    <row r="53">
      <c r="A53" s="16" t="s">
        <v>736</v>
      </c>
      <c r="B53" s="16" t="s">
        <v>65</v>
      </c>
      <c r="C53" s="22">
        <v>45833.0</v>
      </c>
      <c r="D53" s="16" t="s">
        <v>737</v>
      </c>
      <c r="F53" s="16" t="s">
        <v>739</v>
      </c>
      <c r="G53" s="16" t="s">
        <v>740</v>
      </c>
      <c r="H53" s="16">
        <v>1.0</v>
      </c>
      <c r="I53" s="20">
        <v>331.24</v>
      </c>
      <c r="J53" s="20">
        <v>331.24</v>
      </c>
      <c r="BO53" s="20">
        <v>331.24</v>
      </c>
      <c r="BR53" s="20">
        <v>331.24</v>
      </c>
      <c r="BU53" s="16" t="s">
        <v>187</v>
      </c>
    </row>
    <row r="54">
      <c r="A54" s="16">
        <v>1.64924544E8</v>
      </c>
      <c r="B54" s="16" t="s">
        <v>65</v>
      </c>
      <c r="C54" s="22">
        <v>45843.0</v>
      </c>
      <c r="F54" s="16" t="s">
        <v>179</v>
      </c>
      <c r="G54" s="16" t="s">
        <v>372</v>
      </c>
      <c r="H54" s="16">
        <v>1.0</v>
      </c>
      <c r="I54" s="20">
        <v>1682.87</v>
      </c>
      <c r="J54" s="20">
        <v>1682.87</v>
      </c>
      <c r="BO54" s="20">
        <v>1682.87</v>
      </c>
      <c r="BR54" s="20">
        <v>1682.87</v>
      </c>
      <c r="BU54" s="16" t="s">
        <v>187</v>
      </c>
      <c r="BV54" s="16" t="s">
        <v>754</v>
      </c>
    </row>
    <row r="55">
      <c r="A55" s="16" t="s">
        <v>757</v>
      </c>
      <c r="B55" s="16" t="s">
        <v>65</v>
      </c>
      <c r="C55" s="22">
        <v>45828.0</v>
      </c>
      <c r="D55" s="16" t="s">
        <v>465</v>
      </c>
      <c r="F55" s="16" t="s">
        <v>179</v>
      </c>
      <c r="G55" s="16" t="s">
        <v>467</v>
      </c>
      <c r="H55" s="16">
        <v>1.0</v>
      </c>
      <c r="I55" s="20">
        <v>70.0</v>
      </c>
      <c r="J55" s="20">
        <v>70.0</v>
      </c>
      <c r="BO55" s="20">
        <v>70.0</v>
      </c>
      <c r="BR55" s="20">
        <v>70.0</v>
      </c>
      <c r="BU55" s="16" t="s">
        <v>187</v>
      </c>
    </row>
    <row r="56">
      <c r="A56" s="16" t="s">
        <v>765</v>
      </c>
      <c r="B56" s="16" t="s">
        <v>65</v>
      </c>
      <c r="C56" s="22">
        <v>45828.0</v>
      </c>
      <c r="D56" s="16" t="s">
        <v>177</v>
      </c>
      <c r="F56" s="16" t="s">
        <v>179</v>
      </c>
      <c r="G56" s="16" t="s">
        <v>181</v>
      </c>
      <c r="H56" s="16">
        <v>1.0</v>
      </c>
      <c r="I56" s="20">
        <v>75.48</v>
      </c>
      <c r="J56" s="20">
        <v>75.48</v>
      </c>
      <c r="BO56" s="20">
        <v>75.48</v>
      </c>
      <c r="BR56" s="20">
        <v>75.48</v>
      </c>
      <c r="BU56" s="16" t="s">
        <v>187</v>
      </c>
    </row>
    <row r="57">
      <c r="A57" s="16" t="s">
        <v>769</v>
      </c>
      <c r="B57" s="16" t="s">
        <v>65</v>
      </c>
      <c r="C57" s="22">
        <v>45828.0</v>
      </c>
      <c r="D57" s="16" t="s">
        <v>616</v>
      </c>
      <c r="F57" s="16" t="s">
        <v>179</v>
      </c>
      <c r="G57" s="16" t="s">
        <v>772</v>
      </c>
      <c r="H57" s="16">
        <v>1.0</v>
      </c>
      <c r="I57" s="20">
        <v>149.9</v>
      </c>
      <c r="J57" s="20">
        <v>149.9</v>
      </c>
      <c r="BO57" s="20">
        <v>149.9</v>
      </c>
      <c r="BR57" s="20">
        <v>149.9</v>
      </c>
      <c r="BU57" s="16" t="s">
        <v>187</v>
      </c>
    </row>
    <row r="58">
      <c r="A58" s="16" t="s">
        <v>778</v>
      </c>
      <c r="B58" s="16" t="s">
        <v>65</v>
      </c>
      <c r="C58" s="22">
        <v>45828.0</v>
      </c>
      <c r="D58" s="16" t="s">
        <v>616</v>
      </c>
      <c r="F58" s="16" t="s">
        <v>179</v>
      </c>
      <c r="G58" s="20">
        <v>1.2539885E7</v>
      </c>
      <c r="H58" s="16">
        <v>1.0</v>
      </c>
      <c r="I58" s="20">
        <v>390.0</v>
      </c>
      <c r="J58" s="20">
        <v>390.0</v>
      </c>
      <c r="BO58" s="20">
        <v>390.0</v>
      </c>
      <c r="BR58" s="20">
        <v>390.0</v>
      </c>
      <c r="BU58" s="16" t="s">
        <v>187</v>
      </c>
    </row>
    <row r="59">
      <c r="A59" s="16" t="s">
        <v>789</v>
      </c>
      <c r="B59" s="16" t="s">
        <v>65</v>
      </c>
      <c r="C59" s="22">
        <v>45829.0</v>
      </c>
      <c r="D59" s="16" t="s">
        <v>616</v>
      </c>
      <c r="F59" s="16" t="s">
        <v>179</v>
      </c>
      <c r="G59" s="16" t="s">
        <v>793</v>
      </c>
      <c r="H59" s="16">
        <v>1.0</v>
      </c>
      <c r="I59" s="20">
        <v>71.59</v>
      </c>
      <c r="J59" s="20">
        <v>71.59</v>
      </c>
      <c r="BO59" s="20">
        <v>71.59</v>
      </c>
      <c r="BR59" s="20">
        <v>71.59</v>
      </c>
      <c r="BU59" s="16" t="s">
        <v>187</v>
      </c>
    </row>
    <row r="60">
      <c r="A60" s="16" t="s">
        <v>801</v>
      </c>
      <c r="B60" s="16" t="s">
        <v>65</v>
      </c>
      <c r="C60" s="22">
        <v>45829.0</v>
      </c>
      <c r="D60" s="16" t="s">
        <v>616</v>
      </c>
      <c r="F60" s="16" t="s">
        <v>179</v>
      </c>
      <c r="G60" s="16" t="s">
        <v>565</v>
      </c>
      <c r="H60" s="16">
        <v>1.0</v>
      </c>
      <c r="I60" s="20">
        <v>91.3</v>
      </c>
      <c r="J60" s="20">
        <v>91.3</v>
      </c>
      <c r="BO60" s="20">
        <v>91.3</v>
      </c>
      <c r="BR60" s="20">
        <v>91.3</v>
      </c>
      <c r="BU60" s="16" t="s">
        <v>187</v>
      </c>
    </row>
    <row r="61">
      <c r="A61" s="16" t="s">
        <v>813</v>
      </c>
      <c r="B61" s="16" t="s">
        <v>65</v>
      </c>
      <c r="C61" s="22">
        <v>45830.0</v>
      </c>
      <c r="D61" s="16" t="s">
        <v>465</v>
      </c>
      <c r="F61" s="16" t="s">
        <v>179</v>
      </c>
      <c r="G61" s="16" t="s">
        <v>467</v>
      </c>
      <c r="H61" s="16">
        <v>1.0</v>
      </c>
      <c r="I61" s="20">
        <v>145.99</v>
      </c>
      <c r="J61" s="20">
        <v>145.99</v>
      </c>
      <c r="BO61" s="20">
        <v>145.99</v>
      </c>
      <c r="BR61" s="20">
        <v>145.99</v>
      </c>
      <c r="BU61" s="16" t="s">
        <v>187</v>
      </c>
    </row>
    <row r="62">
      <c r="A62" s="16" t="s">
        <v>827</v>
      </c>
      <c r="B62" s="16" t="s">
        <v>65</v>
      </c>
      <c r="C62" s="22">
        <v>45830.0</v>
      </c>
      <c r="D62" s="16" t="s">
        <v>465</v>
      </c>
      <c r="F62" s="16" t="s">
        <v>179</v>
      </c>
      <c r="G62" s="16" t="s">
        <v>467</v>
      </c>
      <c r="H62" s="16">
        <v>1.0</v>
      </c>
      <c r="I62" s="20">
        <v>240.0</v>
      </c>
      <c r="J62" s="20">
        <v>240.0</v>
      </c>
      <c r="BO62" s="20">
        <v>240.0</v>
      </c>
      <c r="BR62" s="20">
        <v>240.0</v>
      </c>
      <c r="BU62" s="16" t="s">
        <v>187</v>
      </c>
    </row>
    <row r="63">
      <c r="A63" s="16" t="s">
        <v>837</v>
      </c>
      <c r="B63" s="16" t="s">
        <v>65</v>
      </c>
      <c r="C63" s="22">
        <v>45830.0</v>
      </c>
      <c r="D63" s="16" t="s">
        <v>177</v>
      </c>
      <c r="F63" s="16" t="s">
        <v>179</v>
      </c>
      <c r="G63" s="16" t="s">
        <v>181</v>
      </c>
      <c r="H63" s="16">
        <v>1.0</v>
      </c>
      <c r="I63" s="20">
        <v>58.5</v>
      </c>
      <c r="J63" s="20">
        <v>58.5</v>
      </c>
      <c r="BO63" s="20">
        <v>58.5</v>
      </c>
      <c r="BR63" s="20">
        <v>58.5</v>
      </c>
      <c r="BU63" s="16" t="s">
        <v>187</v>
      </c>
    </row>
    <row r="64">
      <c r="A64" s="16" t="s">
        <v>848</v>
      </c>
      <c r="B64" s="16" t="s">
        <v>65</v>
      </c>
      <c r="C64" s="22">
        <v>45830.0</v>
      </c>
      <c r="D64" s="16" t="s">
        <v>177</v>
      </c>
      <c r="F64" s="16" t="s">
        <v>179</v>
      </c>
      <c r="G64" s="16" t="s">
        <v>181</v>
      </c>
      <c r="H64" s="16">
        <v>1.0</v>
      </c>
      <c r="I64" s="20">
        <v>80.0</v>
      </c>
      <c r="J64" s="20">
        <v>80.0</v>
      </c>
      <c r="BO64" s="20">
        <v>80.0</v>
      </c>
      <c r="BR64" s="20">
        <v>80.0</v>
      </c>
      <c r="BU64" s="16" t="s">
        <v>187</v>
      </c>
    </row>
    <row r="65">
      <c r="A65" s="16" t="s">
        <v>861</v>
      </c>
      <c r="B65" s="16" t="s">
        <v>65</v>
      </c>
      <c r="C65" s="22">
        <v>45831.0</v>
      </c>
      <c r="D65" s="16" t="s">
        <v>551</v>
      </c>
      <c r="F65" s="16" t="s">
        <v>179</v>
      </c>
      <c r="G65" s="16" t="s">
        <v>565</v>
      </c>
      <c r="H65" s="16">
        <v>1.0</v>
      </c>
      <c r="I65" s="20">
        <v>42.74</v>
      </c>
      <c r="J65" s="20">
        <v>42.74</v>
      </c>
      <c r="BO65" s="20">
        <v>42.74</v>
      </c>
      <c r="BR65" s="20">
        <v>42.74</v>
      </c>
      <c r="BU65" s="16" t="s">
        <v>187</v>
      </c>
    </row>
    <row r="66">
      <c r="A66" s="16" t="s">
        <v>871</v>
      </c>
      <c r="B66" s="16" t="s">
        <v>65</v>
      </c>
      <c r="C66" s="22">
        <v>45831.0</v>
      </c>
      <c r="D66" s="16" t="s">
        <v>616</v>
      </c>
      <c r="F66" s="16" t="s">
        <v>179</v>
      </c>
      <c r="G66" s="16" t="s">
        <v>875</v>
      </c>
      <c r="H66" s="16">
        <v>1.0</v>
      </c>
      <c r="I66" s="20">
        <v>750.0</v>
      </c>
      <c r="J66" s="20">
        <v>750.0</v>
      </c>
      <c r="BO66" s="20">
        <v>750.0</v>
      </c>
      <c r="BR66" s="20">
        <v>750.0</v>
      </c>
      <c r="BU66" s="16" t="s">
        <v>187</v>
      </c>
    </row>
    <row r="67">
      <c r="A67" s="16" t="s">
        <v>882</v>
      </c>
      <c r="B67" s="16" t="s">
        <v>65</v>
      </c>
      <c r="C67" s="22">
        <v>45831.0</v>
      </c>
      <c r="D67" s="16" t="s">
        <v>616</v>
      </c>
      <c r="F67" s="16" t="s">
        <v>179</v>
      </c>
      <c r="G67" s="16" t="s">
        <v>888</v>
      </c>
      <c r="H67" s="16">
        <v>1.0</v>
      </c>
      <c r="I67" s="20">
        <v>289.0</v>
      </c>
      <c r="J67" s="20">
        <v>289.0</v>
      </c>
      <c r="BO67" s="20">
        <v>289.0</v>
      </c>
      <c r="BR67" s="20">
        <v>289.0</v>
      </c>
      <c r="BU67" s="16" t="s">
        <v>187</v>
      </c>
    </row>
    <row r="68">
      <c r="A68" s="16" t="s">
        <v>893</v>
      </c>
      <c r="B68" s="16" t="s">
        <v>65</v>
      </c>
      <c r="C68" s="22">
        <v>45831.0</v>
      </c>
      <c r="D68" s="16" t="s">
        <v>616</v>
      </c>
      <c r="F68" s="16" t="s">
        <v>179</v>
      </c>
      <c r="G68" s="16" t="s">
        <v>897</v>
      </c>
      <c r="H68" s="16">
        <v>1.0</v>
      </c>
      <c r="I68" s="20">
        <v>30.0</v>
      </c>
      <c r="J68" s="20">
        <v>30.0</v>
      </c>
      <c r="BO68" s="20">
        <v>30.0</v>
      </c>
      <c r="BR68" s="20">
        <v>30.0</v>
      </c>
      <c r="BU68" s="16" t="s">
        <v>187</v>
      </c>
    </row>
    <row r="69">
      <c r="A69" s="16" t="s">
        <v>900</v>
      </c>
      <c r="B69" s="16" t="s">
        <v>65</v>
      </c>
      <c r="C69" s="22">
        <v>45831.0</v>
      </c>
      <c r="D69" s="16" t="s">
        <v>616</v>
      </c>
      <c r="F69" s="16" t="s">
        <v>179</v>
      </c>
      <c r="G69" s="16" t="s">
        <v>619</v>
      </c>
      <c r="H69" s="16">
        <v>1.0</v>
      </c>
      <c r="I69" s="20">
        <v>398.23</v>
      </c>
      <c r="J69" s="20">
        <v>398.23</v>
      </c>
      <c r="BO69" s="20">
        <v>398.23</v>
      </c>
      <c r="BR69" s="20">
        <v>398.23</v>
      </c>
      <c r="BU69" s="16" t="s">
        <v>187</v>
      </c>
    </row>
    <row r="70">
      <c r="A70" s="16" t="s">
        <v>913</v>
      </c>
      <c r="B70" s="16" t="s">
        <v>65</v>
      </c>
      <c r="C70" s="22">
        <v>45831.0</v>
      </c>
      <c r="D70" s="16" t="s">
        <v>616</v>
      </c>
      <c r="F70" s="16" t="s">
        <v>179</v>
      </c>
      <c r="G70" s="16" t="s">
        <v>888</v>
      </c>
      <c r="H70" s="16">
        <v>1.0</v>
      </c>
      <c r="I70" s="20">
        <v>150.0</v>
      </c>
      <c r="J70" s="20">
        <v>150.0</v>
      </c>
      <c r="BO70" s="20">
        <v>150.0</v>
      </c>
      <c r="BR70" s="20">
        <v>150.0</v>
      </c>
      <c r="BU70" s="16" t="s">
        <v>187</v>
      </c>
    </row>
    <row r="71">
      <c r="A71" s="16" t="s">
        <v>921</v>
      </c>
      <c r="B71" s="16" t="s">
        <v>65</v>
      </c>
      <c r="C71" s="22">
        <v>45831.0</v>
      </c>
      <c r="D71" s="16" t="s">
        <v>926</v>
      </c>
      <c r="F71" s="16" t="s">
        <v>179</v>
      </c>
      <c r="G71" s="16" t="s">
        <v>928</v>
      </c>
      <c r="H71" s="16">
        <v>1.0</v>
      </c>
      <c r="I71" s="20">
        <v>100.0</v>
      </c>
      <c r="J71" s="20">
        <v>100.0</v>
      </c>
      <c r="BO71" s="20">
        <v>100.0</v>
      </c>
      <c r="BR71" s="20">
        <v>100.0</v>
      </c>
      <c r="BU71" s="16" t="s">
        <v>187</v>
      </c>
    </row>
    <row r="72">
      <c r="A72" s="16">
        <v>1.98068286E8</v>
      </c>
      <c r="B72" s="16" t="s">
        <v>65</v>
      </c>
      <c r="C72" s="22">
        <v>45832.0</v>
      </c>
      <c r="D72" s="16" t="s">
        <v>215</v>
      </c>
      <c r="F72" s="16" t="s">
        <v>179</v>
      </c>
      <c r="G72" s="16" t="s">
        <v>888</v>
      </c>
      <c r="H72" s="16">
        <v>1.0</v>
      </c>
      <c r="I72" s="20">
        <v>300.0</v>
      </c>
      <c r="J72" s="20">
        <v>300.0</v>
      </c>
      <c r="BO72" s="20">
        <v>300.0</v>
      </c>
      <c r="BR72" s="20">
        <v>300.0</v>
      </c>
      <c r="BU72" s="16" t="s">
        <v>187</v>
      </c>
    </row>
    <row r="73">
      <c r="A73" s="16" t="s">
        <v>946</v>
      </c>
      <c r="B73" s="16" t="s">
        <v>65</v>
      </c>
      <c r="C73" s="22">
        <v>45832.0</v>
      </c>
      <c r="D73" s="16" t="s">
        <v>616</v>
      </c>
      <c r="F73" s="16" t="s">
        <v>179</v>
      </c>
      <c r="G73" s="16" t="s">
        <v>565</v>
      </c>
      <c r="H73" s="16">
        <v>1.0</v>
      </c>
      <c r="I73" s="20">
        <v>15.0</v>
      </c>
      <c r="J73" s="20">
        <v>15.0</v>
      </c>
      <c r="BO73" s="20">
        <v>15.0</v>
      </c>
      <c r="BR73" s="20">
        <v>15.0</v>
      </c>
      <c r="BU73" s="16" t="s">
        <v>187</v>
      </c>
    </row>
    <row r="74">
      <c r="A74" s="16" t="s">
        <v>956</v>
      </c>
      <c r="B74" s="16" t="s">
        <v>65</v>
      </c>
      <c r="C74" s="22">
        <v>45833.0</v>
      </c>
      <c r="D74" s="16" t="s">
        <v>616</v>
      </c>
      <c r="F74" s="16" t="s">
        <v>179</v>
      </c>
      <c r="G74" s="20">
        <v>4.5413807E7</v>
      </c>
      <c r="H74" s="16">
        <v>1.0</v>
      </c>
      <c r="I74" s="20">
        <v>39.98</v>
      </c>
      <c r="J74" s="20">
        <v>39.98</v>
      </c>
      <c r="BO74" s="20">
        <v>39.98</v>
      </c>
      <c r="BR74" s="20">
        <v>39.98</v>
      </c>
      <c r="BU74" s="16" t="s">
        <v>187</v>
      </c>
    </row>
    <row r="75">
      <c r="A75" s="16" t="s">
        <v>967</v>
      </c>
      <c r="B75" s="16" t="s">
        <v>65</v>
      </c>
      <c r="C75" s="22">
        <v>45834.0</v>
      </c>
      <c r="D75" s="16" t="s">
        <v>616</v>
      </c>
      <c r="F75" s="16" t="s">
        <v>179</v>
      </c>
      <c r="G75" s="16" t="s">
        <v>972</v>
      </c>
      <c r="H75" s="16">
        <v>1.0</v>
      </c>
      <c r="I75" s="20">
        <v>57.12</v>
      </c>
      <c r="J75" s="20">
        <v>57.12</v>
      </c>
      <c r="BO75" s="20">
        <v>57.12</v>
      </c>
      <c r="BR75" s="20">
        <v>57.12</v>
      </c>
      <c r="BU75" s="16" t="s">
        <v>187</v>
      </c>
    </row>
    <row r="76">
      <c r="A76" s="16" t="s">
        <v>980</v>
      </c>
      <c r="B76" s="16" t="s">
        <v>65</v>
      </c>
      <c r="C76" s="22">
        <v>45834.0</v>
      </c>
      <c r="D76" s="16" t="s">
        <v>616</v>
      </c>
      <c r="F76" s="16" t="s">
        <v>179</v>
      </c>
      <c r="G76" s="16" t="s">
        <v>565</v>
      </c>
      <c r="H76" s="16">
        <v>1.0</v>
      </c>
      <c r="I76" s="20">
        <v>22.0</v>
      </c>
      <c r="J76" s="20">
        <v>22.0</v>
      </c>
      <c r="BO76" s="20">
        <v>22.0</v>
      </c>
      <c r="BR76" s="20">
        <v>22.0</v>
      </c>
      <c r="BU76" s="16" t="s">
        <v>187</v>
      </c>
    </row>
    <row r="77">
      <c r="A77" s="16" t="s">
        <v>991</v>
      </c>
      <c r="B77" s="16" t="s">
        <v>65</v>
      </c>
      <c r="C77" s="22">
        <v>45835.0</v>
      </c>
      <c r="D77" s="16" t="s">
        <v>616</v>
      </c>
      <c r="F77" s="16" t="s">
        <v>179</v>
      </c>
      <c r="G77" s="16" t="s">
        <v>565</v>
      </c>
      <c r="H77" s="16">
        <v>1.0</v>
      </c>
      <c r="I77" s="20">
        <v>87.14</v>
      </c>
      <c r="J77" s="20">
        <v>87.14</v>
      </c>
      <c r="BO77" s="20">
        <v>87.14</v>
      </c>
      <c r="BR77" s="20">
        <v>87.14</v>
      </c>
      <c r="BU77" s="16" t="s">
        <v>187</v>
      </c>
    </row>
    <row r="78">
      <c r="A78" s="16" t="s">
        <v>1003</v>
      </c>
      <c r="B78" s="16" t="s">
        <v>65</v>
      </c>
      <c r="C78" s="22">
        <v>45835.0</v>
      </c>
      <c r="D78" s="16" t="s">
        <v>177</v>
      </c>
      <c r="F78" s="16" t="s">
        <v>179</v>
      </c>
      <c r="G78" s="16" t="s">
        <v>181</v>
      </c>
      <c r="H78" s="16">
        <v>1.0</v>
      </c>
      <c r="I78" s="20">
        <v>28.05</v>
      </c>
      <c r="J78" s="20">
        <v>28.05</v>
      </c>
      <c r="BO78" s="20">
        <v>28.05</v>
      </c>
      <c r="BR78" s="20">
        <v>28.05</v>
      </c>
      <c r="BU78" s="16" t="s">
        <v>187</v>
      </c>
    </row>
    <row r="79">
      <c r="A79" s="16" t="s">
        <v>1012</v>
      </c>
      <c r="B79" s="16" t="s">
        <v>65</v>
      </c>
      <c r="C79" s="22">
        <v>45835.0</v>
      </c>
      <c r="D79" s="16" t="s">
        <v>177</v>
      </c>
      <c r="F79" s="16" t="s">
        <v>179</v>
      </c>
      <c r="G79" s="16" t="s">
        <v>181</v>
      </c>
      <c r="H79" s="16">
        <v>1.0</v>
      </c>
      <c r="I79" s="20">
        <v>18.62</v>
      </c>
      <c r="J79" s="20">
        <v>18.62</v>
      </c>
      <c r="BO79" s="20">
        <v>18.62</v>
      </c>
      <c r="BR79" s="20">
        <v>18.62</v>
      </c>
      <c r="BU79" s="16" t="s">
        <v>187</v>
      </c>
    </row>
    <row r="80">
      <c r="A80" s="16" t="s">
        <v>1024</v>
      </c>
      <c r="B80" s="16" t="s">
        <v>65</v>
      </c>
      <c r="C80" s="22">
        <v>45837.0</v>
      </c>
      <c r="D80" s="16" t="s">
        <v>177</v>
      </c>
      <c r="F80" s="16" t="s">
        <v>179</v>
      </c>
      <c r="G80" s="16" t="s">
        <v>181</v>
      </c>
      <c r="H80" s="16">
        <v>1.0</v>
      </c>
      <c r="I80" s="20">
        <v>20.0</v>
      </c>
      <c r="J80" s="20">
        <v>20.0</v>
      </c>
      <c r="BO80" s="20">
        <v>20.0</v>
      </c>
      <c r="BR80" s="20">
        <v>20.0</v>
      </c>
      <c r="BU80" s="16" t="s">
        <v>187</v>
      </c>
    </row>
    <row r="81">
      <c r="A81" s="16" t="s">
        <v>1036</v>
      </c>
      <c r="B81" s="16" t="s">
        <v>65</v>
      </c>
      <c r="C81" s="22">
        <v>45837.0</v>
      </c>
      <c r="D81" s="16" t="s">
        <v>616</v>
      </c>
      <c r="F81" s="16" t="s">
        <v>179</v>
      </c>
      <c r="G81" s="16" t="s">
        <v>565</v>
      </c>
      <c r="H81" s="16">
        <v>1.0</v>
      </c>
      <c r="I81" s="20">
        <v>121.88</v>
      </c>
      <c r="J81" s="20">
        <v>121.88</v>
      </c>
      <c r="BO81" s="20">
        <v>121.88</v>
      </c>
      <c r="BR81" s="20">
        <v>121.88</v>
      </c>
      <c r="BU81" s="16" t="s">
        <v>187</v>
      </c>
    </row>
    <row r="82">
      <c r="A82" s="16" t="s">
        <v>1047</v>
      </c>
      <c r="B82" s="16" t="s">
        <v>65</v>
      </c>
      <c r="C82" s="22">
        <v>45838.0</v>
      </c>
      <c r="F82" s="16" t="s">
        <v>179</v>
      </c>
      <c r="G82" s="16" t="s">
        <v>1053</v>
      </c>
      <c r="H82" s="16">
        <v>1.0</v>
      </c>
      <c r="I82" s="20">
        <v>22.77</v>
      </c>
      <c r="J82" s="20">
        <v>22.77</v>
      </c>
      <c r="BO82" s="20">
        <v>22.77</v>
      </c>
      <c r="BR82" s="20">
        <v>22.77</v>
      </c>
      <c r="BU82" s="16" t="s">
        <v>187</v>
      </c>
      <c r="BV82" s="16" t="s">
        <v>754</v>
      </c>
    </row>
    <row r="83">
      <c r="A83" s="16" t="s">
        <v>1058</v>
      </c>
      <c r="B83" s="16" t="s">
        <v>65</v>
      </c>
      <c r="C83" s="22">
        <v>45838.0</v>
      </c>
      <c r="F83" s="16" t="s">
        <v>179</v>
      </c>
      <c r="G83" s="16" t="s">
        <v>1053</v>
      </c>
      <c r="H83" s="16">
        <v>1.0</v>
      </c>
      <c r="I83" s="20">
        <v>16.98</v>
      </c>
      <c r="J83" s="20">
        <v>16.98</v>
      </c>
      <c r="BO83" s="20">
        <v>16.98</v>
      </c>
      <c r="BR83" s="20">
        <v>16.98</v>
      </c>
      <c r="BU83" s="16" t="s">
        <v>187</v>
      </c>
      <c r="BV83" s="20">
        <v>5.7411272E7</v>
      </c>
    </row>
    <row r="84">
      <c r="A84" s="16" t="s">
        <v>1069</v>
      </c>
      <c r="B84" s="16" t="s">
        <v>65</v>
      </c>
      <c r="C84" s="22">
        <v>45839.0</v>
      </c>
      <c r="F84" s="16" t="s">
        <v>179</v>
      </c>
      <c r="G84" s="16" t="s">
        <v>1053</v>
      </c>
      <c r="H84" s="16">
        <v>1.0</v>
      </c>
      <c r="I84" s="20">
        <v>20.76</v>
      </c>
      <c r="J84" s="20">
        <v>20.76</v>
      </c>
      <c r="BO84" s="20">
        <v>20.76</v>
      </c>
      <c r="BR84" s="20">
        <v>20.76</v>
      </c>
      <c r="BU84" s="16" t="s">
        <v>187</v>
      </c>
      <c r="BV84" s="16" t="s">
        <v>754</v>
      </c>
    </row>
    <row r="85">
      <c r="A85" s="16" t="s">
        <v>1079</v>
      </c>
      <c r="B85" s="16" t="s">
        <v>65</v>
      </c>
      <c r="C85" s="22">
        <v>45839.0</v>
      </c>
      <c r="F85" s="16" t="s">
        <v>179</v>
      </c>
      <c r="G85" s="16" t="s">
        <v>1053</v>
      </c>
      <c r="H85" s="16">
        <v>1.0</v>
      </c>
      <c r="I85" s="20">
        <v>23.4</v>
      </c>
      <c r="J85" s="20">
        <v>23.4</v>
      </c>
      <c r="BO85" s="20">
        <v>23.4</v>
      </c>
      <c r="BR85" s="20">
        <v>23.4</v>
      </c>
      <c r="BU85" s="16" t="s">
        <v>187</v>
      </c>
      <c r="BV85" s="20">
        <v>5.7411272E7</v>
      </c>
    </row>
    <row r="86">
      <c r="A86" s="16" t="s">
        <v>1088</v>
      </c>
      <c r="B86" s="16" t="s">
        <v>65</v>
      </c>
      <c r="C86" s="22">
        <v>45840.0</v>
      </c>
      <c r="D86" s="16" t="s">
        <v>616</v>
      </c>
      <c r="F86" s="16" t="s">
        <v>179</v>
      </c>
      <c r="G86" s="16" t="s">
        <v>565</v>
      </c>
      <c r="H86" s="16">
        <v>1.0</v>
      </c>
      <c r="I86" s="20">
        <v>60.23</v>
      </c>
      <c r="J86" s="20">
        <v>60.23</v>
      </c>
      <c r="BO86" s="20">
        <v>60.23</v>
      </c>
      <c r="BR86" s="20">
        <v>60.23</v>
      </c>
      <c r="BU86" s="16" t="s">
        <v>187</v>
      </c>
    </row>
    <row r="87">
      <c r="A87" s="16" t="s">
        <v>1098</v>
      </c>
      <c r="B87" s="16" t="s">
        <v>65</v>
      </c>
      <c r="C87" s="22">
        <v>45840.0</v>
      </c>
      <c r="D87" s="16" t="s">
        <v>177</v>
      </c>
      <c r="F87" s="16" t="s">
        <v>179</v>
      </c>
      <c r="G87" s="16" t="s">
        <v>181</v>
      </c>
      <c r="H87" s="16">
        <v>1.0</v>
      </c>
      <c r="I87" s="20">
        <v>31.07</v>
      </c>
      <c r="J87" s="20">
        <v>31.07</v>
      </c>
      <c r="BO87" s="20">
        <v>31.07</v>
      </c>
      <c r="BR87" s="20">
        <v>31.07</v>
      </c>
      <c r="BU87" s="16" t="s">
        <v>187</v>
      </c>
    </row>
    <row r="88">
      <c r="A88" s="16" t="s">
        <v>1103</v>
      </c>
      <c r="B88" s="16" t="s">
        <v>65</v>
      </c>
      <c r="C88" s="22">
        <v>45840.0</v>
      </c>
      <c r="D88" s="16" t="s">
        <v>177</v>
      </c>
      <c r="F88" s="16" t="s">
        <v>179</v>
      </c>
      <c r="G88" s="16" t="s">
        <v>181</v>
      </c>
      <c r="H88" s="16">
        <v>1.0</v>
      </c>
      <c r="I88" s="20">
        <v>39.75</v>
      </c>
      <c r="J88" s="20">
        <v>39.75</v>
      </c>
      <c r="BO88" s="20">
        <v>39.75</v>
      </c>
      <c r="BR88" s="20">
        <v>39.75</v>
      </c>
      <c r="BU88" s="16" t="s">
        <v>187</v>
      </c>
    </row>
    <row r="89">
      <c r="A89" s="16" t="s">
        <v>1109</v>
      </c>
      <c r="B89" s="16" t="s">
        <v>65</v>
      </c>
      <c r="C89" s="22">
        <v>45842.0</v>
      </c>
      <c r="D89" s="16" t="s">
        <v>616</v>
      </c>
      <c r="F89" s="16" t="s">
        <v>179</v>
      </c>
      <c r="G89" s="16" t="s">
        <v>565</v>
      </c>
      <c r="H89" s="16">
        <v>1.0</v>
      </c>
      <c r="I89" s="20">
        <v>60.96</v>
      </c>
      <c r="J89" s="20">
        <v>60.96</v>
      </c>
      <c r="BO89" s="20">
        <v>60.96</v>
      </c>
      <c r="BR89" s="20">
        <v>60.96</v>
      </c>
      <c r="BU89" s="16" t="s">
        <v>187</v>
      </c>
    </row>
    <row r="90">
      <c r="A90" s="16" t="s">
        <v>1118</v>
      </c>
      <c r="B90" s="16" t="s">
        <v>65</v>
      </c>
      <c r="C90" s="22">
        <v>45843.0</v>
      </c>
      <c r="D90" s="16" t="s">
        <v>616</v>
      </c>
      <c r="F90" s="16" t="s">
        <v>179</v>
      </c>
      <c r="G90" s="16" t="s">
        <v>565</v>
      </c>
      <c r="H90" s="16">
        <v>1.0</v>
      </c>
      <c r="I90" s="20">
        <v>42.01</v>
      </c>
      <c r="J90" s="20">
        <v>42.01</v>
      </c>
      <c r="BO90" s="20">
        <v>42.01</v>
      </c>
      <c r="BR90" s="20">
        <v>42.01</v>
      </c>
      <c r="BU90" s="16" t="s">
        <v>187</v>
      </c>
    </row>
    <row r="91">
      <c r="A91" s="16" t="s">
        <v>1132</v>
      </c>
      <c r="B91" s="16" t="s">
        <v>65</v>
      </c>
      <c r="C91" s="22">
        <v>45845.0</v>
      </c>
      <c r="D91" s="16" t="s">
        <v>131</v>
      </c>
      <c r="F91" s="16" t="s">
        <v>1138</v>
      </c>
      <c r="G91" s="16" t="s">
        <v>224</v>
      </c>
      <c r="H91" s="16">
        <v>1.0</v>
      </c>
      <c r="I91" s="20">
        <v>2494.11</v>
      </c>
      <c r="J91" s="20">
        <v>2494.11</v>
      </c>
      <c r="BO91" s="20">
        <v>2494.11</v>
      </c>
      <c r="BR91" s="20">
        <v>2494.11</v>
      </c>
      <c r="BU91" s="16" t="s">
        <v>218</v>
      </c>
    </row>
    <row r="92">
      <c r="A92" s="16" t="s">
        <v>1144</v>
      </c>
      <c r="B92" s="16" t="s">
        <v>65</v>
      </c>
      <c r="C92" s="22">
        <v>45845.0</v>
      </c>
      <c r="D92" s="16" t="s">
        <v>246</v>
      </c>
      <c r="F92" s="16" t="s">
        <v>1150</v>
      </c>
      <c r="G92" s="16" t="s">
        <v>278</v>
      </c>
      <c r="H92" s="16">
        <v>1.0</v>
      </c>
      <c r="I92" s="20">
        <v>148.4</v>
      </c>
      <c r="J92" s="20">
        <v>148.4</v>
      </c>
      <c r="BO92" s="20">
        <v>148.4</v>
      </c>
      <c r="BR92" s="20">
        <v>148.4</v>
      </c>
      <c r="BU92" s="16" t="s">
        <v>218</v>
      </c>
    </row>
    <row r="93">
      <c r="A93" s="16" t="s">
        <v>1155</v>
      </c>
      <c r="B93" s="16" t="s">
        <v>65</v>
      </c>
      <c r="C93" s="22">
        <v>45847.0</v>
      </c>
      <c r="D93" s="16" t="s">
        <v>1159</v>
      </c>
      <c r="F93" s="16" t="s">
        <v>1161</v>
      </c>
      <c r="G93" s="16" t="s">
        <v>1164</v>
      </c>
      <c r="H93" s="16">
        <v>1.0</v>
      </c>
      <c r="I93" s="20">
        <v>500.0</v>
      </c>
      <c r="J93" s="20">
        <v>500.0</v>
      </c>
      <c r="BO93" s="20">
        <v>500.0</v>
      </c>
      <c r="BR93" s="20">
        <v>500.0</v>
      </c>
      <c r="BU93" s="16" t="s">
        <v>218</v>
      </c>
    </row>
    <row r="94">
      <c r="A94" s="16" t="s">
        <v>1172</v>
      </c>
      <c r="B94" s="16" t="s">
        <v>65</v>
      </c>
      <c r="C94" s="22">
        <v>45847.0</v>
      </c>
      <c r="D94" s="16" t="s">
        <v>1175</v>
      </c>
      <c r="F94" s="16" t="s">
        <v>1177</v>
      </c>
      <c r="G94" s="16" t="s">
        <v>1178</v>
      </c>
      <c r="H94" s="16">
        <v>1.0</v>
      </c>
      <c r="I94" s="20">
        <v>148.11</v>
      </c>
      <c r="J94" s="20">
        <v>148.11</v>
      </c>
      <c r="BO94" s="20">
        <v>148.11</v>
      </c>
      <c r="BR94" s="20">
        <v>148.11</v>
      </c>
      <c r="BU94" s="16" t="s">
        <v>218</v>
      </c>
    </row>
    <row r="95">
      <c r="A95" s="16" t="s">
        <v>1188</v>
      </c>
      <c r="B95" s="16" t="s">
        <v>65</v>
      </c>
      <c r="C95" s="22">
        <v>45849.0</v>
      </c>
      <c r="F95" s="16" t="s">
        <v>1191</v>
      </c>
      <c r="G95" s="16" t="s">
        <v>467</v>
      </c>
      <c r="H95" s="16">
        <v>1.0</v>
      </c>
      <c r="I95" s="20">
        <v>70.0</v>
      </c>
      <c r="J95" s="20">
        <v>70.0</v>
      </c>
      <c r="BO95" s="20">
        <v>70.0</v>
      </c>
      <c r="BR95" s="20">
        <v>70.0</v>
      </c>
      <c r="BU95" s="16" t="s">
        <v>218</v>
      </c>
      <c r="BV95" s="20">
        <v>5.7411272E7</v>
      </c>
    </row>
    <row r="96">
      <c r="A96" s="16" t="s">
        <v>1202</v>
      </c>
      <c r="B96" s="16" t="s">
        <v>65</v>
      </c>
      <c r="C96" s="22">
        <v>45852.0</v>
      </c>
      <c r="D96" s="16" t="s">
        <v>246</v>
      </c>
      <c r="F96" s="16" t="s">
        <v>1205</v>
      </c>
      <c r="G96" s="16" t="s">
        <v>278</v>
      </c>
      <c r="H96" s="16">
        <v>1.0</v>
      </c>
      <c r="I96" s="20">
        <v>334.68</v>
      </c>
      <c r="J96" s="20">
        <v>334.68</v>
      </c>
      <c r="BO96" s="20">
        <v>334.68</v>
      </c>
      <c r="BR96" s="20">
        <v>334.68</v>
      </c>
      <c r="BU96" s="16" t="s">
        <v>218</v>
      </c>
    </row>
    <row r="97">
      <c r="A97" s="16" t="s">
        <v>1215</v>
      </c>
      <c r="B97" s="16" t="s">
        <v>65</v>
      </c>
      <c r="C97" s="22">
        <v>45854.0</v>
      </c>
      <c r="D97" s="16" t="s">
        <v>1159</v>
      </c>
      <c r="F97" s="16" t="s">
        <v>1219</v>
      </c>
      <c r="G97" s="16" t="s">
        <v>1220</v>
      </c>
      <c r="H97" s="16">
        <v>1.0</v>
      </c>
      <c r="I97" s="20">
        <v>761.93</v>
      </c>
      <c r="J97" s="20">
        <v>761.93</v>
      </c>
      <c r="BO97" s="20">
        <v>761.93</v>
      </c>
      <c r="BR97" s="20">
        <v>761.93</v>
      </c>
      <c r="BU97" s="16" t="s">
        <v>218</v>
      </c>
    </row>
    <row r="98">
      <c r="A98" s="16" t="s">
        <v>1225</v>
      </c>
      <c r="B98" s="16" t="s">
        <v>65</v>
      </c>
      <c r="C98" s="22">
        <v>45854.0</v>
      </c>
      <c r="D98" s="16" t="s">
        <v>1159</v>
      </c>
      <c r="F98" s="16" t="s">
        <v>1231</v>
      </c>
      <c r="G98" s="16" t="s">
        <v>1232</v>
      </c>
      <c r="H98" s="16">
        <v>1.0</v>
      </c>
      <c r="I98" s="20">
        <v>605.82</v>
      </c>
      <c r="J98" s="20">
        <v>605.82</v>
      </c>
      <c r="BO98" s="20">
        <v>605.82</v>
      </c>
      <c r="BR98" s="20">
        <v>605.82</v>
      </c>
      <c r="BU98" s="16" t="s">
        <v>218</v>
      </c>
    </row>
    <row r="99">
      <c r="A99" s="16" t="s">
        <v>1238</v>
      </c>
      <c r="B99" s="16" t="s">
        <v>65</v>
      </c>
      <c r="C99" s="22">
        <v>45854.0</v>
      </c>
      <c r="D99" s="16" t="s">
        <v>1159</v>
      </c>
      <c r="F99" s="16" t="s">
        <v>1243</v>
      </c>
      <c r="G99" s="16" t="s">
        <v>1244</v>
      </c>
      <c r="H99" s="16">
        <v>1.0</v>
      </c>
      <c r="I99" s="20">
        <v>2122.05</v>
      </c>
      <c r="J99" s="20">
        <v>2122.05</v>
      </c>
      <c r="BO99" s="20">
        <v>2122.05</v>
      </c>
      <c r="BR99" s="20">
        <v>2122.05</v>
      </c>
      <c r="BU99" s="16" t="s">
        <v>218</v>
      </c>
    </row>
    <row r="100">
      <c r="A100" s="16" t="s">
        <v>1250</v>
      </c>
      <c r="B100" s="16" t="s">
        <v>65</v>
      </c>
      <c r="C100" s="22">
        <v>45858.0</v>
      </c>
      <c r="D100" s="16" t="s">
        <v>131</v>
      </c>
      <c r="F100" s="16" t="s">
        <v>1253</v>
      </c>
      <c r="G100" s="16" t="s">
        <v>224</v>
      </c>
      <c r="H100" s="16">
        <v>1.0</v>
      </c>
      <c r="I100" s="20">
        <v>986.89</v>
      </c>
      <c r="J100" s="20">
        <v>986.89</v>
      </c>
      <c r="BO100" s="20">
        <v>986.89</v>
      </c>
      <c r="BR100" s="20">
        <v>986.89</v>
      </c>
      <c r="BU100" s="16" t="s">
        <v>218</v>
      </c>
    </row>
    <row r="101">
      <c r="A101" s="16" t="s">
        <v>1261</v>
      </c>
      <c r="B101" s="16" t="s">
        <v>65</v>
      </c>
      <c r="C101" s="22">
        <v>45858.0</v>
      </c>
      <c r="D101" s="16" t="s">
        <v>342</v>
      </c>
      <c r="F101" s="16" t="s">
        <v>1219</v>
      </c>
      <c r="G101" s="16" t="s">
        <v>347</v>
      </c>
      <c r="H101" s="16">
        <v>1.0</v>
      </c>
      <c r="I101" s="20">
        <v>1953.73</v>
      </c>
      <c r="J101" s="20">
        <v>1953.73</v>
      </c>
      <c r="BO101" s="20">
        <v>1953.73</v>
      </c>
      <c r="BR101" s="20">
        <v>1953.73</v>
      </c>
      <c r="BU101" s="16" t="s">
        <v>218</v>
      </c>
    </row>
    <row r="102">
      <c r="A102" s="16" t="s">
        <v>1269</v>
      </c>
      <c r="B102" s="16" t="s">
        <v>65</v>
      </c>
      <c r="C102" s="22">
        <v>45843.0</v>
      </c>
      <c r="F102" s="16" t="s">
        <v>345</v>
      </c>
      <c r="G102" s="16" t="s">
        <v>372</v>
      </c>
      <c r="H102" s="16">
        <v>1.0</v>
      </c>
      <c r="I102" s="20">
        <v>2443.37</v>
      </c>
      <c r="J102" s="20">
        <v>2443.37</v>
      </c>
      <c r="BO102" s="20">
        <v>2443.37</v>
      </c>
      <c r="BR102" s="20">
        <v>2443.37</v>
      </c>
      <c r="BU102" s="16" t="s">
        <v>218</v>
      </c>
      <c r="BV102" s="16" t="s">
        <v>132</v>
      </c>
    </row>
    <row r="103">
      <c r="A103" s="16" t="s">
        <v>1280</v>
      </c>
      <c r="B103" s="16" t="s">
        <v>65</v>
      </c>
      <c r="C103" s="22">
        <v>45843.0</v>
      </c>
      <c r="F103" s="16" t="s">
        <v>1219</v>
      </c>
      <c r="G103" s="16" t="s">
        <v>372</v>
      </c>
      <c r="H103" s="16">
        <v>1.0</v>
      </c>
      <c r="I103" s="20">
        <v>1930.99</v>
      </c>
      <c r="J103" s="20">
        <v>1930.99</v>
      </c>
      <c r="BO103" s="20">
        <v>1930.99</v>
      </c>
      <c r="BR103" s="20">
        <v>1930.99</v>
      </c>
      <c r="BU103" s="16" t="s">
        <v>218</v>
      </c>
      <c r="BV103" s="16" t="s">
        <v>348</v>
      </c>
    </row>
    <row r="104">
      <c r="A104" s="16" t="s">
        <v>1289</v>
      </c>
      <c r="B104" s="16" t="s">
        <v>65</v>
      </c>
      <c r="C104" s="22">
        <v>45843.0</v>
      </c>
      <c r="F104" s="16" t="s">
        <v>345</v>
      </c>
      <c r="G104" s="16" t="s">
        <v>372</v>
      </c>
      <c r="H104" s="16">
        <v>1.0</v>
      </c>
      <c r="I104" s="20">
        <v>2054.81</v>
      </c>
      <c r="J104" s="20">
        <v>2054.81</v>
      </c>
      <c r="BO104" s="20">
        <v>2054.81</v>
      </c>
      <c r="BR104" s="20">
        <v>2054.81</v>
      </c>
      <c r="BU104" s="16" t="s">
        <v>218</v>
      </c>
      <c r="BV104" s="20">
        <v>5.7411272E7</v>
      </c>
    </row>
    <row r="105">
      <c r="A105" s="16" t="s">
        <v>1300</v>
      </c>
      <c r="B105" s="16" t="s">
        <v>65</v>
      </c>
      <c r="C105" s="22">
        <v>45866.0</v>
      </c>
      <c r="D105" s="16" t="s">
        <v>1304</v>
      </c>
      <c r="F105" s="16" t="s">
        <v>1305</v>
      </c>
      <c r="G105" s="16" t="s">
        <v>1306</v>
      </c>
      <c r="H105" s="16">
        <v>1.0</v>
      </c>
      <c r="I105" s="20">
        <v>127.33</v>
      </c>
      <c r="J105" s="20">
        <v>127.33</v>
      </c>
      <c r="BO105" s="20">
        <v>127.33</v>
      </c>
      <c r="BR105" s="20">
        <v>127.33</v>
      </c>
      <c r="BU105" s="16" t="s">
        <v>218</v>
      </c>
    </row>
    <row r="106">
      <c r="A106" s="16" t="s">
        <v>1312</v>
      </c>
      <c r="B106" s="16" t="s">
        <v>65</v>
      </c>
      <c r="C106" s="22">
        <v>45866.0</v>
      </c>
      <c r="D106" s="16" t="s">
        <v>1175</v>
      </c>
      <c r="F106" s="16" t="s">
        <v>1219</v>
      </c>
      <c r="G106" s="16" t="s">
        <v>372</v>
      </c>
      <c r="H106" s="16">
        <v>1.0</v>
      </c>
      <c r="I106" s="20">
        <v>292.0</v>
      </c>
      <c r="J106" s="20">
        <v>292.0</v>
      </c>
      <c r="BO106" s="20">
        <v>292.0</v>
      </c>
      <c r="BR106" s="20">
        <v>292.0</v>
      </c>
      <c r="BU106" s="16" t="s">
        <v>218</v>
      </c>
    </row>
    <row r="107">
      <c r="A107" s="16" t="s">
        <v>1320</v>
      </c>
      <c r="B107" s="16" t="s">
        <v>65</v>
      </c>
      <c r="C107" s="22">
        <v>45866.0</v>
      </c>
      <c r="D107" s="16" t="s">
        <v>1322</v>
      </c>
      <c r="F107" s="16" t="s">
        <v>1324</v>
      </c>
      <c r="G107" s="16" t="s">
        <v>1325</v>
      </c>
      <c r="H107" s="16">
        <v>1.0</v>
      </c>
      <c r="I107" s="20">
        <v>322.0</v>
      </c>
      <c r="J107" s="20">
        <v>322.0</v>
      </c>
      <c r="BO107" s="20">
        <v>322.0</v>
      </c>
      <c r="BR107" s="20">
        <v>322.0</v>
      </c>
      <c r="BU107" s="16" t="s">
        <v>218</v>
      </c>
    </row>
    <row r="108">
      <c r="A108" s="16" t="s">
        <v>1330</v>
      </c>
      <c r="B108" s="16" t="s">
        <v>65</v>
      </c>
      <c r="C108" s="22">
        <v>45873.0</v>
      </c>
      <c r="F108" s="16" t="s">
        <v>1219</v>
      </c>
      <c r="G108" s="16" t="s">
        <v>372</v>
      </c>
      <c r="H108" s="16">
        <v>1.0</v>
      </c>
      <c r="I108" s="20">
        <v>2693.8</v>
      </c>
      <c r="J108" s="20">
        <v>2693.8</v>
      </c>
      <c r="BO108" s="20">
        <v>2693.8</v>
      </c>
      <c r="BR108" s="20">
        <v>2693.8</v>
      </c>
      <c r="BU108" s="16" t="s">
        <v>218</v>
      </c>
      <c r="BV108" s="16" t="s">
        <v>132</v>
      </c>
    </row>
    <row r="109">
      <c r="A109" s="16" t="s">
        <v>1336</v>
      </c>
      <c r="B109" s="16" t="s">
        <v>65</v>
      </c>
      <c r="C109" s="22">
        <v>45873.0</v>
      </c>
      <c r="F109" s="16" t="s">
        <v>1219</v>
      </c>
      <c r="G109" s="16" t="s">
        <v>372</v>
      </c>
      <c r="H109" s="16">
        <v>1.0</v>
      </c>
      <c r="I109" s="20">
        <v>1985.77</v>
      </c>
      <c r="J109" s="20">
        <v>1985.77</v>
      </c>
      <c r="BO109" s="20">
        <v>1985.77</v>
      </c>
      <c r="BR109" s="20">
        <v>1985.77</v>
      </c>
      <c r="BU109" s="16" t="s">
        <v>218</v>
      </c>
      <c r="BV109" s="16" t="s">
        <v>348</v>
      </c>
    </row>
    <row r="110">
      <c r="A110" s="16" t="s">
        <v>1341</v>
      </c>
      <c r="B110" s="16" t="s">
        <v>65</v>
      </c>
      <c r="C110" s="22">
        <v>45873.0</v>
      </c>
      <c r="F110" s="16" t="s">
        <v>1219</v>
      </c>
      <c r="G110" s="16" t="s">
        <v>372</v>
      </c>
      <c r="H110" s="16">
        <v>1.0</v>
      </c>
      <c r="I110" s="20">
        <v>1999.86</v>
      </c>
      <c r="J110" s="20">
        <v>1999.86</v>
      </c>
      <c r="BO110" s="20">
        <v>1999.86</v>
      </c>
      <c r="BR110" s="20">
        <v>1999.86</v>
      </c>
      <c r="BU110" s="16" t="s">
        <v>218</v>
      </c>
      <c r="BV110" s="20">
        <v>5.7411272E7</v>
      </c>
    </row>
    <row r="111">
      <c r="A111" s="16" t="s">
        <v>1347</v>
      </c>
      <c r="B111" s="16" t="s">
        <v>65</v>
      </c>
      <c r="C111" s="22">
        <v>45873.0</v>
      </c>
      <c r="D111" s="16" t="s">
        <v>131</v>
      </c>
      <c r="F111" s="16" t="s">
        <v>1351</v>
      </c>
      <c r="G111" s="16" t="s">
        <v>224</v>
      </c>
      <c r="H111" s="16">
        <v>1.0</v>
      </c>
      <c r="I111" s="20">
        <v>1650.62</v>
      </c>
      <c r="J111" s="20">
        <v>1650.62</v>
      </c>
      <c r="BO111" s="20">
        <v>1650.62</v>
      </c>
      <c r="BR111" s="20">
        <v>1650.62</v>
      </c>
      <c r="BU111" s="16" t="s">
        <v>218</v>
      </c>
    </row>
    <row r="112">
      <c r="A112" s="16" t="s">
        <v>1358</v>
      </c>
      <c r="B112" s="16" t="s">
        <v>65</v>
      </c>
      <c r="C112" s="22">
        <v>45873.0</v>
      </c>
      <c r="D112" s="16" t="s">
        <v>398</v>
      </c>
      <c r="F112" s="16" t="s">
        <v>1219</v>
      </c>
      <c r="G112" s="16" t="s">
        <v>401</v>
      </c>
      <c r="H112" s="16">
        <v>1.0</v>
      </c>
      <c r="I112" s="20">
        <v>7000.0</v>
      </c>
      <c r="J112" s="20">
        <v>7000.0</v>
      </c>
      <c r="BO112" s="20">
        <v>7000.0</v>
      </c>
      <c r="BR112" s="20">
        <v>7000.0</v>
      </c>
      <c r="BU112" s="16" t="s">
        <v>218</v>
      </c>
    </row>
    <row r="113">
      <c r="A113" s="16" t="s">
        <v>1368</v>
      </c>
      <c r="B113" s="16" t="s">
        <v>65</v>
      </c>
      <c r="C113" s="22">
        <v>45873.0</v>
      </c>
      <c r="D113" s="16" t="s">
        <v>131</v>
      </c>
      <c r="F113" s="16" t="s">
        <v>1372</v>
      </c>
      <c r="G113" s="16" t="s">
        <v>224</v>
      </c>
      <c r="H113" s="16">
        <v>1.0</v>
      </c>
      <c r="I113" s="20">
        <v>4349.0</v>
      </c>
      <c r="J113" s="20">
        <v>4349.0</v>
      </c>
      <c r="BO113" s="20">
        <v>4349.0</v>
      </c>
      <c r="BR113" s="20">
        <v>4349.0</v>
      </c>
      <c r="BU113" s="16" t="s">
        <v>218</v>
      </c>
    </row>
    <row r="114">
      <c r="A114" s="16" t="s">
        <v>1378</v>
      </c>
      <c r="B114" s="16" t="s">
        <v>65</v>
      </c>
      <c r="C114" s="22">
        <v>45873.0</v>
      </c>
      <c r="D114" s="16" t="s">
        <v>1159</v>
      </c>
      <c r="F114" s="16" t="s">
        <v>1383</v>
      </c>
      <c r="G114" s="16" t="s">
        <v>1164</v>
      </c>
      <c r="H114" s="16">
        <v>1.0</v>
      </c>
      <c r="I114" s="20">
        <v>500.0</v>
      </c>
      <c r="J114" s="20">
        <v>500.0</v>
      </c>
      <c r="BO114" s="20">
        <v>500.0</v>
      </c>
      <c r="BR114" s="20">
        <v>500.0</v>
      </c>
      <c r="BU114" s="16" t="s">
        <v>218</v>
      </c>
    </row>
    <row r="115">
      <c r="A115" s="16" t="s">
        <v>1386</v>
      </c>
      <c r="B115" s="16" t="s">
        <v>65</v>
      </c>
      <c r="C115" s="22">
        <v>45873.0</v>
      </c>
      <c r="D115" s="16" t="s">
        <v>194</v>
      </c>
      <c r="F115" s="16" t="s">
        <v>1389</v>
      </c>
      <c r="G115" s="16" t="s">
        <v>197</v>
      </c>
      <c r="H115" s="16">
        <v>1.0</v>
      </c>
      <c r="I115" s="20">
        <v>259.99</v>
      </c>
      <c r="J115" s="20">
        <v>259.99</v>
      </c>
      <c r="BO115" s="20">
        <v>259.99</v>
      </c>
      <c r="BR115" s="20">
        <v>259.99</v>
      </c>
      <c r="BU115" s="16" t="s">
        <v>218</v>
      </c>
    </row>
    <row r="116">
      <c r="A116" s="16" t="s">
        <v>1215</v>
      </c>
      <c r="B116" s="16" t="s">
        <v>65</v>
      </c>
      <c r="C116" s="22">
        <v>45880.0</v>
      </c>
      <c r="D116" s="16" t="s">
        <v>1159</v>
      </c>
      <c r="F116" s="16" t="s">
        <v>1219</v>
      </c>
      <c r="G116" s="16" t="s">
        <v>1220</v>
      </c>
      <c r="H116" s="16">
        <v>1.0</v>
      </c>
      <c r="I116" s="20">
        <v>917.39</v>
      </c>
      <c r="J116" s="20">
        <v>917.39</v>
      </c>
      <c r="BO116" s="20">
        <v>917.39</v>
      </c>
      <c r="BR116" s="20">
        <v>917.39</v>
      </c>
      <c r="BU116" s="16" t="s">
        <v>218</v>
      </c>
    </row>
    <row r="117">
      <c r="A117" s="16" t="s">
        <v>1401</v>
      </c>
      <c r="B117" s="16" t="s">
        <v>65</v>
      </c>
      <c r="C117" s="22">
        <v>45884.0</v>
      </c>
      <c r="D117" s="16" t="s">
        <v>131</v>
      </c>
      <c r="F117" s="16" t="s">
        <v>1404</v>
      </c>
      <c r="G117" s="16" t="s">
        <v>1405</v>
      </c>
      <c r="H117" s="16">
        <v>1.0</v>
      </c>
      <c r="I117" s="20">
        <v>1110.0</v>
      </c>
      <c r="J117" s="20">
        <v>1110.0</v>
      </c>
      <c r="BO117" s="20">
        <v>1110.0</v>
      </c>
      <c r="BR117" s="20">
        <v>1110.0</v>
      </c>
      <c r="BU117" s="16" t="s">
        <v>218</v>
      </c>
    </row>
    <row r="118">
      <c r="A118" s="16" t="s">
        <v>1409</v>
      </c>
      <c r="B118" s="16" t="s">
        <v>65</v>
      </c>
      <c r="C118" s="22">
        <v>45884.0</v>
      </c>
      <c r="D118" s="16" t="s">
        <v>131</v>
      </c>
      <c r="F118" s="16" t="s">
        <v>1411</v>
      </c>
      <c r="G118" s="16" t="s">
        <v>1414</v>
      </c>
      <c r="H118" s="16">
        <v>1.0</v>
      </c>
      <c r="I118" s="20">
        <v>625.0</v>
      </c>
      <c r="J118" s="20">
        <v>625.0</v>
      </c>
      <c r="BO118" s="20">
        <v>625.0</v>
      </c>
      <c r="BR118" s="20">
        <v>625.0</v>
      </c>
      <c r="BU118" s="16" t="s">
        <v>218</v>
      </c>
    </row>
    <row r="119">
      <c r="A119" s="16" t="s">
        <v>1419</v>
      </c>
      <c r="B119" s="16" t="s">
        <v>65</v>
      </c>
      <c r="C119" s="22">
        <v>45884.0</v>
      </c>
      <c r="D119" s="16" t="s">
        <v>131</v>
      </c>
      <c r="F119" s="16" t="s">
        <v>1421</v>
      </c>
      <c r="G119" s="16" t="s">
        <v>1423</v>
      </c>
      <c r="H119" s="16">
        <v>1.0</v>
      </c>
      <c r="I119" s="20">
        <v>375.0</v>
      </c>
      <c r="J119" s="20">
        <v>375.0</v>
      </c>
      <c r="BO119" s="20">
        <v>375.0</v>
      </c>
      <c r="BR119" s="20">
        <v>375.0</v>
      </c>
      <c r="BU119" s="16" t="s">
        <v>218</v>
      </c>
    </row>
    <row r="120">
      <c r="A120" s="16" t="s">
        <v>1429</v>
      </c>
      <c r="B120" s="16" t="s">
        <v>65</v>
      </c>
      <c r="C120" s="22">
        <v>45887.0</v>
      </c>
      <c r="D120" s="16" t="s">
        <v>131</v>
      </c>
      <c r="F120" s="16" t="s">
        <v>1430</v>
      </c>
      <c r="G120" s="16" t="s">
        <v>224</v>
      </c>
      <c r="H120" s="16">
        <v>1.0</v>
      </c>
      <c r="I120" s="20">
        <v>1777.94</v>
      </c>
      <c r="J120" s="20">
        <v>1777.94</v>
      </c>
      <c r="BO120" s="20">
        <v>1777.94</v>
      </c>
      <c r="BR120" s="20">
        <v>1777.94</v>
      </c>
      <c r="BU120" s="16" t="s">
        <v>218</v>
      </c>
    </row>
    <row r="121">
      <c r="A121" s="16" t="s">
        <v>1437</v>
      </c>
      <c r="B121" s="16" t="s">
        <v>65</v>
      </c>
      <c r="C121" s="22">
        <v>45887.0</v>
      </c>
      <c r="D121" s="16" t="s">
        <v>131</v>
      </c>
      <c r="F121" s="16" t="s">
        <v>1442</v>
      </c>
      <c r="G121" s="16" t="s">
        <v>224</v>
      </c>
      <c r="H121" s="16">
        <v>1.0</v>
      </c>
      <c r="I121" s="20">
        <v>3953.0</v>
      </c>
      <c r="J121" s="20">
        <v>3953.0</v>
      </c>
      <c r="BO121" s="20">
        <v>3953.0</v>
      </c>
      <c r="BR121" s="20">
        <v>3953.0</v>
      </c>
      <c r="BU121" s="16" t="s">
        <v>218</v>
      </c>
    </row>
    <row r="122">
      <c r="A122" s="16" t="s">
        <v>1447</v>
      </c>
      <c r="B122" s="16" t="s">
        <v>65</v>
      </c>
      <c r="C122" s="22">
        <v>45887.0</v>
      </c>
      <c r="D122" s="16" t="s">
        <v>131</v>
      </c>
      <c r="F122" s="16" t="s">
        <v>1449</v>
      </c>
      <c r="G122" s="16" t="s">
        <v>224</v>
      </c>
      <c r="H122" s="16">
        <v>1.0</v>
      </c>
      <c r="I122" s="20">
        <v>85.2</v>
      </c>
      <c r="J122" s="20">
        <v>85.2</v>
      </c>
      <c r="BO122" s="20">
        <v>85.2</v>
      </c>
      <c r="BR122" s="20">
        <v>85.2</v>
      </c>
      <c r="BU122" s="16" t="s">
        <v>218</v>
      </c>
    </row>
    <row r="123">
      <c r="A123" s="16" t="s">
        <v>1225</v>
      </c>
      <c r="B123" s="16" t="s">
        <v>65</v>
      </c>
      <c r="C123" s="22">
        <v>45887.0</v>
      </c>
      <c r="D123" s="16" t="s">
        <v>1159</v>
      </c>
      <c r="F123" s="16" t="s">
        <v>1231</v>
      </c>
      <c r="G123" s="16" t="s">
        <v>1232</v>
      </c>
      <c r="H123" s="16">
        <v>1.0</v>
      </c>
      <c r="I123" s="20">
        <v>744.11</v>
      </c>
      <c r="J123" s="20">
        <v>744.11</v>
      </c>
      <c r="BO123" s="20">
        <v>744.11</v>
      </c>
      <c r="BR123" s="20">
        <v>744.11</v>
      </c>
      <c r="BU123" s="16" t="s">
        <v>218</v>
      </c>
    </row>
    <row r="124">
      <c r="A124" s="16" t="s">
        <v>1238</v>
      </c>
      <c r="B124" s="16" t="s">
        <v>65</v>
      </c>
      <c r="C124" s="22">
        <v>45887.0</v>
      </c>
      <c r="D124" s="16" t="s">
        <v>1159</v>
      </c>
      <c r="F124" s="16" t="s">
        <v>1243</v>
      </c>
      <c r="G124" s="16" t="s">
        <v>1244</v>
      </c>
      <c r="H124" s="16">
        <v>1.0</v>
      </c>
      <c r="I124" s="20">
        <v>5693.39</v>
      </c>
      <c r="J124" s="20">
        <v>5693.39</v>
      </c>
      <c r="BO124" s="20">
        <v>5693.39</v>
      </c>
      <c r="BR124" s="20">
        <v>5693.39</v>
      </c>
      <c r="BU124" s="16" t="s">
        <v>218</v>
      </c>
    </row>
    <row r="125">
      <c r="A125" s="16" t="s">
        <v>1461</v>
      </c>
      <c r="B125" s="16" t="s">
        <v>65</v>
      </c>
      <c r="C125" s="22">
        <v>45887.0</v>
      </c>
      <c r="D125" s="16" t="s">
        <v>1322</v>
      </c>
      <c r="F125" s="16" t="s">
        <v>1465</v>
      </c>
      <c r="G125" s="16" t="s">
        <v>1467</v>
      </c>
      <c r="H125" s="16">
        <v>1.0</v>
      </c>
      <c r="I125" s="20">
        <v>750.0</v>
      </c>
      <c r="J125" s="20">
        <v>750.0</v>
      </c>
      <c r="BO125" s="20">
        <v>750.0</v>
      </c>
      <c r="BR125" s="20">
        <v>750.0</v>
      </c>
      <c r="BU125" s="16" t="s">
        <v>218</v>
      </c>
    </row>
    <row r="126">
      <c r="A126" s="16" t="s">
        <v>1478</v>
      </c>
      <c r="B126" s="16" t="s">
        <v>65</v>
      </c>
      <c r="C126" s="22">
        <v>45894.0</v>
      </c>
      <c r="D126" s="16" t="s">
        <v>1322</v>
      </c>
      <c r="F126" s="16" t="s">
        <v>1482</v>
      </c>
      <c r="G126" s="16" t="s">
        <v>1485</v>
      </c>
      <c r="H126" s="16">
        <v>1.0</v>
      </c>
      <c r="I126" s="20">
        <v>20.0</v>
      </c>
      <c r="J126" s="20">
        <v>20.0</v>
      </c>
      <c r="BO126" s="20">
        <v>20.0</v>
      </c>
      <c r="BR126" s="20">
        <v>20.0</v>
      </c>
      <c r="BU126" s="16" t="s">
        <v>218</v>
      </c>
    </row>
    <row r="127">
      <c r="A127" s="16" t="s">
        <v>1493</v>
      </c>
      <c r="B127" s="16" t="s">
        <v>65</v>
      </c>
      <c r="C127" s="22">
        <v>45894.0</v>
      </c>
      <c r="D127" s="16" t="s">
        <v>131</v>
      </c>
      <c r="F127" s="16" t="s">
        <v>1498</v>
      </c>
      <c r="G127" s="16" t="s">
        <v>224</v>
      </c>
      <c r="H127" s="16">
        <v>1.0</v>
      </c>
      <c r="I127" s="20">
        <v>2377.8</v>
      </c>
      <c r="J127" s="20">
        <v>2377.8</v>
      </c>
      <c r="BO127" s="20">
        <v>2377.8</v>
      </c>
      <c r="BR127" s="20">
        <v>2377.8</v>
      </c>
      <c r="BU127" s="16" t="s">
        <v>218</v>
      </c>
    </row>
    <row r="128">
      <c r="A128" s="16" t="s">
        <v>1506</v>
      </c>
      <c r="B128" s="16" t="s">
        <v>65</v>
      </c>
      <c r="C128" s="22">
        <v>45894.0</v>
      </c>
      <c r="D128" s="16" t="s">
        <v>131</v>
      </c>
      <c r="F128" s="16" t="s">
        <v>1514</v>
      </c>
      <c r="G128" s="16" t="s">
        <v>224</v>
      </c>
      <c r="H128" s="16">
        <v>1.0</v>
      </c>
      <c r="I128" s="20">
        <v>1008.99</v>
      </c>
      <c r="J128" s="20">
        <v>1008.99</v>
      </c>
      <c r="BO128" s="20">
        <v>1008.99</v>
      </c>
      <c r="BR128" s="20">
        <v>1008.99</v>
      </c>
      <c r="BU128" s="16" t="s">
        <v>218</v>
      </c>
    </row>
    <row r="129">
      <c r="A129" s="16" t="s">
        <v>1523</v>
      </c>
      <c r="B129" s="16" t="s">
        <v>65</v>
      </c>
      <c r="C129" s="22">
        <v>45894.0</v>
      </c>
      <c r="D129" s="16" t="s">
        <v>131</v>
      </c>
      <c r="F129" s="16" t="s">
        <v>1530</v>
      </c>
      <c r="G129" s="16" t="s">
        <v>224</v>
      </c>
      <c r="H129" s="16">
        <v>1.0</v>
      </c>
      <c r="I129" s="20">
        <v>8.0</v>
      </c>
      <c r="J129" s="20">
        <v>8.0</v>
      </c>
      <c r="BO129" s="20">
        <v>8.0</v>
      </c>
      <c r="BR129" s="20">
        <v>8.0</v>
      </c>
      <c r="BU129" s="16" t="s">
        <v>218</v>
      </c>
    </row>
    <row r="130">
      <c r="A130" s="16" t="s">
        <v>1320</v>
      </c>
      <c r="B130" s="16" t="s">
        <v>65</v>
      </c>
      <c r="C130" s="22">
        <v>45894.0</v>
      </c>
      <c r="D130" s="16" t="s">
        <v>1322</v>
      </c>
      <c r="F130" s="16" t="s">
        <v>1324</v>
      </c>
      <c r="G130" s="16" t="s">
        <v>1325</v>
      </c>
      <c r="H130" s="16">
        <v>1.0</v>
      </c>
      <c r="I130" s="20">
        <v>324.0</v>
      </c>
      <c r="J130" s="20">
        <v>324.0</v>
      </c>
      <c r="BO130" s="20">
        <v>324.0</v>
      </c>
      <c r="BR130" s="20">
        <v>324.0</v>
      </c>
      <c r="BU130" s="16" t="s">
        <v>218</v>
      </c>
    </row>
    <row r="131">
      <c r="A131" s="16" t="s">
        <v>1312</v>
      </c>
      <c r="B131" s="16" t="s">
        <v>65</v>
      </c>
      <c r="C131" s="22">
        <v>45894.0</v>
      </c>
      <c r="D131" s="16" t="s">
        <v>1175</v>
      </c>
      <c r="F131" s="16" t="s">
        <v>1219</v>
      </c>
      <c r="G131" s="16" t="s">
        <v>372</v>
      </c>
      <c r="H131" s="16">
        <v>1.0</v>
      </c>
      <c r="I131" s="20">
        <v>292.0</v>
      </c>
      <c r="J131" s="20">
        <v>292.0</v>
      </c>
      <c r="BO131" s="20">
        <v>292.0</v>
      </c>
      <c r="BR131" s="20">
        <v>292.0</v>
      </c>
      <c r="BU131" s="16" t="s">
        <v>218</v>
      </c>
    </row>
    <row r="132">
      <c r="A132" s="16" t="s">
        <v>1576</v>
      </c>
      <c r="B132" s="16" t="s">
        <v>65</v>
      </c>
      <c r="C132" s="22">
        <v>45897.0</v>
      </c>
      <c r="D132" s="16" t="s">
        <v>131</v>
      </c>
      <c r="F132" s="16" t="s">
        <v>1581</v>
      </c>
      <c r="G132" s="16" t="s">
        <v>224</v>
      </c>
      <c r="H132" s="16">
        <v>1.0</v>
      </c>
      <c r="I132" s="20">
        <v>4616.0</v>
      </c>
      <c r="J132" s="20">
        <v>4616.0</v>
      </c>
      <c r="BO132" s="20">
        <v>4616.0</v>
      </c>
      <c r="BR132" s="20">
        <v>4616.0</v>
      </c>
      <c r="BU132" s="16" t="s">
        <v>218</v>
      </c>
    </row>
    <row r="133">
      <c r="A133" s="16" t="s">
        <v>1261</v>
      </c>
      <c r="B133" s="16" t="s">
        <v>65</v>
      </c>
      <c r="C133" s="22">
        <v>45901.0</v>
      </c>
      <c r="D133" s="16" t="s">
        <v>342</v>
      </c>
      <c r="F133" s="16" t="s">
        <v>1594</v>
      </c>
      <c r="G133" s="16" t="s">
        <v>347</v>
      </c>
      <c r="H133" s="16">
        <v>1.0</v>
      </c>
      <c r="I133" s="20">
        <v>0.0</v>
      </c>
      <c r="J133" s="20">
        <v>0.0</v>
      </c>
      <c r="BO133" s="20">
        <v>0.0</v>
      </c>
      <c r="BR133" s="20">
        <v>0.0</v>
      </c>
      <c r="BU133" s="16" t="s">
        <v>218</v>
      </c>
    </row>
    <row r="134">
      <c r="A134" s="16" t="s">
        <v>1358</v>
      </c>
      <c r="B134" s="16" t="s">
        <v>65</v>
      </c>
      <c r="C134" s="22">
        <v>45901.0</v>
      </c>
      <c r="D134" s="16" t="s">
        <v>398</v>
      </c>
      <c r="F134" s="16" t="s">
        <v>1219</v>
      </c>
      <c r="G134" s="16" t="s">
        <v>401</v>
      </c>
      <c r="H134" s="16">
        <v>1.0</v>
      </c>
      <c r="I134" s="20">
        <v>7000.0</v>
      </c>
      <c r="J134" s="20">
        <v>7000.0</v>
      </c>
      <c r="BO134" s="20">
        <v>7000.0</v>
      </c>
      <c r="BR134" s="20">
        <v>7000.0</v>
      </c>
      <c r="BU134" s="16" t="s">
        <v>218</v>
      </c>
    </row>
    <row r="135">
      <c r="A135" s="16" t="s">
        <v>1330</v>
      </c>
      <c r="B135" s="16" t="s">
        <v>65</v>
      </c>
      <c r="C135" s="22">
        <v>45903.0</v>
      </c>
      <c r="F135" s="16" t="s">
        <v>1609</v>
      </c>
      <c r="G135" s="16" t="s">
        <v>372</v>
      </c>
      <c r="H135" s="16">
        <v>1.0</v>
      </c>
      <c r="I135" s="20">
        <v>2693.8</v>
      </c>
      <c r="J135" s="20">
        <v>2693.8</v>
      </c>
      <c r="BO135" s="20">
        <v>2693.8</v>
      </c>
      <c r="BR135" s="20">
        <v>2693.8</v>
      </c>
      <c r="BU135" s="16" t="s">
        <v>218</v>
      </c>
      <c r="BV135" s="16" t="s">
        <v>132</v>
      </c>
    </row>
    <row r="136">
      <c r="A136" s="16" t="s">
        <v>1617</v>
      </c>
      <c r="B136" s="16" t="s">
        <v>65</v>
      </c>
      <c r="C136" s="22">
        <v>45903.0</v>
      </c>
      <c r="F136" s="16" t="s">
        <v>1609</v>
      </c>
      <c r="G136" s="16" t="s">
        <v>372</v>
      </c>
      <c r="H136" s="16">
        <v>1.0</v>
      </c>
      <c r="I136" s="20">
        <v>1998.77</v>
      </c>
      <c r="J136" s="20">
        <v>1998.77</v>
      </c>
      <c r="BO136" s="20">
        <v>1998.77</v>
      </c>
      <c r="BR136" s="20">
        <v>1998.77</v>
      </c>
      <c r="BU136" s="16" t="s">
        <v>218</v>
      </c>
      <c r="BV136" s="16" t="s">
        <v>348</v>
      </c>
    </row>
    <row r="137">
      <c r="A137" s="16" t="s">
        <v>1625</v>
      </c>
      <c r="B137" s="16" t="s">
        <v>65</v>
      </c>
      <c r="C137" s="22">
        <v>45903.0</v>
      </c>
      <c r="F137" s="16" t="s">
        <v>1609</v>
      </c>
      <c r="G137" s="16" t="s">
        <v>372</v>
      </c>
      <c r="H137" s="16">
        <v>1.0</v>
      </c>
      <c r="I137" s="20">
        <v>1977.12</v>
      </c>
      <c r="J137" s="20">
        <v>1977.12</v>
      </c>
      <c r="BO137" s="20">
        <v>1977.12</v>
      </c>
      <c r="BR137" s="20">
        <v>1977.12</v>
      </c>
      <c r="BU137" s="16" t="s">
        <v>218</v>
      </c>
      <c r="BV137" s="16" t="s">
        <v>754</v>
      </c>
    </row>
    <row r="138">
      <c r="A138" s="16" t="s">
        <v>1634</v>
      </c>
      <c r="B138" s="16" t="s">
        <v>65</v>
      </c>
      <c r="C138" s="22">
        <v>45903.0</v>
      </c>
      <c r="F138" s="16" t="s">
        <v>1609</v>
      </c>
      <c r="G138" s="16" t="s">
        <v>372</v>
      </c>
      <c r="H138" s="16">
        <v>1.0</v>
      </c>
      <c r="I138" s="20">
        <v>2001.65</v>
      </c>
      <c r="J138" s="20">
        <v>2001.65</v>
      </c>
      <c r="BO138" s="20">
        <v>2001.65</v>
      </c>
      <c r="BR138" s="20">
        <v>2001.65</v>
      </c>
      <c r="BU138" s="16" t="s">
        <v>218</v>
      </c>
      <c r="BV138" s="20">
        <v>5.7411272E7</v>
      </c>
    </row>
    <row r="139">
      <c r="A139" s="16" t="s">
        <v>1378</v>
      </c>
      <c r="B139" s="16" t="s">
        <v>65</v>
      </c>
      <c r="C139" s="22">
        <v>45910.0</v>
      </c>
      <c r="D139" s="16" t="s">
        <v>1159</v>
      </c>
      <c r="F139" s="16" t="s">
        <v>1383</v>
      </c>
      <c r="G139" s="16" t="s">
        <v>1164</v>
      </c>
      <c r="H139" s="16">
        <v>1.0</v>
      </c>
      <c r="I139" s="20">
        <v>500.0</v>
      </c>
      <c r="J139" s="20">
        <v>500.0</v>
      </c>
      <c r="BO139" s="20">
        <v>500.0</v>
      </c>
      <c r="BR139" s="20">
        <v>500.0</v>
      </c>
      <c r="BU139" s="16" t="s">
        <v>218</v>
      </c>
    </row>
    <row r="140">
      <c r="A140" s="16" t="s">
        <v>1386</v>
      </c>
      <c r="B140" s="16" t="s">
        <v>65</v>
      </c>
      <c r="C140" s="22">
        <v>45910.0</v>
      </c>
      <c r="D140" s="16" t="s">
        <v>1664</v>
      </c>
      <c r="F140" s="16" t="s">
        <v>1389</v>
      </c>
      <c r="G140" s="16" t="s">
        <v>197</v>
      </c>
      <c r="H140" s="16">
        <v>1.0</v>
      </c>
      <c r="I140" s="20">
        <v>77.96</v>
      </c>
      <c r="J140" s="20">
        <v>77.96</v>
      </c>
      <c r="BO140" s="20">
        <v>77.96</v>
      </c>
      <c r="BR140" s="20">
        <v>77.96</v>
      </c>
      <c r="BU140" s="16" t="s">
        <v>218</v>
      </c>
    </row>
    <row r="141">
      <c r="A141" s="16" t="s">
        <v>1401</v>
      </c>
      <c r="B141" s="16" t="s">
        <v>65</v>
      </c>
      <c r="C141" s="22">
        <v>45910.0</v>
      </c>
      <c r="D141" s="16" t="s">
        <v>131</v>
      </c>
      <c r="F141" s="16" t="s">
        <v>1404</v>
      </c>
      <c r="G141" s="16" t="s">
        <v>1405</v>
      </c>
      <c r="H141" s="16">
        <v>1.0</v>
      </c>
      <c r="I141" s="20">
        <v>1110.0</v>
      </c>
      <c r="J141" s="20">
        <v>1110.0</v>
      </c>
      <c r="BO141" s="20">
        <v>1110.0</v>
      </c>
      <c r="BR141" s="20">
        <v>1110.0</v>
      </c>
      <c r="BU141" s="16" t="s">
        <v>218</v>
      </c>
    </row>
    <row r="142">
      <c r="A142" s="16" t="s">
        <v>1409</v>
      </c>
      <c r="B142" s="16" t="s">
        <v>65</v>
      </c>
      <c r="C142" s="22">
        <v>45910.0</v>
      </c>
      <c r="D142" s="16" t="s">
        <v>131</v>
      </c>
      <c r="F142" s="16" t="s">
        <v>1411</v>
      </c>
      <c r="G142" s="16" t="s">
        <v>1414</v>
      </c>
      <c r="H142" s="16">
        <v>1.0</v>
      </c>
      <c r="I142" s="20">
        <v>625.0</v>
      </c>
      <c r="J142" s="20">
        <v>625.0</v>
      </c>
      <c r="BO142" s="20">
        <v>625.0</v>
      </c>
      <c r="BR142" s="20">
        <v>625.0</v>
      </c>
      <c r="BU142" s="16" t="s">
        <v>218</v>
      </c>
    </row>
    <row r="143">
      <c r="A143" s="16" t="s">
        <v>1419</v>
      </c>
      <c r="B143" s="16" t="s">
        <v>65</v>
      </c>
      <c r="C143" s="22">
        <v>45910.0</v>
      </c>
      <c r="D143" s="16" t="s">
        <v>131</v>
      </c>
      <c r="F143" s="16" t="s">
        <v>1421</v>
      </c>
      <c r="G143" s="16" t="s">
        <v>1423</v>
      </c>
      <c r="H143" s="16">
        <v>1.0</v>
      </c>
      <c r="I143" s="20">
        <v>375.0</v>
      </c>
      <c r="J143" s="20">
        <v>375.0</v>
      </c>
      <c r="BO143" s="20">
        <v>375.0</v>
      </c>
      <c r="BR143" s="20">
        <v>375.0</v>
      </c>
      <c r="BU143" s="16" t="s">
        <v>218</v>
      </c>
    </row>
    <row r="144">
      <c r="A144" s="16" t="s">
        <v>1713</v>
      </c>
      <c r="B144" s="16" t="s">
        <v>65</v>
      </c>
      <c r="C144" s="22">
        <v>45915.0</v>
      </c>
      <c r="D144" s="16" t="s">
        <v>131</v>
      </c>
      <c r="F144" s="16" t="s">
        <v>1716</v>
      </c>
      <c r="G144" s="16" t="s">
        <v>224</v>
      </c>
      <c r="H144" s="16">
        <v>1.0</v>
      </c>
      <c r="I144" s="20">
        <v>4746.98</v>
      </c>
      <c r="J144" s="20">
        <v>4746.98</v>
      </c>
      <c r="BO144" s="20">
        <v>4746.98</v>
      </c>
      <c r="BR144" s="20">
        <v>4746.98</v>
      </c>
      <c r="BU144" s="16" t="s">
        <v>218</v>
      </c>
    </row>
    <row r="145">
      <c r="A145" s="16" t="s">
        <v>1723</v>
      </c>
      <c r="B145" s="16" t="s">
        <v>65</v>
      </c>
      <c r="C145" s="22">
        <v>45915.0</v>
      </c>
      <c r="D145" s="16" t="s">
        <v>131</v>
      </c>
      <c r="F145" s="16" t="s">
        <v>1725</v>
      </c>
      <c r="G145" s="16" t="s">
        <v>224</v>
      </c>
      <c r="H145" s="16">
        <v>1.0</v>
      </c>
      <c r="I145" s="20">
        <v>84.0</v>
      </c>
      <c r="J145" s="20">
        <v>84.0</v>
      </c>
      <c r="BO145" s="20">
        <v>84.0</v>
      </c>
      <c r="BR145" s="20">
        <v>84.0</v>
      </c>
      <c r="BU145" s="16" t="s">
        <v>218</v>
      </c>
    </row>
    <row r="146">
      <c r="A146" s="16" t="s">
        <v>1215</v>
      </c>
      <c r="B146" s="16" t="s">
        <v>65</v>
      </c>
      <c r="C146" s="22">
        <v>45915.0</v>
      </c>
      <c r="D146" s="16" t="s">
        <v>1159</v>
      </c>
      <c r="F146" s="16" t="s">
        <v>1219</v>
      </c>
      <c r="G146" s="16" t="s">
        <v>1220</v>
      </c>
      <c r="H146" s="16">
        <v>1.0</v>
      </c>
      <c r="I146" s="20">
        <v>917.33</v>
      </c>
      <c r="J146" s="20">
        <v>917.33</v>
      </c>
      <c r="BO146" s="20">
        <v>917.33</v>
      </c>
      <c r="BR146" s="20">
        <v>917.33</v>
      </c>
      <c r="BU146" s="16" t="s">
        <v>218</v>
      </c>
    </row>
    <row r="147">
      <c r="A147" s="16" t="s">
        <v>1737</v>
      </c>
      <c r="B147" s="16" t="s">
        <v>65</v>
      </c>
      <c r="C147" s="22">
        <v>45915.0</v>
      </c>
      <c r="D147" s="16" t="s">
        <v>131</v>
      </c>
      <c r="F147" s="16" t="s">
        <v>1740</v>
      </c>
      <c r="G147" s="16" t="s">
        <v>224</v>
      </c>
      <c r="H147" s="16">
        <v>1.0</v>
      </c>
      <c r="I147" s="20">
        <v>1773.74</v>
      </c>
      <c r="J147" s="20">
        <v>1773.74</v>
      </c>
      <c r="BO147" s="20">
        <v>1773.74</v>
      </c>
      <c r="BR147" s="20">
        <v>1773.74</v>
      </c>
      <c r="BU147" s="16" t="s">
        <v>218</v>
      </c>
    </row>
    <row r="148">
      <c r="A148" s="16" t="s">
        <v>1225</v>
      </c>
      <c r="B148" s="16" t="s">
        <v>65</v>
      </c>
      <c r="C148" s="22">
        <v>45915.0</v>
      </c>
      <c r="D148" s="16" t="s">
        <v>1159</v>
      </c>
      <c r="F148" s="16" t="s">
        <v>1231</v>
      </c>
      <c r="G148" s="16" t="s">
        <v>1232</v>
      </c>
      <c r="H148" s="16">
        <v>1.0</v>
      </c>
      <c r="I148" s="20">
        <v>744.05</v>
      </c>
      <c r="J148" s="20">
        <v>744.05</v>
      </c>
      <c r="BO148" s="20">
        <v>744.05</v>
      </c>
      <c r="BR148" s="20">
        <v>744.05</v>
      </c>
      <c r="BU148" s="16" t="s">
        <v>218</v>
      </c>
    </row>
    <row r="149">
      <c r="A149" s="16" t="s">
        <v>1238</v>
      </c>
      <c r="B149" s="16" t="s">
        <v>65</v>
      </c>
      <c r="C149" s="22">
        <v>45917.0</v>
      </c>
      <c r="D149" s="16" t="s">
        <v>1159</v>
      </c>
      <c r="F149" s="16" t="s">
        <v>1243</v>
      </c>
      <c r="G149" s="16" t="s">
        <v>1244</v>
      </c>
      <c r="H149" s="16">
        <v>1.0</v>
      </c>
      <c r="I149" s="20">
        <v>6844.89</v>
      </c>
      <c r="J149" s="20">
        <v>6844.89</v>
      </c>
      <c r="BO149" s="20">
        <v>6844.89</v>
      </c>
      <c r="BR149" s="20">
        <v>6844.89</v>
      </c>
      <c r="BU149" s="16" t="s">
        <v>218</v>
      </c>
    </row>
    <row r="150">
      <c r="A150" s="16" t="s">
        <v>1772</v>
      </c>
      <c r="B150" s="16" t="s">
        <v>65</v>
      </c>
      <c r="C150" s="22">
        <v>45929.0</v>
      </c>
      <c r="D150" s="16" t="s">
        <v>131</v>
      </c>
      <c r="F150" s="16" t="s">
        <v>1776</v>
      </c>
      <c r="G150" s="16" t="s">
        <v>224</v>
      </c>
      <c r="H150" s="16">
        <v>1.0</v>
      </c>
      <c r="I150" s="20">
        <v>3191.92</v>
      </c>
      <c r="J150" s="20">
        <v>3191.92</v>
      </c>
      <c r="BO150" s="20">
        <v>3191.92</v>
      </c>
      <c r="BR150" s="20">
        <v>3191.92</v>
      </c>
      <c r="BU150" s="16" t="s">
        <v>218</v>
      </c>
    </row>
    <row r="151">
      <c r="A151" s="16" t="s">
        <v>1786</v>
      </c>
      <c r="B151" s="16" t="s">
        <v>65</v>
      </c>
      <c r="C151" s="22">
        <v>45929.0</v>
      </c>
      <c r="D151" s="16" t="s">
        <v>131</v>
      </c>
      <c r="F151" s="16" t="s">
        <v>1791</v>
      </c>
      <c r="G151" s="16" t="s">
        <v>1793</v>
      </c>
      <c r="H151" s="16">
        <v>1.0</v>
      </c>
      <c r="I151" s="20">
        <v>8.0</v>
      </c>
      <c r="J151" s="20">
        <v>8.0</v>
      </c>
      <c r="BO151" s="20">
        <v>8.0</v>
      </c>
      <c r="BR151" s="20">
        <v>8.0</v>
      </c>
      <c r="BU151" s="16" t="s">
        <v>218</v>
      </c>
    </row>
    <row r="152">
      <c r="A152" s="16" t="s">
        <v>1804</v>
      </c>
      <c r="B152" s="16" t="s">
        <v>65</v>
      </c>
      <c r="C152" s="22">
        <v>45929.0</v>
      </c>
      <c r="D152" s="16" t="s">
        <v>131</v>
      </c>
      <c r="F152" s="16" t="s">
        <v>1809</v>
      </c>
      <c r="G152" s="16" t="s">
        <v>224</v>
      </c>
      <c r="H152" s="16">
        <v>1.0</v>
      </c>
      <c r="I152" s="20">
        <v>2224.59</v>
      </c>
      <c r="J152" s="20">
        <v>2224.59</v>
      </c>
      <c r="BO152" s="20">
        <v>2224.59</v>
      </c>
      <c r="BR152" s="20">
        <v>2224.59</v>
      </c>
      <c r="BU152" s="16" t="s">
        <v>218</v>
      </c>
    </row>
    <row r="153">
      <c r="A153" s="16" t="s">
        <v>1312</v>
      </c>
      <c r="B153" s="16" t="s">
        <v>65</v>
      </c>
      <c r="C153" s="22">
        <v>45929.0</v>
      </c>
      <c r="D153" s="16" t="s">
        <v>1175</v>
      </c>
      <c r="F153" s="16" t="s">
        <v>1219</v>
      </c>
      <c r="G153" s="16" t="s">
        <v>372</v>
      </c>
      <c r="H153" s="16">
        <v>1.0</v>
      </c>
      <c r="I153" s="20">
        <v>292.0</v>
      </c>
      <c r="J153" s="20">
        <v>292.0</v>
      </c>
      <c r="BO153" s="20">
        <v>292.0</v>
      </c>
      <c r="BR153" s="20">
        <v>292.0</v>
      </c>
      <c r="BU153" s="16" t="s">
        <v>218</v>
      </c>
    </row>
    <row r="154">
      <c r="A154" s="16" t="s">
        <v>1320</v>
      </c>
      <c r="B154" s="16" t="s">
        <v>65</v>
      </c>
      <c r="C154" s="22">
        <v>45929.0</v>
      </c>
      <c r="D154" s="16" t="s">
        <v>1322</v>
      </c>
      <c r="F154" s="16" t="s">
        <v>1324</v>
      </c>
      <c r="G154" s="16" t="s">
        <v>1325</v>
      </c>
      <c r="H154" s="16">
        <v>1.0</v>
      </c>
      <c r="I154" s="20">
        <v>324.0</v>
      </c>
      <c r="J154" s="20">
        <v>324.0</v>
      </c>
      <c r="BO154" s="20">
        <v>324.0</v>
      </c>
      <c r="BR154" s="20">
        <v>324.0</v>
      </c>
      <c r="BU154" s="16" t="s">
        <v>218</v>
      </c>
    </row>
    <row r="155">
      <c r="A155" s="16" t="s">
        <v>1358</v>
      </c>
      <c r="B155" s="16" t="s">
        <v>65</v>
      </c>
      <c r="C155" s="22">
        <v>45929.0</v>
      </c>
      <c r="D155" s="16" t="s">
        <v>398</v>
      </c>
      <c r="F155" s="16" t="s">
        <v>1219</v>
      </c>
      <c r="G155" s="16" t="s">
        <v>401</v>
      </c>
      <c r="H155" s="16">
        <v>1.0</v>
      </c>
      <c r="I155" s="20">
        <v>7000.0</v>
      </c>
      <c r="J155" s="20">
        <v>7000.0</v>
      </c>
      <c r="BO155" s="20">
        <v>7000.0</v>
      </c>
      <c r="BR155" s="20">
        <v>7000.0</v>
      </c>
      <c r="BU155" s="16" t="s">
        <v>218</v>
      </c>
    </row>
    <row r="156">
      <c r="C156" s="22"/>
    </row>
    <row r="157">
      <c r="C157" s="22"/>
    </row>
    <row r="158">
      <c r="C158" s="22"/>
    </row>
    <row r="159">
      <c r="C159" s="22"/>
    </row>
    <row r="160">
      <c r="C160" s="22"/>
    </row>
    <row r="161">
      <c r="C161" s="22"/>
    </row>
    <row r="162">
      <c r="C162" s="22"/>
    </row>
    <row r="163">
      <c r="C163" s="22"/>
    </row>
    <row r="164">
      <c r="C164" s="22"/>
    </row>
    <row r="165">
      <c r="C165" s="22"/>
    </row>
    <row r="166">
      <c r="C166" s="22"/>
    </row>
    <row r="167">
      <c r="C167" s="22"/>
    </row>
    <row r="168">
      <c r="C168" s="22"/>
    </row>
    <row r="169">
      <c r="C169" s="22"/>
    </row>
    <row r="170">
      <c r="C170" s="22"/>
    </row>
    <row r="171">
      <c r="C171" s="22"/>
    </row>
    <row r="172">
      <c r="C172" s="22"/>
    </row>
    <row r="173">
      <c r="C173" s="22"/>
    </row>
    <row r="174">
      <c r="C174" s="22"/>
    </row>
    <row r="175">
      <c r="C175" s="22"/>
    </row>
    <row r="176">
      <c r="C176" s="22"/>
    </row>
    <row r="177">
      <c r="C177" s="22"/>
    </row>
    <row r="178">
      <c r="C178" s="22"/>
    </row>
    <row r="179">
      <c r="C179" s="22"/>
    </row>
    <row r="180">
      <c r="C180" s="22"/>
    </row>
    <row r="181">
      <c r="C181" s="22"/>
    </row>
    <row r="182">
      <c r="C182" s="22"/>
    </row>
    <row r="183">
      <c r="C183" s="22"/>
    </row>
    <row r="184">
      <c r="C184" s="22"/>
    </row>
    <row r="185">
      <c r="C185" s="22"/>
    </row>
    <row r="186">
      <c r="C186" s="22"/>
    </row>
    <row r="187">
      <c r="C187" s="22"/>
    </row>
    <row r="188">
      <c r="C188" s="22"/>
    </row>
    <row r="189">
      <c r="C189" s="22"/>
    </row>
    <row r="190">
      <c r="C190" s="22"/>
    </row>
    <row r="191">
      <c r="C191" s="22"/>
    </row>
    <row r="192">
      <c r="C192" s="22"/>
    </row>
    <row r="193">
      <c r="C193" s="22"/>
    </row>
    <row r="194">
      <c r="C194" s="22"/>
    </row>
    <row r="195">
      <c r="C195" s="22"/>
    </row>
    <row r="196">
      <c r="C196" s="22"/>
    </row>
    <row r="197">
      <c r="C197" s="22"/>
    </row>
    <row r="198">
      <c r="C198" s="22"/>
    </row>
    <row r="199">
      <c r="C199" s="22"/>
    </row>
    <row r="200">
      <c r="C200" s="22"/>
    </row>
    <row r="201">
      <c r="C201" s="22"/>
    </row>
    <row r="202">
      <c r="C202" s="22"/>
    </row>
    <row r="203">
      <c r="C203" s="22"/>
    </row>
    <row r="204">
      <c r="C204" s="22"/>
    </row>
    <row r="205">
      <c r="C205" s="22"/>
    </row>
    <row r="206">
      <c r="C206" s="22"/>
    </row>
    <row r="207">
      <c r="C207" s="22"/>
    </row>
    <row r="208">
      <c r="C208" s="22"/>
    </row>
    <row r="209">
      <c r="C209" s="22"/>
    </row>
    <row r="210">
      <c r="C210" s="22"/>
    </row>
    <row r="211">
      <c r="C211" s="22"/>
    </row>
    <row r="212">
      <c r="C212" s="22"/>
    </row>
    <row r="213">
      <c r="C213" s="22"/>
    </row>
    <row r="214">
      <c r="C214" s="22"/>
    </row>
    <row r="215">
      <c r="C215" s="22"/>
    </row>
    <row r="216">
      <c r="C216" s="22"/>
    </row>
    <row r="217">
      <c r="C217" s="22"/>
    </row>
    <row r="218">
      <c r="C218" s="22"/>
    </row>
    <row r="219">
      <c r="C219" s="22"/>
      <c r="F219" s="22"/>
    </row>
    <row r="220">
      <c r="C220" s="22"/>
    </row>
    <row r="221">
      <c r="C221" s="22"/>
    </row>
    <row r="222">
      <c r="C222" s="22"/>
    </row>
    <row r="223">
      <c r="C223" s="22"/>
    </row>
    <row r="224">
      <c r="C224" s="22"/>
    </row>
    <row r="225">
      <c r="C225" s="22"/>
    </row>
    <row r="226">
      <c r="C226" s="22"/>
    </row>
    <row r="227">
      <c r="C227" s="22"/>
    </row>
    <row r="228">
      <c r="C228" s="22"/>
    </row>
    <row r="229">
      <c r="C229" s="22"/>
    </row>
    <row r="230">
      <c r="C230" s="22"/>
    </row>
    <row r="231">
      <c r="C231" s="22"/>
    </row>
    <row r="232">
      <c r="C232" s="22"/>
    </row>
    <row r="233">
      <c r="C233" s="22"/>
    </row>
    <row r="234">
      <c r="C234" s="22"/>
    </row>
    <row r="235">
      <c r="C235" s="22"/>
    </row>
    <row r="236">
      <c r="C236" s="22"/>
    </row>
    <row r="237">
      <c r="C237" s="22"/>
    </row>
    <row r="238">
      <c r="C238" s="22"/>
    </row>
    <row r="239">
      <c r="C239" s="22"/>
    </row>
    <row r="240">
      <c r="C240" s="22"/>
    </row>
    <row r="241">
      <c r="C241" s="22"/>
    </row>
    <row r="242">
      <c r="C242" s="22"/>
    </row>
    <row r="243">
      <c r="C243" s="22"/>
    </row>
    <row r="244">
      <c r="C244" s="22"/>
    </row>
    <row r="245">
      <c r="C245" s="22"/>
    </row>
    <row r="246">
      <c r="C246" s="22"/>
    </row>
    <row r="247">
      <c r="C247" s="22"/>
    </row>
    <row r="248">
      <c r="C248" s="22"/>
    </row>
    <row r="249">
      <c r="C249" s="22"/>
    </row>
    <row r="250">
      <c r="C250" s="22"/>
    </row>
    <row r="251">
      <c r="C251" s="22"/>
    </row>
    <row r="252">
      <c r="C252" s="22"/>
    </row>
    <row r="253">
      <c r="C253" s="22"/>
    </row>
    <row r="254">
      <c r="C254" s="22"/>
    </row>
    <row r="255">
      <c r="C255" s="22"/>
    </row>
    <row r="256">
      <c r="C256" s="22"/>
    </row>
    <row r="257">
      <c r="C257" s="22"/>
    </row>
    <row r="258">
      <c r="C258" s="22"/>
    </row>
    <row r="259">
      <c r="C259" s="22"/>
    </row>
    <row r="260">
      <c r="C260" s="22"/>
    </row>
    <row r="261">
      <c r="C261" s="22"/>
    </row>
    <row r="262">
      <c r="C262" s="22"/>
    </row>
    <row r="263">
      <c r="C263" s="22"/>
    </row>
    <row r="264">
      <c r="C264" s="22"/>
    </row>
    <row r="265">
      <c r="C265" s="22"/>
    </row>
    <row r="266">
      <c r="C266" s="22"/>
    </row>
    <row r="267">
      <c r="C267" s="22"/>
    </row>
    <row r="268">
      <c r="C268" s="22"/>
    </row>
    <row r="269">
      <c r="C269" s="22"/>
    </row>
    <row r="270">
      <c r="C270" s="22"/>
    </row>
    <row r="271">
      <c r="C271" s="22"/>
    </row>
    <row r="272">
      <c r="C272" s="22"/>
    </row>
    <row r="273">
      <c r="C273" s="22"/>
    </row>
    <row r="274">
      <c r="C274" s="22"/>
    </row>
    <row r="275">
      <c r="C275" s="22"/>
    </row>
    <row r="276">
      <c r="C276" s="22"/>
    </row>
    <row r="277">
      <c r="C277" s="22"/>
    </row>
    <row r="278">
      <c r="C278" s="22"/>
    </row>
    <row r="279">
      <c r="C279" s="22"/>
    </row>
    <row r="280">
      <c r="C280" s="22"/>
    </row>
    <row r="281">
      <c r="C281" s="22"/>
    </row>
    <row r="282">
      <c r="C282" s="22"/>
    </row>
    <row r="283">
      <c r="C283" s="22"/>
    </row>
    <row r="284">
      <c r="C284" s="22"/>
    </row>
    <row r="285">
      <c r="C285" s="22"/>
    </row>
    <row r="286">
      <c r="C286" s="22"/>
    </row>
    <row r="287">
      <c r="C287" s="22"/>
    </row>
    <row r="288">
      <c r="C288" s="22"/>
    </row>
    <row r="289">
      <c r="C289" s="22"/>
    </row>
    <row r="290">
      <c r="C290" s="22"/>
    </row>
    <row r="291">
      <c r="C291" s="22"/>
    </row>
    <row r="292">
      <c r="C292" s="22"/>
    </row>
    <row r="293">
      <c r="C293" s="22"/>
    </row>
    <row r="294">
      <c r="C294" s="22"/>
    </row>
    <row r="295">
      <c r="C295" s="22"/>
    </row>
    <row r="296">
      <c r="C296" s="22"/>
    </row>
    <row r="297">
      <c r="C297" s="22"/>
    </row>
    <row r="298">
      <c r="C298" s="22"/>
    </row>
    <row r="299">
      <c r="C299" s="22"/>
    </row>
    <row r="300">
      <c r="C300" s="22"/>
    </row>
    <row r="301">
      <c r="C301" s="22"/>
    </row>
    <row r="302">
      <c r="C302" s="22"/>
    </row>
    <row r="303">
      <c r="C303" s="22"/>
    </row>
    <row r="304">
      <c r="C304" s="22"/>
    </row>
    <row r="305">
      <c r="C305" s="22"/>
    </row>
    <row r="306">
      <c r="C306" s="22"/>
    </row>
    <row r="307">
      <c r="C307" s="22"/>
    </row>
    <row r="308">
      <c r="C308" s="22"/>
    </row>
    <row r="309">
      <c r="C309" s="22"/>
    </row>
    <row r="310">
      <c r="C310" s="22"/>
    </row>
    <row r="311">
      <c r="C311" s="22"/>
    </row>
    <row r="312">
      <c r="C312" s="22"/>
    </row>
    <row r="313">
      <c r="C313" s="22"/>
    </row>
    <row r="314">
      <c r="C314" s="22"/>
    </row>
    <row r="315">
      <c r="C315" s="22"/>
    </row>
    <row r="316">
      <c r="C316" s="22"/>
    </row>
    <row r="317">
      <c r="C317" s="22"/>
    </row>
    <row r="318">
      <c r="C318" s="22"/>
    </row>
    <row r="319">
      <c r="C319" s="22"/>
    </row>
    <row r="320">
      <c r="C320" s="22"/>
    </row>
    <row r="321">
      <c r="C321" s="22"/>
    </row>
    <row r="322">
      <c r="C322" s="22"/>
    </row>
    <row r="323">
      <c r="C323" s="22"/>
    </row>
    <row r="324">
      <c r="C324" s="22"/>
    </row>
    <row r="325">
      <c r="C325" s="22"/>
    </row>
    <row r="326">
      <c r="C326" s="22"/>
    </row>
    <row r="327">
      <c r="C327" s="22"/>
    </row>
    <row r="328">
      <c r="C328" s="22"/>
    </row>
    <row r="329">
      <c r="C329" s="22"/>
    </row>
    <row r="330">
      <c r="C330" s="22"/>
    </row>
    <row r="331">
      <c r="C331" s="22"/>
    </row>
    <row r="332">
      <c r="C332" s="22"/>
    </row>
    <row r="333">
      <c r="C333" s="22"/>
    </row>
    <row r="334">
      <c r="C334" s="22"/>
    </row>
    <row r="335">
      <c r="C335" s="22"/>
    </row>
    <row r="336">
      <c r="C336" s="22"/>
    </row>
    <row r="337">
      <c r="C337" s="22"/>
    </row>
    <row r="338">
      <c r="C338" s="22"/>
    </row>
    <row r="339">
      <c r="C339" s="22"/>
    </row>
    <row r="340">
      <c r="C340" s="22"/>
    </row>
    <row r="341">
      <c r="C341" s="22"/>
    </row>
    <row r="342">
      <c r="C342" s="22"/>
    </row>
    <row r="343">
      <c r="C343" s="22"/>
    </row>
    <row r="344">
      <c r="C344" s="22"/>
    </row>
    <row r="345">
      <c r="C345" s="22"/>
    </row>
    <row r="346">
      <c r="C346" s="22"/>
    </row>
    <row r="347">
      <c r="C347" s="22"/>
    </row>
    <row r="348">
      <c r="C348" s="22"/>
    </row>
    <row r="349">
      <c r="C349" s="22"/>
    </row>
    <row r="350">
      <c r="C350" s="22"/>
    </row>
    <row r="351">
      <c r="C351" s="22"/>
    </row>
    <row r="352">
      <c r="C352" s="22"/>
    </row>
    <row r="353">
      <c r="C353" s="22"/>
    </row>
    <row r="354">
      <c r="C354" s="22"/>
    </row>
    <row r="355">
      <c r="C355" s="22"/>
    </row>
    <row r="356">
      <c r="C356" s="22"/>
    </row>
    <row r="357">
      <c r="C357" s="22"/>
    </row>
    <row r="358">
      <c r="C358" s="22"/>
    </row>
    <row r="359">
      <c r="C359" s="22"/>
    </row>
    <row r="360">
      <c r="C360" s="22"/>
    </row>
    <row r="361">
      <c r="C361" s="22"/>
    </row>
    <row r="362">
      <c r="C362" s="22"/>
    </row>
    <row r="363">
      <c r="C363" s="22"/>
    </row>
    <row r="364">
      <c r="C364" s="22"/>
    </row>
    <row r="365">
      <c r="C365" s="22"/>
    </row>
    <row r="366">
      <c r="C366" s="22"/>
    </row>
    <row r="367">
      <c r="C367" s="22"/>
    </row>
    <row r="368">
      <c r="C368" s="22"/>
    </row>
    <row r="369">
      <c r="C369" s="22"/>
    </row>
    <row r="370">
      <c r="C370" s="22"/>
    </row>
    <row r="371">
      <c r="C371" s="22"/>
    </row>
    <row r="372">
      <c r="C372" s="22"/>
    </row>
    <row r="373">
      <c r="C373" s="22"/>
    </row>
    <row r="374">
      <c r="C374" s="22"/>
    </row>
    <row r="375">
      <c r="C375" s="22"/>
    </row>
    <row r="376">
      <c r="C376" s="22"/>
    </row>
    <row r="377">
      <c r="C377" s="22"/>
    </row>
    <row r="378">
      <c r="C378" s="22"/>
    </row>
    <row r="379">
      <c r="C379" s="22"/>
    </row>
    <row r="380">
      <c r="C380" s="22"/>
    </row>
    <row r="381">
      <c r="C381" s="22"/>
    </row>
    <row r="382">
      <c r="C382" s="22"/>
    </row>
    <row r="383">
      <c r="C383" s="22"/>
    </row>
    <row r="384">
      <c r="C384" s="22"/>
    </row>
    <row r="385">
      <c r="C385" s="22"/>
    </row>
    <row r="386">
      <c r="C386" s="22"/>
    </row>
    <row r="387">
      <c r="C387" s="22"/>
    </row>
    <row r="388">
      <c r="C388" s="22"/>
    </row>
    <row r="389">
      <c r="C389" s="22"/>
    </row>
    <row r="390">
      <c r="C390" s="22"/>
    </row>
    <row r="391">
      <c r="C391" s="22"/>
    </row>
    <row r="392">
      <c r="C392" s="22"/>
    </row>
    <row r="393">
      <c r="C393" s="22"/>
    </row>
    <row r="394">
      <c r="C394" s="22"/>
    </row>
    <row r="395">
      <c r="C395" s="22"/>
    </row>
    <row r="396">
      <c r="C396" s="22"/>
    </row>
    <row r="397">
      <c r="C397" s="22"/>
    </row>
    <row r="398">
      <c r="C398" s="22"/>
    </row>
    <row r="399">
      <c r="C399" s="22"/>
    </row>
    <row r="400">
      <c r="C400" s="22"/>
    </row>
    <row r="401">
      <c r="C401" s="22"/>
    </row>
    <row r="402">
      <c r="C402" s="22"/>
    </row>
    <row r="403">
      <c r="C403" s="22"/>
    </row>
    <row r="404">
      <c r="C404" s="22"/>
    </row>
    <row r="405">
      <c r="C405" s="22"/>
    </row>
    <row r="406">
      <c r="C406" s="22"/>
    </row>
    <row r="407">
      <c r="C407" s="22"/>
    </row>
    <row r="408">
      <c r="C408" s="22"/>
    </row>
    <row r="409">
      <c r="C409" s="22"/>
    </row>
    <row r="410">
      <c r="C410" s="22"/>
    </row>
    <row r="411">
      <c r="C411" s="22"/>
    </row>
    <row r="412">
      <c r="C412" s="22"/>
    </row>
    <row r="413">
      <c r="C413" s="22"/>
    </row>
    <row r="414">
      <c r="C414" s="22"/>
    </row>
    <row r="415">
      <c r="C415" s="22"/>
    </row>
    <row r="416">
      <c r="C416" s="22"/>
    </row>
    <row r="417">
      <c r="C417" s="22"/>
    </row>
    <row r="418">
      <c r="C418" s="22"/>
    </row>
    <row r="419">
      <c r="C419" s="22"/>
    </row>
    <row r="420">
      <c r="C420" s="22"/>
    </row>
    <row r="421">
      <c r="C421" s="22"/>
    </row>
    <row r="422">
      <c r="C422" s="22"/>
    </row>
    <row r="423">
      <c r="C423" s="22"/>
    </row>
    <row r="424">
      <c r="C424" s="22"/>
    </row>
    <row r="425">
      <c r="C425" s="22"/>
    </row>
    <row r="426">
      <c r="C426" s="22"/>
    </row>
    <row r="427">
      <c r="C427" s="22"/>
    </row>
    <row r="428">
      <c r="C428" s="22"/>
    </row>
    <row r="429">
      <c r="C429" s="22"/>
    </row>
    <row r="430">
      <c r="C430" s="22"/>
    </row>
    <row r="431">
      <c r="C431" s="22"/>
    </row>
    <row r="432">
      <c r="C432" s="22"/>
    </row>
    <row r="433">
      <c r="C433" s="22"/>
    </row>
    <row r="434">
      <c r="C434" s="22"/>
    </row>
    <row r="435">
      <c r="C435" s="22"/>
    </row>
    <row r="436">
      <c r="C436" s="22"/>
    </row>
    <row r="437">
      <c r="C437" s="22"/>
    </row>
    <row r="438">
      <c r="C438" s="22"/>
    </row>
    <row r="439">
      <c r="C439" s="22"/>
    </row>
    <row r="440">
      <c r="C440" s="22"/>
    </row>
    <row r="441">
      <c r="C441" s="22"/>
    </row>
    <row r="442">
      <c r="C442" s="22"/>
    </row>
    <row r="443">
      <c r="C443" s="22"/>
    </row>
    <row r="444">
      <c r="C444" s="22"/>
    </row>
    <row r="445">
      <c r="C445" s="22"/>
    </row>
    <row r="446">
      <c r="C446" s="22"/>
    </row>
    <row r="447">
      <c r="C447" s="22"/>
    </row>
    <row r="448">
      <c r="C448" s="22"/>
    </row>
    <row r="449">
      <c r="C449" s="22"/>
    </row>
    <row r="450">
      <c r="C450" s="22"/>
    </row>
    <row r="451">
      <c r="C451" s="22"/>
    </row>
    <row r="452">
      <c r="C452" s="22"/>
    </row>
    <row r="453">
      <c r="C453" s="22"/>
    </row>
    <row r="454">
      <c r="C454" s="22"/>
    </row>
    <row r="455">
      <c r="C455" s="22"/>
    </row>
    <row r="456">
      <c r="C456" s="22"/>
    </row>
    <row r="457">
      <c r="C457" s="22"/>
    </row>
    <row r="458">
      <c r="C458" s="22"/>
    </row>
    <row r="459">
      <c r="C459" s="22"/>
    </row>
    <row r="460">
      <c r="C460" s="22"/>
    </row>
    <row r="461">
      <c r="C461" s="22"/>
    </row>
    <row r="462">
      <c r="C462" s="22"/>
    </row>
    <row r="463">
      <c r="C463" s="22"/>
    </row>
    <row r="464">
      <c r="C464" s="22"/>
    </row>
    <row r="465">
      <c r="C465" s="22"/>
    </row>
    <row r="466">
      <c r="C466" s="22"/>
    </row>
    <row r="467">
      <c r="C467" s="22"/>
    </row>
    <row r="468">
      <c r="C468" s="22"/>
    </row>
    <row r="469">
      <c r="C469" s="22"/>
    </row>
    <row r="470">
      <c r="C470" s="22"/>
    </row>
    <row r="471">
      <c r="C471" s="22"/>
    </row>
    <row r="472">
      <c r="C472" s="22"/>
    </row>
    <row r="473">
      <c r="C473" s="22"/>
    </row>
    <row r="474">
      <c r="C474" s="22"/>
    </row>
    <row r="475">
      <c r="C475" s="22"/>
    </row>
    <row r="476">
      <c r="C476" s="22"/>
    </row>
    <row r="477">
      <c r="C477" s="22"/>
    </row>
    <row r="478">
      <c r="C478" s="22"/>
    </row>
    <row r="479">
      <c r="C479" s="22"/>
    </row>
    <row r="480">
      <c r="C480" s="22"/>
    </row>
    <row r="481">
      <c r="C481" s="22"/>
    </row>
    <row r="482">
      <c r="C482" s="22"/>
    </row>
    <row r="483">
      <c r="C483" s="22"/>
    </row>
    <row r="484">
      <c r="C484" s="22"/>
    </row>
    <row r="485">
      <c r="C485" s="22"/>
    </row>
    <row r="486">
      <c r="C486" s="22"/>
    </row>
    <row r="487">
      <c r="C487" s="22"/>
    </row>
    <row r="488">
      <c r="C488" s="22"/>
    </row>
    <row r="489">
      <c r="C489" s="22"/>
    </row>
    <row r="490">
      <c r="C490" s="22"/>
    </row>
    <row r="491">
      <c r="C491" s="22"/>
    </row>
    <row r="492">
      <c r="C492" s="22"/>
    </row>
    <row r="493">
      <c r="C493" s="22"/>
    </row>
    <row r="494">
      <c r="C494" s="22"/>
    </row>
    <row r="495">
      <c r="C495" s="22"/>
    </row>
    <row r="496">
      <c r="C496" s="22"/>
    </row>
    <row r="497">
      <c r="C497" s="22"/>
    </row>
    <row r="498">
      <c r="C498" s="22"/>
    </row>
    <row r="499">
      <c r="C499" s="22"/>
    </row>
    <row r="500">
      <c r="C500" s="22"/>
    </row>
    <row r="501">
      <c r="C501" s="22"/>
    </row>
    <row r="502">
      <c r="C502" s="22"/>
    </row>
    <row r="503">
      <c r="C503" s="22"/>
    </row>
    <row r="504">
      <c r="C504" s="22"/>
    </row>
    <row r="505">
      <c r="C505" s="22"/>
    </row>
    <row r="506">
      <c r="C506" s="22"/>
    </row>
    <row r="507">
      <c r="C507" s="22"/>
    </row>
    <row r="508">
      <c r="C508" s="22"/>
    </row>
    <row r="509">
      <c r="C509" s="22"/>
    </row>
    <row r="510">
      <c r="C510" s="22"/>
    </row>
    <row r="511">
      <c r="C511" s="22"/>
    </row>
    <row r="512">
      <c r="C512" s="22"/>
    </row>
    <row r="513">
      <c r="C513" s="22"/>
    </row>
    <row r="514">
      <c r="C514" s="22"/>
    </row>
    <row r="515">
      <c r="C515" s="22"/>
    </row>
    <row r="516">
      <c r="C516" s="22"/>
    </row>
    <row r="517">
      <c r="C517" s="22"/>
    </row>
    <row r="518">
      <c r="C518" s="22"/>
    </row>
    <row r="519">
      <c r="C519" s="22"/>
    </row>
    <row r="520">
      <c r="C520" s="22"/>
    </row>
    <row r="521">
      <c r="C521" s="22"/>
    </row>
    <row r="522">
      <c r="C522" s="22"/>
    </row>
    <row r="523">
      <c r="C523" s="22"/>
    </row>
    <row r="524">
      <c r="C524" s="22"/>
    </row>
    <row r="525">
      <c r="C525" s="22"/>
    </row>
    <row r="526">
      <c r="C526" s="22"/>
    </row>
    <row r="527">
      <c r="C527" s="22"/>
    </row>
    <row r="528">
      <c r="C528" s="22"/>
    </row>
    <row r="529">
      <c r="C529" s="22"/>
    </row>
    <row r="530">
      <c r="C530" s="22"/>
    </row>
    <row r="531">
      <c r="C531" s="22"/>
    </row>
    <row r="532">
      <c r="C532" s="22"/>
    </row>
    <row r="533">
      <c r="C533" s="22"/>
    </row>
    <row r="534">
      <c r="C534" s="22"/>
    </row>
    <row r="535">
      <c r="C535" s="22"/>
    </row>
    <row r="536">
      <c r="C536" s="22"/>
    </row>
    <row r="537">
      <c r="C537" s="22"/>
    </row>
    <row r="538">
      <c r="C538" s="22"/>
    </row>
    <row r="539">
      <c r="C539" s="22"/>
    </row>
    <row r="540">
      <c r="C540" s="22"/>
    </row>
    <row r="541">
      <c r="C541" s="22"/>
    </row>
    <row r="542">
      <c r="C542" s="22"/>
    </row>
    <row r="543">
      <c r="C543" s="22"/>
    </row>
    <row r="544">
      <c r="C544" s="22"/>
    </row>
    <row r="545">
      <c r="C545" s="22"/>
    </row>
    <row r="546">
      <c r="C546" s="22"/>
    </row>
    <row r="547">
      <c r="C547" s="22"/>
    </row>
    <row r="548">
      <c r="C548" s="22"/>
    </row>
    <row r="549">
      <c r="C549" s="22"/>
    </row>
    <row r="550">
      <c r="C550" s="22"/>
    </row>
    <row r="551">
      <c r="C551" s="22"/>
    </row>
    <row r="552">
      <c r="C552" s="22"/>
    </row>
    <row r="553">
      <c r="C553" s="22"/>
    </row>
    <row r="554">
      <c r="C554" s="22"/>
    </row>
    <row r="555">
      <c r="C555" s="22"/>
    </row>
    <row r="556">
      <c r="C556" s="22"/>
    </row>
    <row r="557">
      <c r="C557" s="22"/>
    </row>
    <row r="558">
      <c r="C558" s="22"/>
    </row>
    <row r="559">
      <c r="C559" s="22"/>
    </row>
    <row r="560">
      <c r="C560" s="22"/>
    </row>
    <row r="561">
      <c r="C561" s="22"/>
    </row>
    <row r="562">
      <c r="C562" s="22"/>
    </row>
    <row r="563">
      <c r="C563" s="22"/>
    </row>
    <row r="564">
      <c r="C564" s="22"/>
    </row>
    <row r="565">
      <c r="C565" s="22"/>
    </row>
    <row r="566">
      <c r="C566" s="22"/>
    </row>
    <row r="567">
      <c r="C567" s="22"/>
    </row>
    <row r="568">
      <c r="C568" s="22"/>
    </row>
    <row r="569">
      <c r="C569" s="22"/>
    </row>
    <row r="570">
      <c r="C570" s="22"/>
    </row>
    <row r="571">
      <c r="C571" s="22"/>
    </row>
    <row r="572">
      <c r="C572" s="22"/>
    </row>
    <row r="573">
      <c r="C573" s="22"/>
    </row>
    <row r="574">
      <c r="C574" s="22"/>
    </row>
    <row r="575">
      <c r="C575" s="22"/>
    </row>
    <row r="576">
      <c r="C576" s="22"/>
    </row>
    <row r="577">
      <c r="C577" s="22"/>
    </row>
    <row r="578">
      <c r="C578" s="22"/>
    </row>
    <row r="579">
      <c r="C579" s="22"/>
    </row>
    <row r="580">
      <c r="C580" s="22"/>
    </row>
    <row r="581">
      <c r="C581" s="22"/>
    </row>
    <row r="582">
      <c r="C582" s="22"/>
    </row>
    <row r="583">
      <c r="C583" s="22"/>
    </row>
    <row r="584">
      <c r="C584" s="22"/>
    </row>
    <row r="585">
      <c r="C585" s="22"/>
    </row>
    <row r="586">
      <c r="C586" s="22"/>
    </row>
    <row r="587">
      <c r="C587" s="22"/>
    </row>
    <row r="588">
      <c r="C588" s="22"/>
    </row>
    <row r="589">
      <c r="C589" s="22"/>
    </row>
    <row r="590">
      <c r="C590" s="22"/>
    </row>
    <row r="591">
      <c r="C591" s="22"/>
    </row>
    <row r="592">
      <c r="C592" s="22"/>
    </row>
    <row r="593">
      <c r="C593" s="22"/>
    </row>
    <row r="594">
      <c r="C594" s="22"/>
    </row>
    <row r="595">
      <c r="C595" s="22"/>
    </row>
    <row r="596">
      <c r="C596" s="22"/>
    </row>
    <row r="597">
      <c r="C597" s="22"/>
    </row>
    <row r="598">
      <c r="C598" s="22"/>
    </row>
    <row r="599">
      <c r="C599" s="22"/>
    </row>
    <row r="600">
      <c r="C600" s="22"/>
    </row>
    <row r="601">
      <c r="C601" s="22"/>
    </row>
    <row r="602">
      <c r="C602" s="22"/>
    </row>
    <row r="603">
      <c r="C603" s="22"/>
    </row>
    <row r="604">
      <c r="C604" s="22"/>
    </row>
    <row r="605">
      <c r="C605" s="22"/>
    </row>
    <row r="606">
      <c r="C606" s="22"/>
    </row>
    <row r="607">
      <c r="C607" s="22"/>
    </row>
    <row r="608">
      <c r="C608" s="22"/>
    </row>
    <row r="609">
      <c r="C609" s="22"/>
    </row>
    <row r="610">
      <c r="C610" s="22"/>
    </row>
    <row r="611">
      <c r="C611" s="22"/>
    </row>
    <row r="612">
      <c r="C612" s="22"/>
    </row>
    <row r="613">
      <c r="C613" s="22"/>
    </row>
    <row r="614">
      <c r="C614" s="22"/>
    </row>
    <row r="615">
      <c r="C615" s="22"/>
    </row>
    <row r="616">
      <c r="C616" s="22"/>
    </row>
    <row r="617">
      <c r="C617" s="22"/>
    </row>
    <row r="618">
      <c r="C618" s="22"/>
    </row>
    <row r="619">
      <c r="C619" s="22"/>
    </row>
    <row r="620">
      <c r="C620" s="22"/>
    </row>
    <row r="621">
      <c r="C621" s="22"/>
    </row>
    <row r="622">
      <c r="C622" s="22"/>
    </row>
    <row r="623">
      <c r="C623" s="22"/>
    </row>
    <row r="624">
      <c r="C624" s="22"/>
    </row>
    <row r="625">
      <c r="C625" s="22"/>
    </row>
    <row r="626">
      <c r="C626" s="22"/>
    </row>
    <row r="627">
      <c r="C627" s="22"/>
    </row>
    <row r="628">
      <c r="C628" s="22"/>
    </row>
    <row r="629">
      <c r="C629" s="22"/>
    </row>
    <row r="630">
      <c r="C630" s="22"/>
    </row>
    <row r="631">
      <c r="C631" s="22"/>
    </row>
    <row r="632">
      <c r="C632" s="22"/>
    </row>
    <row r="633">
      <c r="C633" s="22"/>
    </row>
    <row r="634">
      <c r="C634" s="22"/>
    </row>
    <row r="635">
      <c r="C635" s="22"/>
    </row>
    <row r="636">
      <c r="C636" s="22"/>
    </row>
    <row r="637">
      <c r="C637" s="22"/>
    </row>
    <row r="638">
      <c r="C638" s="22"/>
    </row>
    <row r="639">
      <c r="C639" s="22"/>
    </row>
    <row r="640">
      <c r="C640" s="22"/>
    </row>
    <row r="641">
      <c r="C641" s="22"/>
    </row>
    <row r="642">
      <c r="C642" s="22"/>
    </row>
    <row r="643">
      <c r="C643" s="22"/>
    </row>
    <row r="644">
      <c r="C644" s="22"/>
    </row>
    <row r="645">
      <c r="C645" s="22"/>
    </row>
    <row r="646">
      <c r="C646" s="22"/>
    </row>
    <row r="647">
      <c r="C647" s="22"/>
    </row>
    <row r="648">
      <c r="C648" s="22"/>
    </row>
    <row r="649">
      <c r="C649" s="22"/>
    </row>
    <row r="650">
      <c r="C650" s="22"/>
    </row>
    <row r="651">
      <c r="C651" s="22"/>
    </row>
    <row r="652">
      <c r="C652" s="22"/>
    </row>
    <row r="653">
      <c r="C653" s="22"/>
    </row>
    <row r="654">
      <c r="C654" s="22"/>
    </row>
    <row r="655">
      <c r="C655" s="22"/>
    </row>
    <row r="656">
      <c r="C656" s="22"/>
    </row>
    <row r="657">
      <c r="C657" s="22"/>
    </row>
    <row r="658">
      <c r="C658" s="22"/>
    </row>
    <row r="659">
      <c r="C659" s="22"/>
    </row>
    <row r="660">
      <c r="C660" s="22"/>
    </row>
    <row r="661">
      <c r="C661" s="22"/>
    </row>
    <row r="662">
      <c r="C662" s="22"/>
    </row>
    <row r="663">
      <c r="C663" s="22"/>
    </row>
    <row r="664">
      <c r="C664" s="22"/>
    </row>
    <row r="665">
      <c r="C665" s="22"/>
    </row>
    <row r="666">
      <c r="C666" s="22"/>
    </row>
    <row r="667">
      <c r="C667" s="22"/>
    </row>
    <row r="668">
      <c r="C668" s="22"/>
    </row>
    <row r="669">
      <c r="C669" s="22"/>
    </row>
    <row r="670">
      <c r="C670" s="22"/>
    </row>
    <row r="671">
      <c r="C671" s="22"/>
    </row>
    <row r="672">
      <c r="C672" s="22"/>
    </row>
    <row r="673">
      <c r="C673" s="22"/>
    </row>
    <row r="674">
      <c r="C674" s="22"/>
    </row>
    <row r="675">
      <c r="C675" s="22"/>
    </row>
    <row r="676">
      <c r="C676" s="22"/>
    </row>
    <row r="677">
      <c r="C677" s="22"/>
    </row>
    <row r="678">
      <c r="C678" s="22"/>
    </row>
    <row r="679">
      <c r="C679" s="22"/>
    </row>
    <row r="680">
      <c r="C680" s="22"/>
    </row>
    <row r="681">
      <c r="C681" s="22"/>
    </row>
    <row r="682">
      <c r="C682" s="22"/>
    </row>
    <row r="683">
      <c r="C683" s="22"/>
    </row>
    <row r="684">
      <c r="C684" s="22"/>
    </row>
    <row r="685">
      <c r="C685" s="22"/>
    </row>
    <row r="686">
      <c r="C686" s="22"/>
    </row>
    <row r="687">
      <c r="C687" s="22"/>
    </row>
    <row r="688">
      <c r="C688" s="22"/>
    </row>
    <row r="689">
      <c r="C689" s="22"/>
    </row>
    <row r="690">
      <c r="C690" s="22"/>
    </row>
    <row r="691">
      <c r="C691" s="22"/>
    </row>
    <row r="692">
      <c r="C692" s="22"/>
    </row>
    <row r="693">
      <c r="C693" s="22"/>
    </row>
    <row r="694">
      <c r="C694" s="22"/>
    </row>
    <row r="695">
      <c r="C695" s="22"/>
    </row>
    <row r="696">
      <c r="C696" s="22"/>
    </row>
    <row r="697">
      <c r="C697" s="22"/>
    </row>
    <row r="698">
      <c r="C698" s="22"/>
    </row>
    <row r="699">
      <c r="C699" s="22"/>
    </row>
    <row r="700">
      <c r="C700" s="22"/>
    </row>
    <row r="701">
      <c r="C701" s="22"/>
    </row>
    <row r="702">
      <c r="C702" s="22"/>
    </row>
    <row r="703">
      <c r="C703" s="22"/>
    </row>
    <row r="704">
      <c r="C704" s="22"/>
    </row>
    <row r="705">
      <c r="C705" s="22"/>
    </row>
    <row r="706">
      <c r="C706" s="22"/>
    </row>
    <row r="707">
      <c r="C707" s="22"/>
    </row>
    <row r="708">
      <c r="C708" s="22"/>
    </row>
    <row r="709">
      <c r="C709" s="22"/>
    </row>
    <row r="710">
      <c r="C710" s="22"/>
    </row>
    <row r="711">
      <c r="C711" s="22"/>
    </row>
    <row r="712">
      <c r="C712" s="22"/>
    </row>
    <row r="713">
      <c r="C713" s="22"/>
    </row>
    <row r="714">
      <c r="C714" s="22"/>
    </row>
    <row r="715">
      <c r="C715" s="22"/>
    </row>
    <row r="716">
      <c r="C716" s="22"/>
    </row>
    <row r="717">
      <c r="C717" s="22"/>
    </row>
    <row r="718">
      <c r="C718" s="22"/>
    </row>
    <row r="719">
      <c r="C719" s="22"/>
    </row>
    <row r="720">
      <c r="C720" s="22"/>
    </row>
    <row r="721">
      <c r="C721" s="22"/>
    </row>
    <row r="722">
      <c r="C722" s="22"/>
    </row>
    <row r="723">
      <c r="C723" s="22"/>
    </row>
    <row r="724">
      <c r="C724" s="22"/>
    </row>
    <row r="725">
      <c r="C725" s="22"/>
    </row>
    <row r="726">
      <c r="C726" s="22"/>
    </row>
    <row r="727">
      <c r="C727" s="22"/>
    </row>
    <row r="728">
      <c r="C728" s="22"/>
    </row>
    <row r="729">
      <c r="C729" s="22"/>
    </row>
    <row r="730">
      <c r="C730" s="22"/>
    </row>
    <row r="731">
      <c r="C731" s="22"/>
    </row>
    <row r="732">
      <c r="C732" s="22"/>
    </row>
    <row r="733">
      <c r="C733" s="22"/>
    </row>
    <row r="734">
      <c r="C734" s="22"/>
    </row>
    <row r="735">
      <c r="C735" s="22"/>
    </row>
    <row r="736">
      <c r="C736" s="22"/>
    </row>
    <row r="737">
      <c r="C737" s="22"/>
    </row>
    <row r="738">
      <c r="C738" s="22"/>
    </row>
    <row r="739">
      <c r="C739" s="22"/>
    </row>
    <row r="740">
      <c r="C740" s="22"/>
    </row>
    <row r="741">
      <c r="C741" s="22"/>
    </row>
    <row r="742">
      <c r="C742" s="22"/>
    </row>
    <row r="743">
      <c r="C743" s="22"/>
    </row>
    <row r="744">
      <c r="C744" s="22"/>
    </row>
    <row r="745">
      <c r="C745" s="22"/>
    </row>
    <row r="746">
      <c r="C746" s="22"/>
    </row>
    <row r="747">
      <c r="C747" s="22"/>
    </row>
    <row r="748">
      <c r="C748" s="22"/>
    </row>
    <row r="749">
      <c r="C749" s="22"/>
    </row>
    <row r="750">
      <c r="C750" s="22"/>
    </row>
    <row r="751">
      <c r="C751" s="22"/>
    </row>
    <row r="752">
      <c r="C752" s="22"/>
    </row>
    <row r="753">
      <c r="C753" s="22"/>
    </row>
    <row r="754">
      <c r="C754" s="22"/>
    </row>
    <row r="755">
      <c r="C755" s="22"/>
    </row>
    <row r="756">
      <c r="C756" s="22"/>
    </row>
    <row r="757">
      <c r="C757" s="22"/>
    </row>
    <row r="758">
      <c r="C758" s="22"/>
    </row>
    <row r="759">
      <c r="C759" s="22"/>
    </row>
    <row r="760">
      <c r="C760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68" max="68" width="44.0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20</v>
      </c>
      <c r="O1" s="2" t="s">
        <v>22</v>
      </c>
      <c r="P1" s="2" t="s">
        <v>24</v>
      </c>
      <c r="Q1" s="2" t="s">
        <v>25</v>
      </c>
      <c r="R1" s="2" t="s">
        <v>28</v>
      </c>
      <c r="S1" s="2" t="s">
        <v>29</v>
      </c>
      <c r="T1" s="2" t="s">
        <v>32</v>
      </c>
      <c r="U1" s="2" t="s">
        <v>34</v>
      </c>
      <c r="V1" s="2" t="s">
        <v>35</v>
      </c>
      <c r="W1" s="2" t="s">
        <v>38</v>
      </c>
      <c r="X1" s="2" t="s">
        <v>40</v>
      </c>
      <c r="Y1" s="2" t="s">
        <v>41</v>
      </c>
      <c r="Z1" s="2" t="s">
        <v>43</v>
      </c>
      <c r="AA1" s="2" t="s">
        <v>45</v>
      </c>
      <c r="AB1" s="2" t="s">
        <v>47</v>
      </c>
      <c r="AC1" s="2" t="s">
        <v>49</v>
      </c>
      <c r="AD1" s="2" t="s">
        <v>51</v>
      </c>
      <c r="AE1" s="2" t="s">
        <v>53</v>
      </c>
      <c r="AF1" s="2" t="s">
        <v>54</v>
      </c>
      <c r="AG1" s="2" t="s">
        <v>57</v>
      </c>
      <c r="AH1" s="2" t="s">
        <v>59</v>
      </c>
      <c r="AI1" s="2" t="s">
        <v>62</v>
      </c>
      <c r="AJ1" s="2" t="s">
        <v>64</v>
      </c>
      <c r="AK1" s="2" t="s">
        <v>67</v>
      </c>
      <c r="AL1" s="2" t="s">
        <v>68</v>
      </c>
      <c r="AM1" s="2" t="s">
        <v>69</v>
      </c>
      <c r="AN1" s="2" t="s">
        <v>71</v>
      </c>
      <c r="AO1" s="2" t="s">
        <v>72</v>
      </c>
      <c r="AP1" s="2" t="s">
        <v>74</v>
      </c>
      <c r="AQ1" s="2" t="s">
        <v>75</v>
      </c>
      <c r="AR1" s="2" t="s">
        <v>77</v>
      </c>
      <c r="AS1" s="2" t="s">
        <v>79</v>
      </c>
      <c r="AT1" s="2" t="s">
        <v>80</v>
      </c>
      <c r="AU1" s="2" t="s">
        <v>82</v>
      </c>
      <c r="AV1" s="2" t="s">
        <v>84</v>
      </c>
      <c r="AW1" s="2" t="s">
        <v>85</v>
      </c>
      <c r="AX1" s="2" t="s">
        <v>87</v>
      </c>
      <c r="AY1" s="2" t="s">
        <v>88</v>
      </c>
      <c r="AZ1" s="2" t="s">
        <v>89</v>
      </c>
      <c r="BA1" s="2" t="s">
        <v>90</v>
      </c>
      <c r="BB1" s="2" t="s">
        <v>91</v>
      </c>
      <c r="BC1" s="2" t="s">
        <v>93</v>
      </c>
      <c r="BD1" s="2" t="s">
        <v>94</v>
      </c>
      <c r="BE1" s="2" t="s">
        <v>96</v>
      </c>
      <c r="BF1" s="2" t="s">
        <v>97</v>
      </c>
      <c r="BG1" s="2" t="s">
        <v>99</v>
      </c>
      <c r="BH1" s="2" t="s">
        <v>101</v>
      </c>
      <c r="BI1" s="2" t="s">
        <v>103</v>
      </c>
      <c r="BJ1" s="2" t="s">
        <v>105</v>
      </c>
      <c r="BK1" s="2" t="s">
        <v>107</v>
      </c>
      <c r="BL1" s="2" t="s">
        <v>109</v>
      </c>
      <c r="BM1" s="2" t="s">
        <v>110</v>
      </c>
      <c r="BN1" s="2" t="s">
        <v>112</v>
      </c>
      <c r="BO1" s="2" t="s">
        <v>113</v>
      </c>
      <c r="BP1" s="2" t="s">
        <v>21</v>
      </c>
      <c r="BQ1" s="2" t="s">
        <v>44</v>
      </c>
      <c r="BR1" s="2" t="s">
        <v>116</v>
      </c>
      <c r="BS1" s="2" t="s">
        <v>0</v>
      </c>
      <c r="BT1" s="2" t="s">
        <v>27</v>
      </c>
      <c r="BU1" s="2" t="s">
        <v>30</v>
      </c>
      <c r="BV1" s="2" t="s">
        <v>33</v>
      </c>
      <c r="BW1" s="2" t="s">
        <v>36</v>
      </c>
      <c r="BX1" s="2" t="s">
        <v>39</v>
      </c>
      <c r="BY1" s="2" t="s">
        <v>42</v>
      </c>
    </row>
    <row r="2">
      <c r="C2" s="18"/>
    </row>
    <row r="3">
      <c r="C3" s="18"/>
    </row>
    <row r="4">
      <c r="C4" s="18"/>
    </row>
    <row r="5">
      <c r="C5" s="18"/>
    </row>
    <row r="6">
      <c r="C6" s="18"/>
    </row>
    <row r="7">
      <c r="C7" s="18"/>
    </row>
    <row r="8">
      <c r="C8" s="19"/>
    </row>
    <row r="9">
      <c r="C9" s="18"/>
    </row>
    <row r="10">
      <c r="C10" s="19"/>
    </row>
    <row r="11">
      <c r="C11" s="19"/>
    </row>
    <row r="12">
      <c r="C12" s="19"/>
    </row>
    <row r="13">
      <c r="C13" s="18"/>
    </row>
    <row r="14">
      <c r="C14" s="19"/>
    </row>
    <row r="15">
      <c r="C15" s="19"/>
    </row>
    <row r="16">
      <c r="C16" s="19"/>
    </row>
    <row r="17">
      <c r="C17" s="19"/>
    </row>
    <row r="18">
      <c r="C18" s="19"/>
    </row>
    <row r="19">
      <c r="C19" s="19"/>
    </row>
    <row r="20">
      <c r="C20" s="19"/>
    </row>
    <row r="21">
      <c r="C21" s="19"/>
    </row>
    <row r="22">
      <c r="C22" s="19"/>
    </row>
    <row r="23">
      <c r="C23" s="19"/>
    </row>
    <row r="24">
      <c r="C24" s="19"/>
    </row>
    <row r="25">
      <c r="C25" s="19"/>
    </row>
    <row r="26">
      <c r="C26" s="19"/>
    </row>
    <row r="27">
      <c r="C27" s="19"/>
    </row>
    <row r="28">
      <c r="C28" s="19"/>
    </row>
    <row r="29">
      <c r="C29" s="19"/>
    </row>
    <row r="30">
      <c r="C30" s="19"/>
    </row>
    <row r="31">
      <c r="C31" s="19"/>
    </row>
    <row r="32">
      <c r="C32" s="19"/>
    </row>
    <row r="33">
      <c r="C33" s="19"/>
    </row>
    <row r="34">
      <c r="C34" s="18"/>
    </row>
    <row r="35">
      <c r="C35" s="19"/>
    </row>
    <row r="36">
      <c r="C36" s="19"/>
    </row>
    <row r="37">
      <c r="C37" s="19"/>
    </row>
    <row r="38">
      <c r="C38" s="19"/>
    </row>
    <row r="39">
      <c r="C39" s="19"/>
    </row>
    <row r="40">
      <c r="C40" s="19"/>
    </row>
    <row r="41">
      <c r="C41" s="19"/>
    </row>
    <row r="42">
      <c r="C42" s="19"/>
    </row>
    <row r="43">
      <c r="C43" s="19"/>
    </row>
    <row r="44">
      <c r="C44" s="19"/>
    </row>
    <row r="45">
      <c r="C45" s="19"/>
    </row>
    <row r="46">
      <c r="C46" s="19"/>
    </row>
    <row r="47">
      <c r="C47" s="19"/>
    </row>
    <row r="48">
      <c r="C48" s="18"/>
    </row>
    <row r="49">
      <c r="C49" s="18"/>
    </row>
    <row r="50">
      <c r="C50" s="18"/>
    </row>
    <row r="51">
      <c r="C51" s="18"/>
    </row>
    <row r="52">
      <c r="C52" s="18"/>
    </row>
    <row r="53">
      <c r="C53" s="18"/>
    </row>
    <row r="54">
      <c r="C54" s="18"/>
    </row>
    <row r="55">
      <c r="C55" s="19"/>
    </row>
    <row r="56">
      <c r="C56" s="19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9"/>
    </row>
    <row r="84">
      <c r="C84" s="19"/>
    </row>
    <row r="85">
      <c r="C85" s="19"/>
    </row>
    <row r="86">
      <c r="C86" s="19"/>
    </row>
    <row r="87">
      <c r="C87" s="19"/>
    </row>
    <row r="88">
      <c r="C88" s="19"/>
    </row>
    <row r="89">
      <c r="C89" s="19"/>
    </row>
    <row r="90">
      <c r="C90" s="19"/>
    </row>
    <row r="91">
      <c r="C91" s="18"/>
    </row>
    <row r="92">
      <c r="C92" s="19"/>
    </row>
    <row r="93">
      <c r="C93" s="19"/>
    </row>
    <row r="94">
      <c r="C94" s="19"/>
    </row>
    <row r="95">
      <c r="C95" s="19"/>
    </row>
    <row r="96">
      <c r="C96" s="19"/>
    </row>
    <row r="97">
      <c r="C97" s="19"/>
    </row>
    <row r="98">
      <c r="C98" s="19"/>
    </row>
    <row r="99">
      <c r="C99" s="19"/>
    </row>
    <row r="100">
      <c r="C100" s="19"/>
    </row>
    <row r="101">
      <c r="C101" s="18"/>
    </row>
    <row r="102">
      <c r="C102" s="19"/>
    </row>
    <row r="103"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8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9"/>
    </row>
    <row r="397">
      <c r="C397" s="19"/>
    </row>
    <row r="398">
      <c r="C398" s="19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9"/>
    </row>
    <row r="441">
      <c r="C441" s="19"/>
    </row>
    <row r="442">
      <c r="C442" s="19"/>
    </row>
    <row r="443">
      <c r="C443" s="18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8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8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sheetData>
    <row r="1">
      <c r="A1" s="4" t="s">
        <v>1</v>
      </c>
      <c r="B1" s="4" t="s">
        <v>3</v>
      </c>
      <c r="C1" s="4" t="s">
        <v>5</v>
      </c>
      <c r="D1" s="4" t="s">
        <v>6</v>
      </c>
      <c r="E1" s="4" t="s">
        <v>8</v>
      </c>
      <c r="F1" s="4" t="s">
        <v>19</v>
      </c>
      <c r="G1" s="4" t="s">
        <v>21</v>
      </c>
      <c r="H1" s="4" t="s">
        <v>10</v>
      </c>
      <c r="I1" s="4" t="s">
        <v>27</v>
      </c>
      <c r="J1" s="4" t="s">
        <v>30</v>
      </c>
      <c r="K1" s="4" t="s">
        <v>33</v>
      </c>
      <c r="L1" s="4" t="s">
        <v>36</v>
      </c>
      <c r="M1" s="4" t="s">
        <v>39</v>
      </c>
      <c r="N1" s="4" t="s">
        <v>42</v>
      </c>
      <c r="O1" s="4" t="s">
        <v>46</v>
      </c>
      <c r="P1" s="4" t="s">
        <v>0</v>
      </c>
      <c r="Q1" s="4" t="s">
        <v>44</v>
      </c>
      <c r="R1" s="4" t="s">
        <v>52</v>
      </c>
      <c r="S1" s="4" t="s">
        <v>55</v>
      </c>
    </row>
    <row r="2">
      <c r="A2" s="10" t="s">
        <v>60</v>
      </c>
      <c r="B2" s="10" t="s">
        <v>65</v>
      </c>
      <c r="C2" s="11">
        <v>45833.0</v>
      </c>
      <c r="D2" s="10" t="s">
        <v>70</v>
      </c>
      <c r="E2" s="10" t="s">
        <v>73</v>
      </c>
      <c r="F2" s="10"/>
      <c r="G2" s="10" t="s">
        <v>76</v>
      </c>
      <c r="H2" s="10" t="s">
        <v>78</v>
      </c>
      <c r="I2" s="14" t="b">
        <v>0</v>
      </c>
      <c r="J2" s="10" t="s">
        <v>83</v>
      </c>
      <c r="K2" s="10"/>
      <c r="L2" s="10"/>
      <c r="M2" s="10"/>
      <c r="N2" s="10"/>
      <c r="O2" s="10"/>
      <c r="P2" s="10"/>
      <c r="Q2" s="14" t="b">
        <v>1</v>
      </c>
      <c r="R2" s="10"/>
    </row>
    <row r="3">
      <c r="A3" s="10" t="s">
        <v>95</v>
      </c>
      <c r="B3" s="10" t="s">
        <v>65</v>
      </c>
      <c r="C3" s="11">
        <v>45833.0</v>
      </c>
      <c r="D3" s="10" t="s">
        <v>100</v>
      </c>
      <c r="E3" s="10" t="s">
        <v>104</v>
      </c>
      <c r="F3" s="10"/>
      <c r="G3" s="10" t="s">
        <v>106</v>
      </c>
      <c r="H3" s="10" t="s">
        <v>108</v>
      </c>
      <c r="I3" s="14" t="b">
        <v>1</v>
      </c>
      <c r="J3" s="10" t="s">
        <v>83</v>
      </c>
      <c r="K3" s="10"/>
      <c r="L3" s="10"/>
      <c r="M3" s="10"/>
      <c r="N3" s="10"/>
      <c r="O3" s="10"/>
      <c r="P3" s="17">
        <v>1543865.0</v>
      </c>
      <c r="Q3" s="14" t="b">
        <v>1</v>
      </c>
      <c r="R3" s="10"/>
    </row>
    <row r="4">
      <c r="A4" s="10" t="s">
        <v>119</v>
      </c>
      <c r="B4" s="10" t="s">
        <v>65</v>
      </c>
      <c r="C4" s="11">
        <v>45833.0</v>
      </c>
      <c r="D4" s="10" t="s">
        <v>121</v>
      </c>
      <c r="E4" s="10" t="s">
        <v>122</v>
      </c>
      <c r="F4" s="10"/>
      <c r="G4" s="10" t="s">
        <v>123</v>
      </c>
      <c r="H4" s="10" t="s">
        <v>124</v>
      </c>
      <c r="I4" s="14" t="b">
        <v>1</v>
      </c>
      <c r="J4" s="10" t="s">
        <v>83</v>
      </c>
      <c r="K4" s="10"/>
      <c r="L4" s="10"/>
      <c r="M4" s="10"/>
      <c r="N4" s="10"/>
      <c r="O4" s="10"/>
      <c r="P4" s="17">
        <v>1543867.0</v>
      </c>
      <c r="Q4" s="14" t="b">
        <v>1</v>
      </c>
      <c r="R4" s="10"/>
    </row>
    <row r="5">
      <c r="A5" s="10" t="s">
        <v>129</v>
      </c>
      <c r="B5" s="10" t="s">
        <v>65</v>
      </c>
      <c r="C5" s="11">
        <v>45831.0</v>
      </c>
      <c r="D5" s="10" t="s">
        <v>131</v>
      </c>
      <c r="E5" s="10" t="s">
        <v>133</v>
      </c>
      <c r="F5" s="10"/>
      <c r="G5" s="10" t="s">
        <v>135</v>
      </c>
      <c r="H5" s="10" t="s">
        <v>136</v>
      </c>
      <c r="I5" s="14" t="b">
        <v>0</v>
      </c>
      <c r="J5" s="10" t="s">
        <v>83</v>
      </c>
      <c r="K5" s="10"/>
      <c r="L5" s="10" t="s">
        <v>138</v>
      </c>
      <c r="M5" s="10" t="s">
        <v>140</v>
      </c>
      <c r="N5" s="10" t="s">
        <v>141</v>
      </c>
      <c r="O5" s="10"/>
      <c r="P5" s="10"/>
      <c r="Q5" s="14" t="b">
        <v>1</v>
      </c>
      <c r="R5" s="10"/>
    </row>
    <row r="6">
      <c r="A6" s="10" t="s">
        <v>144</v>
      </c>
      <c r="B6" s="10" t="s">
        <v>65</v>
      </c>
      <c r="C6" s="11">
        <v>45834.0</v>
      </c>
      <c r="D6" s="10" t="s">
        <v>145</v>
      </c>
      <c r="E6" s="10" t="s">
        <v>147</v>
      </c>
      <c r="F6" s="10"/>
      <c r="G6" s="10" t="s">
        <v>148</v>
      </c>
      <c r="H6" s="10" t="s">
        <v>149</v>
      </c>
      <c r="I6" s="14" t="b">
        <v>1</v>
      </c>
      <c r="J6" s="10" t="s">
        <v>83</v>
      </c>
      <c r="K6" s="10"/>
      <c r="L6" s="10"/>
      <c r="M6" s="10"/>
      <c r="N6" s="10"/>
      <c r="O6" s="10"/>
      <c r="P6" s="17">
        <v>1544615.0</v>
      </c>
      <c r="Q6" s="14" t="b">
        <v>1</v>
      </c>
      <c r="R6" s="10"/>
    </row>
    <row r="7">
      <c r="A7" s="10" t="s">
        <v>151</v>
      </c>
      <c r="B7" s="10" t="s">
        <v>65</v>
      </c>
      <c r="C7" s="11">
        <v>45834.0</v>
      </c>
      <c r="D7" s="10" t="s">
        <v>153</v>
      </c>
      <c r="E7" s="10" t="s">
        <v>154</v>
      </c>
      <c r="F7" s="10"/>
      <c r="G7" s="10" t="s">
        <v>156</v>
      </c>
      <c r="H7" s="10" t="s">
        <v>157</v>
      </c>
      <c r="I7" s="14" t="b">
        <v>1</v>
      </c>
      <c r="J7" s="10" t="s">
        <v>83</v>
      </c>
      <c r="K7" s="10"/>
      <c r="L7" s="10"/>
      <c r="M7" s="10"/>
      <c r="N7" s="10"/>
      <c r="O7" s="10"/>
      <c r="P7" s="17">
        <v>1545082.0</v>
      </c>
      <c r="Q7" s="14" t="b">
        <v>1</v>
      </c>
      <c r="R7" s="10"/>
    </row>
    <row r="8">
      <c r="A8" s="10" t="s">
        <v>161</v>
      </c>
      <c r="B8" s="10" t="s">
        <v>65</v>
      </c>
      <c r="C8" s="11">
        <v>45834.0</v>
      </c>
      <c r="D8" s="10" t="s">
        <v>163</v>
      </c>
      <c r="E8" s="10" t="s">
        <v>164</v>
      </c>
      <c r="F8" s="10"/>
      <c r="G8" s="10" t="s">
        <v>165</v>
      </c>
      <c r="H8" s="10" t="s">
        <v>157</v>
      </c>
      <c r="I8" s="14" t="b">
        <v>1</v>
      </c>
      <c r="J8" s="10" t="s">
        <v>83</v>
      </c>
      <c r="K8" s="10"/>
      <c r="L8" s="10"/>
      <c r="M8" s="10"/>
      <c r="N8" s="10"/>
      <c r="O8" s="10"/>
      <c r="P8" s="17">
        <v>1545084.0</v>
      </c>
      <c r="Q8" s="14" t="b">
        <v>1</v>
      </c>
      <c r="R8" s="10"/>
    </row>
    <row r="9">
      <c r="A9" s="10" t="s">
        <v>167</v>
      </c>
      <c r="B9" s="10" t="s">
        <v>65</v>
      </c>
      <c r="C9" s="11">
        <v>45833.0</v>
      </c>
      <c r="D9" s="10" t="s">
        <v>131</v>
      </c>
      <c r="E9" s="10" t="s">
        <v>168</v>
      </c>
      <c r="F9" s="10"/>
      <c r="G9" s="10" t="s">
        <v>170</v>
      </c>
      <c r="H9" s="10" t="s">
        <v>171</v>
      </c>
      <c r="I9" s="14" t="b">
        <v>0</v>
      </c>
      <c r="J9" s="10" t="s">
        <v>83</v>
      </c>
      <c r="K9" s="10"/>
      <c r="L9" s="10" t="s">
        <v>174</v>
      </c>
      <c r="M9" s="10" t="s">
        <v>175</v>
      </c>
      <c r="N9" s="10"/>
      <c r="O9" s="10"/>
      <c r="P9" s="10"/>
      <c r="Q9" s="14" t="b">
        <v>1</v>
      </c>
      <c r="R9" s="10"/>
    </row>
    <row r="10">
      <c r="A10" s="10" t="s">
        <v>176</v>
      </c>
      <c r="B10" s="10" t="s">
        <v>65</v>
      </c>
      <c r="C10" s="11">
        <v>45835.0</v>
      </c>
      <c r="D10" s="10" t="s">
        <v>163</v>
      </c>
      <c r="E10" s="10" t="s">
        <v>182</v>
      </c>
      <c r="F10" s="10"/>
      <c r="G10" s="10" t="s">
        <v>183</v>
      </c>
      <c r="H10" s="10" t="s">
        <v>157</v>
      </c>
      <c r="I10" s="14" t="b">
        <v>1</v>
      </c>
      <c r="J10" s="10" t="s">
        <v>83</v>
      </c>
      <c r="K10" s="10"/>
      <c r="L10" s="10"/>
      <c r="M10" s="10"/>
      <c r="N10" s="10"/>
      <c r="O10" s="10"/>
      <c r="P10" s="17">
        <v>1545989.0</v>
      </c>
      <c r="Q10" s="14" t="b">
        <v>1</v>
      </c>
      <c r="R10" s="10"/>
    </row>
    <row r="11">
      <c r="A11" s="10" t="s">
        <v>186</v>
      </c>
      <c r="B11" s="10" t="s">
        <v>65</v>
      </c>
      <c r="C11" s="11">
        <v>45835.0</v>
      </c>
      <c r="D11" s="10" t="s">
        <v>189</v>
      </c>
      <c r="E11" s="10" t="s">
        <v>191</v>
      </c>
      <c r="F11" s="10"/>
      <c r="G11" s="10" t="s">
        <v>192</v>
      </c>
      <c r="H11" s="10" t="s">
        <v>195</v>
      </c>
      <c r="I11" s="14" t="b">
        <v>0</v>
      </c>
      <c r="J11" s="10" t="s">
        <v>83</v>
      </c>
      <c r="K11" s="10"/>
      <c r="L11" s="10"/>
      <c r="M11" s="10"/>
      <c r="N11" s="10"/>
      <c r="O11" s="10"/>
      <c r="P11" s="10"/>
      <c r="Q11" s="14" t="b">
        <v>1</v>
      </c>
      <c r="R11" s="10"/>
    </row>
    <row r="12">
      <c r="A12" s="10" t="s">
        <v>201</v>
      </c>
      <c r="B12" s="10" t="s">
        <v>65</v>
      </c>
      <c r="C12" s="11">
        <v>45829.0</v>
      </c>
      <c r="D12" s="10" t="s">
        <v>202</v>
      </c>
      <c r="E12" s="10" t="s">
        <v>203</v>
      </c>
      <c r="F12" s="10"/>
      <c r="G12" s="10" t="s">
        <v>204</v>
      </c>
      <c r="H12" s="10" t="s">
        <v>205</v>
      </c>
      <c r="I12" s="14" t="b">
        <v>0</v>
      </c>
      <c r="J12" s="10" t="s">
        <v>83</v>
      </c>
      <c r="K12" s="10"/>
      <c r="L12" s="10"/>
      <c r="M12" s="10"/>
      <c r="N12" s="10"/>
      <c r="O12" s="10"/>
      <c r="P12" s="10"/>
      <c r="Q12" s="14" t="b">
        <v>1</v>
      </c>
      <c r="R12" s="10"/>
    </row>
    <row r="13">
      <c r="A13" s="10" t="s">
        <v>212</v>
      </c>
      <c r="B13" s="10" t="s">
        <v>65</v>
      </c>
      <c r="C13" s="11">
        <v>45835.0</v>
      </c>
      <c r="D13" s="10" t="s">
        <v>215</v>
      </c>
      <c r="E13" s="10" t="s">
        <v>216</v>
      </c>
      <c r="F13" s="10"/>
      <c r="G13" s="10" t="s">
        <v>217</v>
      </c>
      <c r="H13" s="10" t="s">
        <v>219</v>
      </c>
      <c r="I13" s="14" t="b">
        <v>0</v>
      </c>
      <c r="J13" s="10" t="s">
        <v>83</v>
      </c>
      <c r="K13" s="10"/>
      <c r="L13" s="10"/>
      <c r="M13" s="10"/>
      <c r="N13" s="10"/>
      <c r="O13" s="10"/>
      <c r="P13" s="10"/>
      <c r="Q13" s="14" t="b">
        <v>1</v>
      </c>
      <c r="R13" s="10"/>
    </row>
    <row r="14">
      <c r="A14" s="10" t="s">
        <v>225</v>
      </c>
      <c r="B14" s="10" t="s">
        <v>65</v>
      </c>
      <c r="C14" s="11">
        <v>45837.0</v>
      </c>
      <c r="D14" s="10" t="s">
        <v>227</v>
      </c>
      <c r="E14" s="10" t="s">
        <v>229</v>
      </c>
      <c r="F14" s="10"/>
      <c r="G14" s="10" t="s">
        <v>230</v>
      </c>
      <c r="H14" s="10" t="s">
        <v>157</v>
      </c>
      <c r="I14" s="14" t="b">
        <v>1</v>
      </c>
      <c r="J14" s="10" t="s">
        <v>83</v>
      </c>
      <c r="K14" s="10"/>
      <c r="L14" s="10"/>
      <c r="M14" s="10"/>
      <c r="N14" s="10"/>
      <c r="O14" s="10"/>
      <c r="P14" s="17">
        <v>1549969.0</v>
      </c>
      <c r="Q14" s="14" t="b">
        <v>1</v>
      </c>
      <c r="R14" s="10"/>
    </row>
    <row r="15">
      <c r="A15" s="10" t="s">
        <v>236</v>
      </c>
      <c r="B15" s="10" t="s">
        <v>65</v>
      </c>
      <c r="C15" s="11">
        <v>45840.0</v>
      </c>
      <c r="D15" s="10" t="s">
        <v>163</v>
      </c>
      <c r="E15" s="10" t="s">
        <v>239</v>
      </c>
      <c r="F15" s="10"/>
      <c r="G15" s="10" t="s">
        <v>241</v>
      </c>
      <c r="H15" s="10" t="s">
        <v>157</v>
      </c>
      <c r="I15" s="14" t="b">
        <v>1</v>
      </c>
      <c r="J15" s="10" t="s">
        <v>83</v>
      </c>
      <c r="K15" s="10"/>
      <c r="L15" s="10"/>
      <c r="M15" s="10"/>
      <c r="N15" s="10"/>
      <c r="O15" s="10"/>
      <c r="P15" s="17">
        <v>1552784.0</v>
      </c>
      <c r="Q15" s="14" t="b">
        <v>1</v>
      </c>
      <c r="R15" s="10"/>
    </row>
    <row r="16">
      <c r="A16" s="10" t="s">
        <v>244</v>
      </c>
      <c r="B16" s="10" t="s">
        <v>65</v>
      </c>
      <c r="C16" s="11">
        <v>45841.0</v>
      </c>
      <c r="D16" s="10" t="s">
        <v>246</v>
      </c>
      <c r="E16" s="10" t="s">
        <v>247</v>
      </c>
      <c r="F16" s="10"/>
      <c r="G16" s="10" t="s">
        <v>249</v>
      </c>
      <c r="H16" s="10" t="s">
        <v>250</v>
      </c>
      <c r="I16" s="14" t="b">
        <v>0</v>
      </c>
      <c r="J16" s="10" t="s">
        <v>83</v>
      </c>
      <c r="K16" s="10"/>
      <c r="L16" s="10"/>
      <c r="M16" s="10"/>
      <c r="N16" s="10"/>
      <c r="O16" s="10"/>
      <c r="P16" s="10"/>
      <c r="Q16" s="14" t="b">
        <v>1</v>
      </c>
      <c r="R16" s="10"/>
    </row>
    <row r="17">
      <c r="A17" s="10" t="s">
        <v>253</v>
      </c>
      <c r="B17" s="10" t="s">
        <v>65</v>
      </c>
      <c r="C17" s="11">
        <v>45842.0</v>
      </c>
      <c r="D17" s="10" t="s">
        <v>163</v>
      </c>
      <c r="E17" s="10" t="s">
        <v>256</v>
      </c>
      <c r="F17" s="10"/>
      <c r="G17" s="10" t="s">
        <v>257</v>
      </c>
      <c r="H17" s="10" t="s">
        <v>157</v>
      </c>
      <c r="I17" s="14" t="b">
        <v>1</v>
      </c>
      <c r="J17" s="10" t="s">
        <v>83</v>
      </c>
      <c r="K17" s="10"/>
      <c r="L17" s="10"/>
      <c r="M17" s="10"/>
      <c r="N17" s="10"/>
      <c r="O17" s="10"/>
      <c r="P17" s="17">
        <v>1554921.0</v>
      </c>
      <c r="Q17" s="14" t="b">
        <v>1</v>
      </c>
      <c r="R17" s="10"/>
    </row>
    <row r="18">
      <c r="A18" s="10" t="s">
        <v>262</v>
      </c>
      <c r="B18" s="10" t="s">
        <v>65</v>
      </c>
      <c r="C18" s="11">
        <v>45844.0</v>
      </c>
      <c r="D18" s="10" t="s">
        <v>189</v>
      </c>
      <c r="E18" s="10" t="s">
        <v>264</v>
      </c>
      <c r="F18" s="10"/>
      <c r="G18" s="10" t="s">
        <v>265</v>
      </c>
      <c r="H18" s="10" t="s">
        <v>195</v>
      </c>
      <c r="I18" s="14" t="b">
        <v>0</v>
      </c>
      <c r="J18" s="10" t="s">
        <v>83</v>
      </c>
      <c r="K18" s="10"/>
      <c r="L18" s="10"/>
      <c r="M18" s="10"/>
      <c r="N18" s="10"/>
      <c r="O18" s="10"/>
      <c r="P18" s="10"/>
      <c r="Q18" s="14" t="b">
        <v>1</v>
      </c>
      <c r="R18" s="10"/>
    </row>
    <row r="19">
      <c r="A19" s="10" t="s">
        <v>271</v>
      </c>
      <c r="B19" s="10" t="s">
        <v>65</v>
      </c>
      <c r="C19" s="11">
        <v>45844.0</v>
      </c>
      <c r="D19" s="10" t="s">
        <v>189</v>
      </c>
      <c r="E19" s="10" t="s">
        <v>264</v>
      </c>
      <c r="F19" s="10"/>
      <c r="G19" s="10" t="s">
        <v>273</v>
      </c>
      <c r="H19" s="10" t="s">
        <v>195</v>
      </c>
      <c r="I19" s="14" t="b">
        <v>0</v>
      </c>
      <c r="J19" s="10" t="s">
        <v>83</v>
      </c>
      <c r="K19" s="10"/>
      <c r="L19" s="10"/>
      <c r="M19" s="10"/>
      <c r="N19" s="10"/>
      <c r="O19" s="10"/>
      <c r="P19" s="10"/>
      <c r="Q19" s="14" t="b">
        <v>1</v>
      </c>
      <c r="R19" s="10"/>
    </row>
    <row r="20">
      <c r="A20" s="10" t="s">
        <v>276</v>
      </c>
      <c r="B20" s="10" t="s">
        <v>65</v>
      </c>
      <c r="C20" s="11">
        <v>45844.0</v>
      </c>
      <c r="D20" s="17">
        <v>8.627274E7</v>
      </c>
      <c r="E20" s="10" t="s">
        <v>281</v>
      </c>
      <c r="F20" s="10"/>
      <c r="G20" s="10" t="s">
        <v>282</v>
      </c>
      <c r="H20" s="10" t="s">
        <v>284</v>
      </c>
      <c r="I20" s="14" t="b">
        <v>1</v>
      </c>
      <c r="J20" s="10" t="s">
        <v>83</v>
      </c>
      <c r="K20" s="10"/>
      <c r="L20" s="10"/>
      <c r="M20" s="10"/>
      <c r="N20" s="10"/>
      <c r="O20" s="10"/>
      <c r="P20" s="17">
        <v>1560078.0</v>
      </c>
      <c r="Q20" s="14" t="b">
        <v>1</v>
      </c>
      <c r="R20" s="10"/>
    </row>
    <row r="21">
      <c r="A21" s="10" t="s">
        <v>288</v>
      </c>
      <c r="B21" s="10" t="s">
        <v>65</v>
      </c>
      <c r="C21" s="11">
        <v>45845.0</v>
      </c>
      <c r="D21" s="10" t="s">
        <v>189</v>
      </c>
      <c r="E21" s="10" t="s">
        <v>291</v>
      </c>
      <c r="F21" s="10"/>
      <c r="G21" s="10" t="s">
        <v>293</v>
      </c>
      <c r="H21" s="10" t="s">
        <v>195</v>
      </c>
      <c r="I21" s="14" t="b">
        <v>0</v>
      </c>
      <c r="J21" s="10" t="s">
        <v>83</v>
      </c>
      <c r="K21" s="10"/>
      <c r="L21" s="10"/>
      <c r="M21" s="10"/>
      <c r="N21" s="10"/>
      <c r="O21" s="10"/>
      <c r="P21" s="10"/>
      <c r="Q21" s="14" t="b">
        <v>1</v>
      </c>
      <c r="R21" s="10"/>
    </row>
    <row r="22">
      <c r="A22" s="10" t="s">
        <v>299</v>
      </c>
      <c r="B22" s="10" t="s">
        <v>65</v>
      </c>
      <c r="C22" s="11">
        <v>45845.0</v>
      </c>
      <c r="D22" s="10" t="s">
        <v>163</v>
      </c>
      <c r="E22" s="10" t="s">
        <v>300</v>
      </c>
      <c r="F22" s="10"/>
      <c r="G22" s="10" t="s">
        <v>301</v>
      </c>
      <c r="H22" s="10" t="s">
        <v>157</v>
      </c>
      <c r="I22" s="14" t="b">
        <v>1</v>
      </c>
      <c r="J22" s="10" t="s">
        <v>83</v>
      </c>
      <c r="K22" s="10"/>
      <c r="L22" s="10"/>
      <c r="M22" s="10"/>
      <c r="N22" s="10"/>
      <c r="O22" s="10"/>
      <c r="P22" s="17">
        <v>1561332.0</v>
      </c>
      <c r="Q22" s="14" t="b">
        <v>1</v>
      </c>
      <c r="R22" s="10"/>
    </row>
    <row r="23">
      <c r="A23" s="10" t="s">
        <v>306</v>
      </c>
      <c r="B23" s="10" t="s">
        <v>65</v>
      </c>
      <c r="C23" s="11">
        <v>45848.0</v>
      </c>
      <c r="D23" s="10" t="s">
        <v>309</v>
      </c>
      <c r="E23" s="10" t="s">
        <v>310</v>
      </c>
      <c r="F23" s="10"/>
      <c r="G23" s="10" t="s">
        <v>312</v>
      </c>
      <c r="H23" s="10" t="s">
        <v>314</v>
      </c>
      <c r="I23" s="14" t="b">
        <v>0</v>
      </c>
      <c r="J23" s="10" t="s">
        <v>83</v>
      </c>
      <c r="K23" s="10"/>
      <c r="L23" s="10"/>
      <c r="M23" s="10"/>
      <c r="N23" s="10"/>
      <c r="O23" s="10"/>
      <c r="P23" s="10"/>
      <c r="Q23" s="14" t="b">
        <v>1</v>
      </c>
      <c r="R23" s="10"/>
    </row>
    <row r="24">
      <c r="A24" s="10" t="s">
        <v>319</v>
      </c>
      <c r="B24" s="10" t="s">
        <v>65</v>
      </c>
      <c r="C24" s="11">
        <v>45847.0</v>
      </c>
      <c r="D24" s="10" t="s">
        <v>163</v>
      </c>
      <c r="E24" s="10" t="s">
        <v>322</v>
      </c>
      <c r="F24" s="10"/>
      <c r="G24" s="10" t="s">
        <v>324</v>
      </c>
      <c r="H24" s="10" t="s">
        <v>157</v>
      </c>
      <c r="I24" s="14" t="b">
        <v>1</v>
      </c>
      <c r="J24" s="10" t="s">
        <v>83</v>
      </c>
      <c r="K24" s="10"/>
      <c r="L24" s="10"/>
      <c r="M24" s="10"/>
      <c r="N24" s="10"/>
      <c r="O24" s="10"/>
      <c r="P24" s="17">
        <v>1563848.0</v>
      </c>
      <c r="Q24" s="14" t="b">
        <v>1</v>
      </c>
      <c r="R24" s="10"/>
    </row>
    <row r="25">
      <c r="A25" s="10" t="s">
        <v>330</v>
      </c>
      <c r="B25" s="10" t="s">
        <v>65</v>
      </c>
      <c r="C25" s="11">
        <v>45847.0</v>
      </c>
      <c r="D25" s="10" t="s">
        <v>145</v>
      </c>
      <c r="E25" s="10" t="s">
        <v>332</v>
      </c>
      <c r="F25" s="10"/>
      <c r="G25" s="10" t="s">
        <v>333</v>
      </c>
      <c r="H25" s="10" t="s">
        <v>149</v>
      </c>
      <c r="I25" s="14" t="b">
        <v>1</v>
      </c>
      <c r="J25" s="10" t="s">
        <v>83</v>
      </c>
      <c r="K25" s="10"/>
      <c r="L25" s="10"/>
      <c r="M25" s="10"/>
      <c r="N25" s="10"/>
      <c r="O25" s="10"/>
      <c r="P25" s="17">
        <v>1563754.0</v>
      </c>
      <c r="Q25" s="14" t="b">
        <v>1</v>
      </c>
      <c r="R25" s="10"/>
    </row>
    <row r="26">
      <c r="A26" s="10" t="s">
        <v>338</v>
      </c>
      <c r="B26" s="10" t="s">
        <v>65</v>
      </c>
      <c r="C26" s="11">
        <v>45849.0</v>
      </c>
      <c r="D26" s="17">
        <v>8.627274E7</v>
      </c>
      <c r="E26" s="10" t="s">
        <v>341</v>
      </c>
      <c r="F26" s="10"/>
      <c r="G26" s="10" t="s">
        <v>344</v>
      </c>
      <c r="H26" s="10" t="s">
        <v>157</v>
      </c>
      <c r="I26" s="14" t="b">
        <v>1</v>
      </c>
      <c r="J26" s="10" t="s">
        <v>83</v>
      </c>
      <c r="K26" s="10"/>
      <c r="L26" s="10"/>
      <c r="M26" s="10"/>
      <c r="N26" s="10"/>
      <c r="O26" s="10"/>
      <c r="P26" s="17">
        <v>1566647.0</v>
      </c>
      <c r="Q26" s="14" t="b">
        <v>1</v>
      </c>
      <c r="R26" s="10"/>
    </row>
    <row r="27">
      <c r="A27" s="10" t="s">
        <v>351</v>
      </c>
      <c r="B27" s="10" t="s">
        <v>65</v>
      </c>
      <c r="C27" s="11">
        <v>45849.0</v>
      </c>
      <c r="D27" s="10" t="s">
        <v>189</v>
      </c>
      <c r="E27" s="10" t="s">
        <v>355</v>
      </c>
      <c r="F27" s="10"/>
      <c r="G27" s="10" t="s">
        <v>356</v>
      </c>
      <c r="H27" s="10" t="s">
        <v>195</v>
      </c>
      <c r="I27" s="14" t="b">
        <v>0</v>
      </c>
      <c r="J27" s="10" t="s">
        <v>83</v>
      </c>
      <c r="K27" s="10"/>
      <c r="L27" s="10"/>
      <c r="M27" s="10"/>
      <c r="N27" s="10"/>
      <c r="O27" s="10"/>
      <c r="P27" s="10"/>
      <c r="Q27" s="14" t="b">
        <v>1</v>
      </c>
      <c r="R27" s="10"/>
    </row>
    <row r="28">
      <c r="A28" s="10" t="s">
        <v>360</v>
      </c>
      <c r="B28" s="10" t="s">
        <v>65</v>
      </c>
      <c r="C28" s="11">
        <v>45879.0</v>
      </c>
      <c r="D28" s="10" t="s">
        <v>363</v>
      </c>
      <c r="E28" s="10" t="s">
        <v>365</v>
      </c>
      <c r="F28" s="10"/>
      <c r="G28" s="10" t="s">
        <v>368</v>
      </c>
      <c r="H28" s="10" t="s">
        <v>369</v>
      </c>
      <c r="I28" s="14" t="b">
        <v>0</v>
      </c>
      <c r="J28" s="10" t="s">
        <v>83</v>
      </c>
      <c r="K28" s="10"/>
      <c r="L28" s="10"/>
      <c r="M28" s="10"/>
      <c r="N28" s="10"/>
      <c r="O28" s="10"/>
      <c r="P28" s="10"/>
      <c r="Q28" s="14" t="b">
        <v>1</v>
      </c>
      <c r="R28" s="10"/>
    </row>
    <row r="29">
      <c r="A29" s="10" t="s">
        <v>373</v>
      </c>
      <c r="B29" s="10" t="s">
        <v>65</v>
      </c>
      <c r="C29" s="11">
        <v>45845.0</v>
      </c>
      <c r="D29" s="10" t="s">
        <v>131</v>
      </c>
      <c r="E29" s="10" t="s">
        <v>375</v>
      </c>
      <c r="F29" s="10"/>
      <c r="G29" s="10" t="s">
        <v>376</v>
      </c>
      <c r="H29" s="10" t="s">
        <v>379</v>
      </c>
      <c r="I29" s="14" t="b">
        <v>0</v>
      </c>
      <c r="J29" s="10" t="s">
        <v>382</v>
      </c>
      <c r="K29" s="10"/>
      <c r="L29" s="10" t="s">
        <v>383</v>
      </c>
      <c r="M29" s="10" t="s">
        <v>384</v>
      </c>
      <c r="N29" s="10"/>
      <c r="O29" s="10"/>
      <c r="P29" s="10"/>
      <c r="Q29" s="14" t="b">
        <v>1</v>
      </c>
      <c r="R29" s="10"/>
    </row>
    <row r="30">
      <c r="A30" s="10" t="s">
        <v>387</v>
      </c>
      <c r="B30" s="10" t="s">
        <v>65</v>
      </c>
      <c r="C30" s="11">
        <v>45852.0</v>
      </c>
      <c r="D30" s="10" t="s">
        <v>202</v>
      </c>
      <c r="E30" s="10" t="s">
        <v>390</v>
      </c>
      <c r="F30" s="10"/>
      <c r="G30" s="10" t="s">
        <v>391</v>
      </c>
      <c r="H30" s="10" t="s">
        <v>392</v>
      </c>
      <c r="I30" s="14" t="b">
        <v>0</v>
      </c>
      <c r="J30" s="10" t="s">
        <v>83</v>
      </c>
      <c r="K30" s="10"/>
      <c r="L30" s="10" t="s">
        <v>396</v>
      </c>
      <c r="M30" s="10"/>
      <c r="N30" s="10"/>
      <c r="O30" s="10"/>
      <c r="P30" s="10"/>
      <c r="Q30" s="14" t="b">
        <v>1</v>
      </c>
      <c r="R30" s="10"/>
    </row>
    <row r="31">
      <c r="A31" s="10" t="s">
        <v>400</v>
      </c>
      <c r="B31" s="10" t="s">
        <v>65</v>
      </c>
      <c r="C31" s="11">
        <v>45852.0</v>
      </c>
      <c r="D31" s="10" t="s">
        <v>246</v>
      </c>
      <c r="E31" s="10" t="s">
        <v>403</v>
      </c>
      <c r="F31" s="10"/>
      <c r="G31" s="10" t="s">
        <v>404</v>
      </c>
      <c r="H31" s="10" t="s">
        <v>250</v>
      </c>
      <c r="I31" s="14" t="b">
        <v>0</v>
      </c>
      <c r="J31" s="10" t="s">
        <v>83</v>
      </c>
      <c r="K31" s="10"/>
      <c r="L31" s="10"/>
      <c r="M31" s="10"/>
      <c r="N31" s="10"/>
      <c r="O31" s="10"/>
      <c r="P31" s="10"/>
      <c r="Q31" s="14" t="b">
        <v>1</v>
      </c>
      <c r="R31" s="10"/>
    </row>
    <row r="32">
      <c r="A32" s="10" t="s">
        <v>409</v>
      </c>
      <c r="B32" s="10" t="s">
        <v>65</v>
      </c>
      <c r="C32" s="11">
        <v>45853.0</v>
      </c>
      <c r="D32" s="10" t="s">
        <v>145</v>
      </c>
      <c r="E32" s="10" t="s">
        <v>412</v>
      </c>
      <c r="F32" s="10"/>
      <c r="G32" s="10" t="s">
        <v>414</v>
      </c>
      <c r="H32" s="10" t="s">
        <v>149</v>
      </c>
      <c r="I32" s="14" t="b">
        <v>0</v>
      </c>
      <c r="J32" s="10" t="s">
        <v>83</v>
      </c>
      <c r="K32" s="10"/>
      <c r="L32" s="10"/>
      <c r="M32" s="10"/>
      <c r="N32" s="10"/>
      <c r="O32" s="10"/>
      <c r="P32" s="10"/>
      <c r="Q32" s="14" t="b">
        <v>1</v>
      </c>
      <c r="R32" s="10"/>
    </row>
    <row r="33">
      <c r="A33" s="10" t="s">
        <v>419</v>
      </c>
      <c r="B33" s="10" t="s">
        <v>65</v>
      </c>
      <c r="C33" s="11">
        <v>45855.0</v>
      </c>
      <c r="D33" s="10" t="s">
        <v>215</v>
      </c>
      <c r="E33" s="10" t="s">
        <v>423</v>
      </c>
      <c r="F33" s="10"/>
      <c r="G33" s="10" t="s">
        <v>425</v>
      </c>
      <c r="H33" s="10" t="s">
        <v>426</v>
      </c>
      <c r="I33" s="14" t="b">
        <v>0</v>
      </c>
      <c r="J33" s="10" t="s">
        <v>83</v>
      </c>
      <c r="K33" s="10"/>
      <c r="L33" s="10"/>
      <c r="M33" s="10"/>
      <c r="N33" s="10"/>
      <c r="O33" s="10"/>
      <c r="P33" s="10"/>
      <c r="Q33" s="14" t="b">
        <v>1</v>
      </c>
      <c r="R33" s="10"/>
    </row>
    <row r="34">
      <c r="A34" s="10" t="s">
        <v>431</v>
      </c>
      <c r="B34" s="10" t="s">
        <v>65</v>
      </c>
      <c r="C34" s="11">
        <v>45855.0</v>
      </c>
      <c r="D34" s="10" t="s">
        <v>434</v>
      </c>
      <c r="E34" s="10" t="s">
        <v>436</v>
      </c>
      <c r="F34" s="10"/>
      <c r="G34" s="10" t="s">
        <v>439</v>
      </c>
      <c r="H34" s="10" t="s">
        <v>441</v>
      </c>
      <c r="I34" s="14" t="b">
        <v>1</v>
      </c>
      <c r="J34" s="10" t="s">
        <v>83</v>
      </c>
      <c r="K34" s="10"/>
      <c r="L34" s="10"/>
      <c r="M34" s="10"/>
      <c r="N34" s="10"/>
      <c r="O34" s="10"/>
      <c r="P34" s="17">
        <v>1577124.0</v>
      </c>
      <c r="Q34" s="14" t="b">
        <v>1</v>
      </c>
      <c r="R34" s="10"/>
    </row>
    <row r="35">
      <c r="A35" s="10" t="s">
        <v>445</v>
      </c>
      <c r="B35" s="10" t="s">
        <v>65</v>
      </c>
      <c r="C35" s="11">
        <v>45855.0</v>
      </c>
      <c r="D35" s="17">
        <v>8.627274E7</v>
      </c>
      <c r="E35" s="10" t="s">
        <v>448</v>
      </c>
      <c r="F35" s="10"/>
      <c r="G35" s="10" t="s">
        <v>449</v>
      </c>
      <c r="H35" s="10" t="s">
        <v>157</v>
      </c>
      <c r="I35" s="14" t="b">
        <v>1</v>
      </c>
      <c r="J35" s="10" t="s">
        <v>83</v>
      </c>
      <c r="K35" s="10"/>
      <c r="L35" s="10"/>
      <c r="M35" s="10"/>
      <c r="N35" s="10"/>
      <c r="O35" s="10"/>
      <c r="P35" s="17">
        <v>1577126.0</v>
      </c>
      <c r="Q35" s="14" t="b">
        <v>1</v>
      </c>
      <c r="R35" s="10"/>
    </row>
    <row r="36">
      <c r="A36" s="10" t="s">
        <v>454</v>
      </c>
      <c r="B36" s="10" t="s">
        <v>65</v>
      </c>
      <c r="C36" s="11">
        <v>45853.0</v>
      </c>
      <c r="D36" s="10" t="s">
        <v>456</v>
      </c>
      <c r="E36" s="10" t="s">
        <v>458</v>
      </c>
      <c r="F36" s="10"/>
      <c r="G36" s="10" t="s">
        <v>461</v>
      </c>
      <c r="H36" s="10" t="s">
        <v>462</v>
      </c>
      <c r="I36" s="14" t="b">
        <v>1</v>
      </c>
      <c r="J36" s="10" t="s">
        <v>83</v>
      </c>
      <c r="K36" s="10"/>
      <c r="L36" s="10"/>
      <c r="M36" s="10"/>
      <c r="N36" s="10"/>
      <c r="O36" s="10"/>
      <c r="P36" s="17">
        <v>1574170.0</v>
      </c>
      <c r="Q36" s="14" t="b">
        <v>1</v>
      </c>
      <c r="R36" s="10"/>
    </row>
    <row r="37">
      <c r="A37" s="10" t="s">
        <v>468</v>
      </c>
      <c r="B37" s="10" t="s">
        <v>65</v>
      </c>
      <c r="C37" s="11">
        <v>45854.0</v>
      </c>
      <c r="D37" s="10" t="s">
        <v>189</v>
      </c>
      <c r="E37" s="10" t="s">
        <v>470</v>
      </c>
      <c r="F37" s="10"/>
      <c r="G37" s="10" t="s">
        <v>471</v>
      </c>
      <c r="H37" s="10" t="s">
        <v>195</v>
      </c>
      <c r="I37" s="14" t="b">
        <v>0</v>
      </c>
      <c r="J37" s="10" t="s">
        <v>83</v>
      </c>
      <c r="K37" s="10"/>
      <c r="L37" s="10" t="s">
        <v>474</v>
      </c>
      <c r="M37" s="10"/>
      <c r="N37" s="10"/>
      <c r="O37" s="10"/>
      <c r="P37" s="10"/>
      <c r="Q37" s="14" t="b">
        <v>1</v>
      </c>
      <c r="R37" s="10"/>
    </row>
    <row r="38">
      <c r="A38" s="10" t="s">
        <v>476</v>
      </c>
      <c r="B38" s="10" t="s">
        <v>65</v>
      </c>
      <c r="C38" s="11">
        <v>45853.0</v>
      </c>
      <c r="D38" s="10" t="s">
        <v>202</v>
      </c>
      <c r="E38" s="10" t="s">
        <v>478</v>
      </c>
      <c r="F38" s="10"/>
      <c r="G38" s="10" t="s">
        <v>480</v>
      </c>
      <c r="H38" s="10" t="s">
        <v>481</v>
      </c>
      <c r="I38" s="14" t="b">
        <v>0</v>
      </c>
      <c r="J38" s="10" t="s">
        <v>83</v>
      </c>
      <c r="K38" s="10"/>
      <c r="L38" s="10"/>
      <c r="M38" s="10"/>
      <c r="N38" s="10"/>
      <c r="O38" s="10"/>
      <c r="P38" s="10"/>
      <c r="Q38" s="14" t="b">
        <v>1</v>
      </c>
      <c r="R38" s="10"/>
    </row>
    <row r="39">
      <c r="A39" s="10" t="s">
        <v>484</v>
      </c>
      <c r="B39" s="10" t="s">
        <v>65</v>
      </c>
      <c r="C39" s="11">
        <v>45880.0</v>
      </c>
      <c r="D39" s="10" t="s">
        <v>342</v>
      </c>
      <c r="E39" s="10" t="s">
        <v>487</v>
      </c>
      <c r="F39" s="10"/>
      <c r="G39" s="10" t="s">
        <v>490</v>
      </c>
      <c r="H39" s="10" t="s">
        <v>491</v>
      </c>
      <c r="I39" s="14" t="b">
        <v>0</v>
      </c>
      <c r="J39" s="10" t="s">
        <v>83</v>
      </c>
      <c r="K39" s="10"/>
      <c r="L39" s="10"/>
      <c r="M39" s="10"/>
      <c r="N39" s="10"/>
      <c r="O39" s="10"/>
      <c r="P39" s="10"/>
      <c r="Q39" s="14" t="b">
        <v>1</v>
      </c>
      <c r="R39" s="10"/>
    </row>
    <row r="40">
      <c r="A40" s="10" t="s">
        <v>496</v>
      </c>
      <c r="B40" s="10" t="s">
        <v>65</v>
      </c>
      <c r="C40" s="11">
        <v>45857.0</v>
      </c>
      <c r="D40" s="10" t="s">
        <v>163</v>
      </c>
      <c r="E40" s="10" t="s">
        <v>497</v>
      </c>
      <c r="F40" s="10"/>
      <c r="G40" s="10" t="s">
        <v>499</v>
      </c>
      <c r="H40" s="10" t="s">
        <v>500</v>
      </c>
      <c r="I40" s="14" t="b">
        <v>1</v>
      </c>
      <c r="J40" s="10" t="s">
        <v>83</v>
      </c>
      <c r="K40" s="10"/>
      <c r="L40" s="10"/>
      <c r="M40" s="10"/>
      <c r="N40" s="10"/>
      <c r="O40" s="10"/>
      <c r="P40" s="17">
        <v>1580023.0</v>
      </c>
      <c r="Q40" s="14" t="b">
        <v>1</v>
      </c>
      <c r="R40" s="10"/>
    </row>
    <row r="41">
      <c r="A41" s="10" t="s">
        <v>505</v>
      </c>
      <c r="B41" s="10" t="s">
        <v>65</v>
      </c>
      <c r="C41" s="11">
        <v>45856.0</v>
      </c>
      <c r="D41" s="10" t="s">
        <v>507</v>
      </c>
      <c r="E41" s="10" t="s">
        <v>508</v>
      </c>
      <c r="F41" s="10"/>
      <c r="G41" s="10" t="s">
        <v>510</v>
      </c>
      <c r="H41" s="10" t="s">
        <v>512</v>
      </c>
      <c r="I41" s="14" t="b">
        <v>1</v>
      </c>
      <c r="J41" s="10" t="s">
        <v>83</v>
      </c>
      <c r="K41" s="10"/>
      <c r="L41" s="10"/>
      <c r="M41" s="10"/>
      <c r="N41" s="10"/>
      <c r="O41" s="10"/>
      <c r="P41" s="17">
        <v>1580035.0</v>
      </c>
      <c r="Q41" s="14" t="b">
        <v>1</v>
      </c>
      <c r="R41" s="10"/>
    </row>
    <row r="42">
      <c r="A42" s="10" t="s">
        <v>514</v>
      </c>
      <c r="B42" s="10" t="s">
        <v>65</v>
      </c>
      <c r="C42" s="11">
        <v>45857.0</v>
      </c>
      <c r="D42" s="10" t="s">
        <v>246</v>
      </c>
      <c r="E42" s="10" t="s">
        <v>515</v>
      </c>
      <c r="F42" s="10"/>
      <c r="G42" s="10" t="s">
        <v>516</v>
      </c>
      <c r="H42" s="10" t="s">
        <v>250</v>
      </c>
      <c r="I42" s="14" t="b">
        <v>0</v>
      </c>
      <c r="J42" s="10" t="s">
        <v>83</v>
      </c>
      <c r="K42" s="10"/>
      <c r="L42" s="10"/>
      <c r="M42" s="10"/>
      <c r="N42" s="10"/>
      <c r="O42" s="10"/>
      <c r="P42" s="10"/>
      <c r="Q42" s="14" t="b">
        <v>1</v>
      </c>
      <c r="R42" s="10"/>
    </row>
    <row r="43">
      <c r="A43" s="10" t="s">
        <v>518</v>
      </c>
      <c r="B43" s="10" t="s">
        <v>65</v>
      </c>
      <c r="C43" s="11">
        <v>45856.0</v>
      </c>
      <c r="D43" s="10" t="s">
        <v>246</v>
      </c>
      <c r="E43" s="10" t="s">
        <v>520</v>
      </c>
      <c r="F43" s="10"/>
      <c r="G43" s="10" t="s">
        <v>522</v>
      </c>
      <c r="H43" s="10" t="s">
        <v>250</v>
      </c>
      <c r="I43" s="14" t="b">
        <v>0</v>
      </c>
      <c r="J43" s="10" t="s">
        <v>83</v>
      </c>
      <c r="K43" s="10"/>
      <c r="L43" s="10"/>
      <c r="M43" s="10"/>
      <c r="N43" s="10"/>
      <c r="O43" s="10"/>
      <c r="P43" s="10"/>
      <c r="Q43" s="14" t="b">
        <v>1</v>
      </c>
      <c r="R43" s="10"/>
    </row>
    <row r="44">
      <c r="A44" s="10" t="s">
        <v>524</v>
      </c>
      <c r="B44" s="10" t="s">
        <v>65</v>
      </c>
      <c r="C44" s="11">
        <v>45858.0</v>
      </c>
      <c r="D44" s="10" t="s">
        <v>163</v>
      </c>
      <c r="E44" s="10" t="s">
        <v>527</v>
      </c>
      <c r="F44" s="10"/>
      <c r="G44" s="10" t="s">
        <v>528</v>
      </c>
      <c r="H44" s="10" t="s">
        <v>529</v>
      </c>
      <c r="I44" s="14" t="b">
        <v>1</v>
      </c>
      <c r="J44" s="10" t="s">
        <v>83</v>
      </c>
      <c r="K44" s="10"/>
      <c r="L44" s="10"/>
      <c r="M44" s="10"/>
      <c r="N44" s="10"/>
      <c r="O44" s="10"/>
      <c r="P44" s="17">
        <v>1582427.0</v>
      </c>
      <c r="Q44" s="14" t="b">
        <v>1</v>
      </c>
      <c r="R44" s="10"/>
    </row>
    <row r="45">
      <c r="A45" s="10" t="s">
        <v>531</v>
      </c>
      <c r="B45" s="10" t="s">
        <v>65</v>
      </c>
      <c r="C45" s="11">
        <v>45857.0</v>
      </c>
      <c r="D45" s="10" t="s">
        <v>189</v>
      </c>
      <c r="E45" s="10" t="s">
        <v>534</v>
      </c>
      <c r="F45" s="10"/>
      <c r="G45" s="10" t="s">
        <v>535</v>
      </c>
      <c r="H45" s="10" t="s">
        <v>195</v>
      </c>
      <c r="I45" s="14" t="b">
        <v>0</v>
      </c>
      <c r="J45" s="10" t="s">
        <v>83</v>
      </c>
      <c r="K45" s="10"/>
      <c r="L45" s="10"/>
      <c r="M45" s="10"/>
      <c r="N45" s="10"/>
      <c r="O45" s="10"/>
      <c r="P45" s="10"/>
      <c r="Q45" s="14" t="b">
        <v>1</v>
      </c>
      <c r="R45" s="10"/>
    </row>
    <row r="46">
      <c r="A46" s="10" t="s">
        <v>539</v>
      </c>
      <c r="B46" s="10" t="s">
        <v>65</v>
      </c>
      <c r="C46" s="11">
        <v>45860.0</v>
      </c>
      <c r="D46" s="10" t="s">
        <v>202</v>
      </c>
      <c r="E46" s="10" t="s">
        <v>540</v>
      </c>
      <c r="F46" s="10"/>
      <c r="G46" s="10" t="s">
        <v>543</v>
      </c>
      <c r="H46" s="10" t="s">
        <v>481</v>
      </c>
      <c r="I46" s="14" t="b">
        <v>0</v>
      </c>
      <c r="J46" s="10" t="s">
        <v>83</v>
      </c>
      <c r="K46" s="10"/>
      <c r="L46" s="10"/>
      <c r="M46" s="10"/>
      <c r="N46" s="10"/>
      <c r="O46" s="10"/>
      <c r="P46" s="10"/>
      <c r="Q46" s="14" t="b">
        <v>1</v>
      </c>
      <c r="R46" s="10"/>
    </row>
    <row r="47">
      <c r="A47" s="10" t="s">
        <v>546</v>
      </c>
      <c r="B47" s="10" t="s">
        <v>65</v>
      </c>
      <c r="C47" s="11">
        <v>45860.0</v>
      </c>
      <c r="D47" s="10" t="s">
        <v>246</v>
      </c>
      <c r="E47" s="10" t="s">
        <v>547</v>
      </c>
      <c r="F47" s="10"/>
      <c r="G47" s="10" t="s">
        <v>549</v>
      </c>
      <c r="H47" s="10" t="s">
        <v>250</v>
      </c>
      <c r="I47" s="14" t="b">
        <v>0</v>
      </c>
      <c r="J47" s="10" t="s">
        <v>83</v>
      </c>
      <c r="K47" s="10"/>
      <c r="L47" s="10"/>
      <c r="M47" s="10"/>
      <c r="N47" s="10"/>
      <c r="O47" s="10"/>
      <c r="P47" s="10"/>
      <c r="Q47" s="14" t="b">
        <v>1</v>
      </c>
      <c r="R47" s="10"/>
    </row>
    <row r="48">
      <c r="A48" s="10" t="s">
        <v>554</v>
      </c>
      <c r="B48" s="10" t="s">
        <v>65</v>
      </c>
      <c r="C48" s="11">
        <v>45862.0</v>
      </c>
      <c r="D48" s="10" t="s">
        <v>557</v>
      </c>
      <c r="E48" s="10" t="s">
        <v>558</v>
      </c>
      <c r="F48" s="10"/>
      <c r="G48" s="10" t="s">
        <v>560</v>
      </c>
      <c r="H48" s="10" t="s">
        <v>562</v>
      </c>
      <c r="I48" s="14" t="b">
        <v>1</v>
      </c>
      <c r="J48" s="10" t="s">
        <v>83</v>
      </c>
      <c r="K48" s="10"/>
      <c r="L48" s="10"/>
      <c r="M48" s="10"/>
      <c r="N48" s="10"/>
      <c r="O48" s="10"/>
      <c r="P48" s="17">
        <v>1588964.0</v>
      </c>
      <c r="Q48" s="14" t="b">
        <v>1</v>
      </c>
      <c r="R48" s="10"/>
    </row>
    <row r="49">
      <c r="A49" s="10" t="s">
        <v>566</v>
      </c>
      <c r="B49" s="10" t="s">
        <v>65</v>
      </c>
      <c r="C49" s="11">
        <v>45862.0</v>
      </c>
      <c r="D49" s="17">
        <v>8.627274E7</v>
      </c>
      <c r="E49" s="10" t="s">
        <v>569</v>
      </c>
      <c r="F49" s="10"/>
      <c r="G49" s="10" t="s">
        <v>570</v>
      </c>
      <c r="H49" s="10" t="s">
        <v>529</v>
      </c>
      <c r="I49" s="14" t="b">
        <v>1</v>
      </c>
      <c r="J49" s="10" t="s">
        <v>83</v>
      </c>
      <c r="K49" s="10"/>
      <c r="L49" s="10"/>
      <c r="M49" s="10"/>
      <c r="N49" s="10"/>
      <c r="O49" s="10"/>
      <c r="P49" s="17">
        <v>1588966.0</v>
      </c>
      <c r="Q49" s="14" t="b">
        <v>1</v>
      </c>
      <c r="R49" s="10"/>
    </row>
    <row r="50">
      <c r="A50" s="10" t="s">
        <v>578</v>
      </c>
      <c r="B50" s="10" t="s">
        <v>65</v>
      </c>
      <c r="C50" s="11">
        <v>45862.0</v>
      </c>
      <c r="D50" s="10" t="s">
        <v>580</v>
      </c>
      <c r="E50" s="10" t="s">
        <v>582</v>
      </c>
      <c r="F50" s="10"/>
      <c r="G50" s="10" t="s">
        <v>584</v>
      </c>
      <c r="H50" s="10" t="s">
        <v>586</v>
      </c>
      <c r="I50" s="14" t="b">
        <v>1</v>
      </c>
      <c r="J50" s="10" t="s">
        <v>83</v>
      </c>
      <c r="K50" s="10"/>
      <c r="L50" s="10"/>
      <c r="M50" s="10"/>
      <c r="N50" s="10"/>
      <c r="O50" s="10"/>
      <c r="P50" s="17">
        <v>1588992.0</v>
      </c>
      <c r="Q50" s="14" t="b">
        <v>1</v>
      </c>
      <c r="R50" s="10"/>
    </row>
    <row r="51">
      <c r="A51" s="10" t="s">
        <v>588</v>
      </c>
      <c r="B51" s="10" t="s">
        <v>65</v>
      </c>
      <c r="C51" s="11">
        <v>45862.0</v>
      </c>
      <c r="D51" s="10" t="s">
        <v>189</v>
      </c>
      <c r="E51" s="10" t="s">
        <v>591</v>
      </c>
      <c r="F51" s="10"/>
      <c r="G51" s="10" t="s">
        <v>592</v>
      </c>
      <c r="H51" s="10" t="s">
        <v>195</v>
      </c>
      <c r="I51" s="14" t="b">
        <v>0</v>
      </c>
      <c r="J51" s="10" t="s">
        <v>83</v>
      </c>
      <c r="K51" s="10"/>
      <c r="L51" s="10"/>
      <c r="M51" s="10"/>
      <c r="N51" s="10"/>
      <c r="O51" s="10"/>
      <c r="P51" s="10"/>
      <c r="Q51" s="14" t="b">
        <v>1</v>
      </c>
      <c r="R51" s="10"/>
    </row>
    <row r="52">
      <c r="A52" s="10" t="s">
        <v>597</v>
      </c>
      <c r="B52" s="10" t="s">
        <v>65</v>
      </c>
      <c r="C52" s="11">
        <v>45862.0</v>
      </c>
      <c r="D52" s="10" t="s">
        <v>599</v>
      </c>
      <c r="E52" s="10" t="s">
        <v>601</v>
      </c>
      <c r="F52" s="10"/>
      <c r="G52" s="10" t="s">
        <v>602</v>
      </c>
      <c r="H52" s="10" t="s">
        <v>603</v>
      </c>
      <c r="I52" s="14" t="b">
        <v>1</v>
      </c>
      <c r="J52" s="10" t="s">
        <v>83</v>
      </c>
      <c r="K52" s="10"/>
      <c r="L52" s="10"/>
      <c r="M52" s="10"/>
      <c r="N52" s="10"/>
      <c r="O52" s="10"/>
      <c r="P52" s="17">
        <v>1589060.0</v>
      </c>
      <c r="Q52" s="14" t="b">
        <v>1</v>
      </c>
      <c r="R52" s="10"/>
    </row>
    <row r="53">
      <c r="A53" s="10" t="s">
        <v>608</v>
      </c>
      <c r="B53" s="10" t="s">
        <v>65</v>
      </c>
      <c r="C53" s="11">
        <v>45862.0</v>
      </c>
      <c r="D53" s="10" t="s">
        <v>145</v>
      </c>
      <c r="E53" s="10" t="s">
        <v>610</v>
      </c>
      <c r="F53" s="10"/>
      <c r="G53" s="10" t="s">
        <v>611</v>
      </c>
      <c r="H53" s="10" t="s">
        <v>149</v>
      </c>
      <c r="I53" s="14" t="b">
        <v>0</v>
      </c>
      <c r="J53" s="10" t="s">
        <v>83</v>
      </c>
      <c r="K53" s="10"/>
      <c r="L53" s="10"/>
      <c r="M53" s="10"/>
      <c r="N53" s="10"/>
      <c r="O53" s="10"/>
      <c r="P53" s="10"/>
      <c r="Q53" s="14" t="b">
        <v>1</v>
      </c>
      <c r="R53" s="10"/>
    </row>
    <row r="54">
      <c r="A54" s="10" t="s">
        <v>615</v>
      </c>
      <c r="B54" s="10" t="s">
        <v>65</v>
      </c>
      <c r="C54" s="11">
        <v>45860.0</v>
      </c>
      <c r="D54" s="10" t="s">
        <v>131</v>
      </c>
      <c r="E54" s="10" t="s">
        <v>618</v>
      </c>
      <c r="F54" s="10"/>
      <c r="G54" s="10" t="s">
        <v>621</v>
      </c>
      <c r="H54" s="10" t="s">
        <v>622</v>
      </c>
      <c r="I54" s="14" t="b">
        <v>0</v>
      </c>
      <c r="J54" s="10" t="s">
        <v>382</v>
      </c>
      <c r="K54" s="10"/>
      <c r="L54" s="10" t="s">
        <v>624</v>
      </c>
      <c r="M54" s="10" t="s">
        <v>625</v>
      </c>
      <c r="N54" s="10"/>
      <c r="O54" s="10"/>
      <c r="P54" s="10"/>
      <c r="Q54" s="14" t="b">
        <v>1</v>
      </c>
      <c r="R54" s="10"/>
    </row>
    <row r="55">
      <c r="A55" s="17">
        <v>2.8660492E7</v>
      </c>
      <c r="B55" s="10" t="s">
        <v>65</v>
      </c>
      <c r="C55" s="11">
        <v>45863.0</v>
      </c>
      <c r="D55" s="10" t="s">
        <v>202</v>
      </c>
      <c r="E55" s="10" t="s">
        <v>632</v>
      </c>
      <c r="F55" s="10"/>
      <c r="G55" s="10" t="s">
        <v>633</v>
      </c>
      <c r="H55" s="10" t="s">
        <v>481</v>
      </c>
      <c r="I55" s="14" t="b">
        <v>0</v>
      </c>
      <c r="J55" s="10" t="s">
        <v>83</v>
      </c>
      <c r="K55" s="10"/>
      <c r="L55" s="10"/>
      <c r="M55" s="10"/>
      <c r="N55" s="10"/>
      <c r="O55" s="10"/>
      <c r="P55" s="10"/>
      <c r="Q55" s="14" t="b">
        <v>1</v>
      </c>
      <c r="R55" s="10"/>
    </row>
    <row r="56">
      <c r="A56" s="10" t="s">
        <v>637</v>
      </c>
      <c r="B56" s="10" t="s">
        <v>65</v>
      </c>
      <c r="C56" s="11">
        <v>45864.0</v>
      </c>
      <c r="D56" s="10" t="s">
        <v>189</v>
      </c>
      <c r="E56" s="10" t="s">
        <v>640</v>
      </c>
      <c r="F56" s="10"/>
      <c r="G56" s="10" t="s">
        <v>641</v>
      </c>
      <c r="H56" s="10" t="s">
        <v>195</v>
      </c>
      <c r="I56" s="14" t="b">
        <v>0</v>
      </c>
      <c r="J56" s="10" t="s">
        <v>83</v>
      </c>
      <c r="K56" s="10"/>
      <c r="L56" s="10"/>
      <c r="M56" s="10"/>
      <c r="N56" s="10"/>
      <c r="O56" s="10"/>
      <c r="P56" s="10"/>
      <c r="Q56" s="14" t="b">
        <v>1</v>
      </c>
      <c r="R56" s="10"/>
    </row>
    <row r="57">
      <c r="A57" s="10" t="s">
        <v>645</v>
      </c>
      <c r="B57" s="10" t="s">
        <v>65</v>
      </c>
      <c r="C57" s="11">
        <v>45862.0</v>
      </c>
      <c r="D57" s="10" t="s">
        <v>131</v>
      </c>
      <c r="E57" s="10" t="s">
        <v>647</v>
      </c>
      <c r="F57" s="10"/>
      <c r="G57" s="10" t="s">
        <v>650</v>
      </c>
      <c r="H57" s="10" t="s">
        <v>171</v>
      </c>
      <c r="I57" s="14" t="b">
        <v>0</v>
      </c>
      <c r="J57" s="10" t="s">
        <v>83</v>
      </c>
      <c r="K57" s="10"/>
      <c r="L57" s="10" t="s">
        <v>653</v>
      </c>
      <c r="M57" s="10" t="s">
        <v>654</v>
      </c>
      <c r="N57" s="10"/>
      <c r="O57" s="10"/>
      <c r="P57" s="10"/>
      <c r="Q57" s="14" t="b">
        <v>1</v>
      </c>
      <c r="R57" s="10"/>
    </row>
    <row r="58">
      <c r="A58" s="10" t="s">
        <v>658</v>
      </c>
      <c r="B58" s="10" t="s">
        <v>65</v>
      </c>
      <c r="C58" s="11">
        <v>45843.0</v>
      </c>
      <c r="D58" s="10" t="s">
        <v>246</v>
      </c>
      <c r="E58" s="10" t="s">
        <v>660</v>
      </c>
      <c r="F58" s="10"/>
      <c r="G58" s="10" t="s">
        <v>663</v>
      </c>
      <c r="H58" s="10" t="s">
        <v>250</v>
      </c>
      <c r="I58" s="14" t="b">
        <v>0</v>
      </c>
      <c r="J58" s="10" t="s">
        <v>83</v>
      </c>
      <c r="K58" s="10"/>
      <c r="L58" s="10"/>
      <c r="M58" s="10"/>
      <c r="N58" s="10"/>
      <c r="O58" s="10"/>
      <c r="P58" s="10"/>
      <c r="Q58" s="14" t="b">
        <v>1</v>
      </c>
      <c r="R58" s="10"/>
    </row>
    <row r="59">
      <c r="A59" s="10" t="s">
        <v>668</v>
      </c>
      <c r="B59" s="10" t="s">
        <v>65</v>
      </c>
      <c r="C59" s="11">
        <v>45862.0</v>
      </c>
      <c r="D59" s="10" t="s">
        <v>670</v>
      </c>
      <c r="E59" s="10" t="s">
        <v>672</v>
      </c>
      <c r="F59" s="10"/>
      <c r="G59" s="10" t="s">
        <v>673</v>
      </c>
      <c r="H59" s="10" t="s">
        <v>287</v>
      </c>
      <c r="I59" s="14" t="b">
        <v>0</v>
      </c>
      <c r="J59" s="10" t="s">
        <v>83</v>
      </c>
      <c r="K59" s="10"/>
      <c r="L59" s="10"/>
      <c r="M59" s="10"/>
      <c r="N59" s="10"/>
      <c r="O59" s="10"/>
      <c r="P59" s="10"/>
      <c r="Q59" s="14" t="b">
        <v>1</v>
      </c>
      <c r="R59" s="10"/>
    </row>
    <row r="60">
      <c r="A60" s="10" t="s">
        <v>680</v>
      </c>
      <c r="B60" s="10" t="s">
        <v>65</v>
      </c>
      <c r="C60" s="11">
        <v>45866.0</v>
      </c>
      <c r="D60" s="10" t="s">
        <v>268</v>
      </c>
      <c r="E60" s="10" t="s">
        <v>681</v>
      </c>
      <c r="F60" s="10"/>
      <c r="G60" s="10" t="s">
        <v>683</v>
      </c>
      <c r="H60" s="10" t="s">
        <v>287</v>
      </c>
      <c r="I60" s="14" t="b">
        <v>0</v>
      </c>
      <c r="J60" s="10" t="s">
        <v>83</v>
      </c>
      <c r="K60" s="10"/>
      <c r="L60" s="10"/>
      <c r="M60" s="10"/>
      <c r="N60" s="10"/>
      <c r="O60" s="10"/>
      <c r="P60" s="10"/>
      <c r="Q60" s="14" t="b">
        <v>1</v>
      </c>
      <c r="R60" s="10"/>
    </row>
    <row r="61">
      <c r="A61" s="10" t="s">
        <v>689</v>
      </c>
      <c r="B61" s="10" t="s">
        <v>65</v>
      </c>
      <c r="C61" s="11">
        <v>45866.0</v>
      </c>
      <c r="D61" s="10" t="s">
        <v>163</v>
      </c>
      <c r="E61" s="10" t="s">
        <v>692</v>
      </c>
      <c r="F61" s="10"/>
      <c r="G61" s="10" t="s">
        <v>693</v>
      </c>
      <c r="H61" s="10" t="s">
        <v>529</v>
      </c>
      <c r="I61" s="14" t="b">
        <v>1</v>
      </c>
      <c r="J61" s="10" t="s">
        <v>83</v>
      </c>
      <c r="K61" s="10"/>
      <c r="L61" s="10"/>
      <c r="M61" s="10"/>
      <c r="N61" s="10"/>
      <c r="O61" s="10"/>
      <c r="P61" s="17">
        <v>1596620.0</v>
      </c>
      <c r="Q61" s="14" t="b">
        <v>1</v>
      </c>
      <c r="R61" s="10"/>
    </row>
    <row r="62">
      <c r="A62" s="10" t="s">
        <v>696</v>
      </c>
      <c r="B62" s="10" t="s">
        <v>65</v>
      </c>
      <c r="C62" s="11">
        <v>45867.0</v>
      </c>
      <c r="D62" s="10" t="s">
        <v>163</v>
      </c>
      <c r="E62" s="10" t="s">
        <v>698</v>
      </c>
      <c r="F62" s="10"/>
      <c r="G62" s="10" t="s">
        <v>701</v>
      </c>
      <c r="H62" s="10" t="s">
        <v>157</v>
      </c>
      <c r="I62" s="14" t="b">
        <v>1</v>
      </c>
      <c r="J62" s="10" t="s">
        <v>83</v>
      </c>
      <c r="K62" s="10"/>
      <c r="L62" s="10"/>
      <c r="M62" s="10"/>
      <c r="N62" s="10"/>
      <c r="O62" s="10"/>
      <c r="P62" s="17">
        <v>1597590.0</v>
      </c>
      <c r="Q62" s="14" t="b">
        <v>1</v>
      </c>
      <c r="R62" s="10"/>
    </row>
    <row r="63">
      <c r="A63" s="10" t="s">
        <v>704</v>
      </c>
      <c r="B63" s="10" t="s">
        <v>65</v>
      </c>
      <c r="C63" s="11">
        <v>45867.0</v>
      </c>
      <c r="D63" s="10" t="s">
        <v>706</v>
      </c>
      <c r="E63" s="10" t="s">
        <v>707</v>
      </c>
      <c r="F63" s="10"/>
      <c r="G63" s="10" t="s">
        <v>708</v>
      </c>
      <c r="H63" s="10" t="s">
        <v>709</v>
      </c>
      <c r="I63" s="14" t="b">
        <v>1</v>
      </c>
      <c r="J63" s="10" t="s">
        <v>83</v>
      </c>
      <c r="K63" s="10"/>
      <c r="L63" s="10"/>
      <c r="M63" s="10"/>
      <c r="N63" s="10"/>
      <c r="O63" s="10"/>
      <c r="P63" s="17">
        <v>1597544.0</v>
      </c>
      <c r="Q63" s="14" t="b">
        <v>1</v>
      </c>
      <c r="R63" s="10"/>
    </row>
    <row r="64">
      <c r="A64" s="10" t="s">
        <v>712</v>
      </c>
      <c r="B64" s="10" t="s">
        <v>65</v>
      </c>
      <c r="C64" s="11">
        <v>45867.0</v>
      </c>
      <c r="D64" s="10" t="s">
        <v>715</v>
      </c>
      <c r="E64" s="10" t="s">
        <v>716</v>
      </c>
      <c r="F64" s="10"/>
      <c r="G64" s="10" t="s">
        <v>717</v>
      </c>
      <c r="H64" s="10" t="s">
        <v>719</v>
      </c>
      <c r="I64" s="14" t="b">
        <v>1</v>
      </c>
      <c r="J64" s="10" t="s">
        <v>83</v>
      </c>
      <c r="K64" s="10"/>
      <c r="L64" s="10"/>
      <c r="M64" s="10"/>
      <c r="N64" s="10"/>
      <c r="O64" s="10"/>
      <c r="P64" s="17">
        <v>1597365.0</v>
      </c>
      <c r="Q64" s="14" t="b">
        <v>1</v>
      </c>
      <c r="R64" s="10"/>
    </row>
    <row r="65">
      <c r="A65" s="10" t="s">
        <v>723</v>
      </c>
      <c r="B65" s="10" t="s">
        <v>65</v>
      </c>
      <c r="C65" s="11">
        <v>45867.0</v>
      </c>
      <c r="D65" s="10" t="s">
        <v>580</v>
      </c>
      <c r="E65" s="10" t="s">
        <v>724</v>
      </c>
      <c r="F65" s="10"/>
      <c r="G65" s="10" t="s">
        <v>726</v>
      </c>
      <c r="H65" s="10" t="s">
        <v>727</v>
      </c>
      <c r="I65" s="14" t="b">
        <v>1</v>
      </c>
      <c r="J65" s="10" t="s">
        <v>83</v>
      </c>
      <c r="K65" s="10"/>
      <c r="L65" s="10"/>
      <c r="M65" s="10"/>
      <c r="N65" s="10"/>
      <c r="O65" s="10"/>
      <c r="P65" s="17">
        <v>1597385.0</v>
      </c>
      <c r="Q65" s="14" t="b">
        <v>1</v>
      </c>
      <c r="R65" s="10"/>
    </row>
    <row r="66">
      <c r="A66" s="10" t="s">
        <v>730</v>
      </c>
      <c r="B66" s="10" t="s">
        <v>65</v>
      </c>
      <c r="C66" s="11">
        <v>45870.0</v>
      </c>
      <c r="D66" s="10" t="s">
        <v>731</v>
      </c>
      <c r="E66" s="10" t="s">
        <v>732</v>
      </c>
      <c r="F66" s="10"/>
      <c r="G66" s="10" t="s">
        <v>733</v>
      </c>
      <c r="H66" s="10" t="s">
        <v>734</v>
      </c>
      <c r="I66" s="14" t="b">
        <v>1</v>
      </c>
      <c r="J66" s="10" t="s">
        <v>83</v>
      </c>
      <c r="K66" s="10"/>
      <c r="L66" s="10"/>
      <c r="M66" s="10"/>
      <c r="N66" s="10"/>
      <c r="O66" s="10"/>
      <c r="P66" s="17">
        <v>1601234.0</v>
      </c>
      <c r="Q66" s="14" t="b">
        <v>1</v>
      </c>
      <c r="R66" s="10"/>
    </row>
    <row r="67">
      <c r="A67" s="10" t="s">
        <v>741</v>
      </c>
      <c r="B67" s="10" t="s">
        <v>65</v>
      </c>
      <c r="C67" s="11">
        <v>45869.0</v>
      </c>
      <c r="D67" s="17">
        <v>8.627274E7</v>
      </c>
      <c r="E67" s="10" t="s">
        <v>742</v>
      </c>
      <c r="F67" s="10"/>
      <c r="G67" s="10" t="s">
        <v>744</v>
      </c>
      <c r="H67" s="10" t="s">
        <v>746</v>
      </c>
      <c r="I67" s="14" t="b">
        <v>1</v>
      </c>
      <c r="J67" s="10" t="s">
        <v>83</v>
      </c>
      <c r="K67" s="10"/>
      <c r="L67" s="10"/>
      <c r="M67" s="10"/>
      <c r="N67" s="10"/>
      <c r="O67" s="10"/>
      <c r="P67" s="17">
        <v>1601469.0</v>
      </c>
      <c r="Q67" s="14" t="b">
        <v>1</v>
      </c>
      <c r="R67" s="10"/>
    </row>
    <row r="68">
      <c r="A68" s="10" t="s">
        <v>750</v>
      </c>
      <c r="B68" s="10" t="s">
        <v>65</v>
      </c>
      <c r="C68" s="11">
        <v>45870.0</v>
      </c>
      <c r="D68" s="10" t="s">
        <v>751</v>
      </c>
      <c r="E68" s="10" t="s">
        <v>753</v>
      </c>
      <c r="F68" s="10"/>
      <c r="G68" s="10" t="s">
        <v>756</v>
      </c>
      <c r="H68" s="10" t="s">
        <v>481</v>
      </c>
      <c r="I68" s="14" t="b">
        <v>0</v>
      </c>
      <c r="J68" s="10" t="s">
        <v>83</v>
      </c>
      <c r="K68" s="10"/>
      <c r="L68" s="10"/>
      <c r="M68" s="10"/>
      <c r="N68" s="10"/>
      <c r="O68" s="10"/>
      <c r="P68" s="10"/>
      <c r="Q68" s="14" t="b">
        <v>1</v>
      </c>
      <c r="R68" s="10"/>
    </row>
    <row r="69">
      <c r="A69" s="10" t="s">
        <v>761</v>
      </c>
      <c r="B69" s="10" t="s">
        <v>65</v>
      </c>
      <c r="C69" s="11">
        <v>45869.0</v>
      </c>
      <c r="D69" s="10" t="s">
        <v>189</v>
      </c>
      <c r="E69" s="10" t="s">
        <v>762</v>
      </c>
      <c r="F69" s="10"/>
      <c r="G69" s="10" t="s">
        <v>763</v>
      </c>
      <c r="H69" s="10" t="s">
        <v>195</v>
      </c>
      <c r="I69" s="14" t="b">
        <v>0</v>
      </c>
      <c r="J69" s="10" t="s">
        <v>83</v>
      </c>
      <c r="K69" s="10"/>
      <c r="L69" s="10"/>
      <c r="M69" s="10"/>
      <c r="N69" s="10"/>
      <c r="O69" s="10"/>
      <c r="P69" s="10"/>
      <c r="Q69" s="14" t="b">
        <v>1</v>
      </c>
      <c r="R69" s="10"/>
    </row>
    <row r="70">
      <c r="A70" s="10" t="s">
        <v>767</v>
      </c>
      <c r="B70" s="10" t="s">
        <v>65</v>
      </c>
      <c r="C70" s="11">
        <v>45870.0</v>
      </c>
      <c r="D70" s="10" t="s">
        <v>202</v>
      </c>
      <c r="E70" s="10" t="s">
        <v>770</v>
      </c>
      <c r="F70" s="10"/>
      <c r="G70" s="10" t="s">
        <v>771</v>
      </c>
      <c r="H70" s="10" t="s">
        <v>481</v>
      </c>
      <c r="I70" s="14" t="b">
        <v>0</v>
      </c>
      <c r="J70" s="10" t="s">
        <v>83</v>
      </c>
      <c r="K70" s="10"/>
      <c r="L70" s="10"/>
      <c r="M70" s="10"/>
      <c r="N70" s="10"/>
      <c r="O70" s="10"/>
      <c r="P70" s="10"/>
      <c r="Q70" s="14" t="b">
        <v>1</v>
      </c>
      <c r="R70" s="10"/>
    </row>
    <row r="71">
      <c r="A71" s="10" t="s">
        <v>774</v>
      </c>
      <c r="B71" s="10" t="s">
        <v>65</v>
      </c>
      <c r="C71" s="11">
        <v>45872.0</v>
      </c>
      <c r="D71" s="10" t="s">
        <v>775</v>
      </c>
      <c r="E71" s="10" t="s">
        <v>777</v>
      </c>
      <c r="F71" s="10"/>
      <c r="G71" s="10" t="s">
        <v>779</v>
      </c>
      <c r="H71" s="10" t="s">
        <v>781</v>
      </c>
      <c r="I71" s="14" t="b">
        <v>0</v>
      </c>
      <c r="J71" s="10" t="s">
        <v>83</v>
      </c>
      <c r="K71" s="10"/>
      <c r="L71" s="10"/>
      <c r="M71" s="10"/>
      <c r="N71" s="10"/>
      <c r="O71" s="10"/>
      <c r="P71" s="10"/>
      <c r="Q71" s="14" t="b">
        <v>1</v>
      </c>
      <c r="R71" s="10"/>
    </row>
    <row r="72">
      <c r="A72" s="10" t="s">
        <v>784</v>
      </c>
      <c r="B72" s="10" t="s">
        <v>65</v>
      </c>
      <c r="C72" s="11">
        <v>45872.0</v>
      </c>
      <c r="D72" s="10" t="s">
        <v>785</v>
      </c>
      <c r="E72" s="10" t="s">
        <v>786</v>
      </c>
      <c r="F72" s="10"/>
      <c r="G72" s="10" t="s">
        <v>788</v>
      </c>
      <c r="H72" s="10" t="s">
        <v>790</v>
      </c>
      <c r="I72" s="14" t="b">
        <v>1</v>
      </c>
      <c r="J72" s="10" t="s">
        <v>83</v>
      </c>
      <c r="K72" s="10"/>
      <c r="L72" s="10"/>
      <c r="M72" s="10"/>
      <c r="N72" s="10"/>
      <c r="O72" s="10"/>
      <c r="P72" s="17">
        <v>1607065.0</v>
      </c>
      <c r="Q72" s="14" t="b">
        <v>1</v>
      </c>
      <c r="R72" s="10"/>
    </row>
    <row r="73">
      <c r="A73" s="10" t="s">
        <v>794</v>
      </c>
      <c r="B73" s="10" t="s">
        <v>65</v>
      </c>
      <c r="C73" s="11">
        <v>45872.0</v>
      </c>
      <c r="D73" s="10" t="s">
        <v>796</v>
      </c>
      <c r="E73" s="10" t="s">
        <v>797</v>
      </c>
      <c r="F73" s="10"/>
      <c r="G73" s="10" t="s">
        <v>799</v>
      </c>
      <c r="H73" s="10" t="s">
        <v>790</v>
      </c>
      <c r="I73" s="14" t="b">
        <v>1</v>
      </c>
      <c r="J73" s="10" t="s">
        <v>83</v>
      </c>
      <c r="K73" s="10"/>
      <c r="L73" s="10"/>
      <c r="M73" s="10"/>
      <c r="N73" s="10"/>
      <c r="O73" s="10"/>
      <c r="P73" s="17">
        <v>1607070.0</v>
      </c>
      <c r="Q73" s="14" t="b">
        <v>1</v>
      </c>
      <c r="R73" s="10"/>
    </row>
    <row r="74">
      <c r="A74" s="10" t="s">
        <v>805</v>
      </c>
      <c r="B74" s="10" t="s">
        <v>65</v>
      </c>
      <c r="C74" s="11">
        <v>45873.0</v>
      </c>
      <c r="D74" s="10" t="s">
        <v>163</v>
      </c>
      <c r="E74" s="10" t="s">
        <v>807</v>
      </c>
      <c r="F74" s="10"/>
      <c r="G74" s="10" t="s">
        <v>809</v>
      </c>
      <c r="H74" s="10" t="s">
        <v>810</v>
      </c>
      <c r="I74" s="14" t="b">
        <v>1</v>
      </c>
      <c r="J74" s="10" t="s">
        <v>83</v>
      </c>
      <c r="K74" s="10"/>
      <c r="L74" s="10"/>
      <c r="M74" s="10"/>
      <c r="N74" s="10"/>
      <c r="O74" s="10"/>
      <c r="P74" s="17">
        <v>1608184.0</v>
      </c>
      <c r="Q74" s="14" t="b">
        <v>1</v>
      </c>
      <c r="R74" s="10"/>
    </row>
    <row r="75">
      <c r="A75" s="10" t="s">
        <v>817</v>
      </c>
      <c r="B75" s="10" t="s">
        <v>65</v>
      </c>
      <c r="C75" s="11">
        <v>45870.0</v>
      </c>
      <c r="D75" s="10" t="s">
        <v>189</v>
      </c>
      <c r="E75" s="10" t="s">
        <v>821</v>
      </c>
      <c r="F75" s="10"/>
      <c r="G75" s="10" t="s">
        <v>822</v>
      </c>
      <c r="H75" s="10" t="s">
        <v>114</v>
      </c>
      <c r="I75" s="14" t="b">
        <v>0</v>
      </c>
      <c r="J75" s="10" t="s">
        <v>83</v>
      </c>
      <c r="K75" s="10"/>
      <c r="L75" s="10"/>
      <c r="M75" s="10"/>
      <c r="N75" s="10"/>
      <c r="O75" s="10"/>
      <c r="P75" s="10"/>
      <c r="Q75" s="14" t="b">
        <v>1</v>
      </c>
      <c r="R75" s="10"/>
    </row>
    <row r="76">
      <c r="A76" s="17">
        <v>8.9047475E7</v>
      </c>
      <c r="B76" s="10" t="s">
        <v>65</v>
      </c>
      <c r="C76" s="11">
        <v>45874.0</v>
      </c>
      <c r="D76" s="10" t="s">
        <v>202</v>
      </c>
      <c r="E76" s="10" t="s">
        <v>832</v>
      </c>
      <c r="F76" s="10"/>
      <c r="G76" s="10" t="s">
        <v>833</v>
      </c>
      <c r="H76" s="10" t="s">
        <v>481</v>
      </c>
      <c r="I76" s="14" t="b">
        <v>1</v>
      </c>
      <c r="J76" s="10" t="s">
        <v>83</v>
      </c>
      <c r="K76" s="10"/>
      <c r="L76" s="10"/>
      <c r="M76" s="10"/>
      <c r="N76" s="10"/>
      <c r="O76" s="10"/>
      <c r="P76" s="17">
        <v>1609061.0</v>
      </c>
      <c r="Q76" s="14" t="b">
        <v>1</v>
      </c>
      <c r="R76" s="10"/>
    </row>
    <row r="77">
      <c r="A77" s="10" t="s">
        <v>838</v>
      </c>
      <c r="B77" s="10" t="s">
        <v>65</v>
      </c>
      <c r="C77" s="11">
        <v>45873.0</v>
      </c>
      <c r="D77" s="10" t="s">
        <v>131</v>
      </c>
      <c r="E77" s="10" t="s">
        <v>840</v>
      </c>
      <c r="F77" s="10"/>
      <c r="G77" s="10" t="s">
        <v>842</v>
      </c>
      <c r="H77" s="10" t="s">
        <v>843</v>
      </c>
      <c r="I77" s="14" t="b">
        <v>0</v>
      </c>
      <c r="J77" s="10" t="s">
        <v>382</v>
      </c>
      <c r="K77" s="10"/>
      <c r="L77" s="10" t="s">
        <v>845</v>
      </c>
      <c r="M77" s="10" t="s">
        <v>846</v>
      </c>
      <c r="N77" s="10"/>
      <c r="O77" s="10"/>
      <c r="P77" s="10"/>
      <c r="Q77" s="14" t="b">
        <v>1</v>
      </c>
      <c r="R77" s="10"/>
    </row>
    <row r="78">
      <c r="A78" s="10" t="s">
        <v>849</v>
      </c>
      <c r="B78" s="10" t="s">
        <v>65</v>
      </c>
      <c r="C78" s="11">
        <v>45876.0</v>
      </c>
      <c r="D78" s="10" t="s">
        <v>850</v>
      </c>
      <c r="E78" s="10" t="s">
        <v>851</v>
      </c>
      <c r="F78" s="10"/>
      <c r="G78" s="10" t="s">
        <v>853</v>
      </c>
      <c r="H78" s="10" t="s">
        <v>854</v>
      </c>
      <c r="I78" s="14" t="b">
        <v>1</v>
      </c>
      <c r="J78" s="10" t="s">
        <v>83</v>
      </c>
      <c r="K78" s="10"/>
      <c r="L78" s="10"/>
      <c r="M78" s="10"/>
      <c r="N78" s="10"/>
      <c r="O78" s="10"/>
      <c r="P78" s="17">
        <v>1612387.0</v>
      </c>
      <c r="Q78" s="14" t="b">
        <v>1</v>
      </c>
      <c r="R78" s="10"/>
    </row>
    <row r="79">
      <c r="A79" s="10" t="s">
        <v>860</v>
      </c>
      <c r="B79" s="10" t="s">
        <v>65</v>
      </c>
      <c r="C79" s="11">
        <v>45874.0</v>
      </c>
      <c r="D79" s="10" t="s">
        <v>189</v>
      </c>
      <c r="E79" s="10" t="s">
        <v>863</v>
      </c>
      <c r="F79" s="10"/>
      <c r="G79" s="10" t="s">
        <v>865</v>
      </c>
      <c r="H79" s="10" t="s">
        <v>195</v>
      </c>
      <c r="I79" s="14" t="b">
        <v>0</v>
      </c>
      <c r="J79" s="10" t="s">
        <v>83</v>
      </c>
      <c r="K79" s="10"/>
      <c r="L79" s="10"/>
      <c r="M79" s="10"/>
      <c r="N79" s="10"/>
      <c r="O79" s="10"/>
      <c r="P79" s="10"/>
      <c r="Q79" s="14" t="b">
        <v>1</v>
      </c>
      <c r="R79" s="10"/>
    </row>
    <row r="80">
      <c r="A80" s="10" t="s">
        <v>870</v>
      </c>
      <c r="B80" s="10" t="s">
        <v>65</v>
      </c>
      <c r="C80" s="11">
        <v>45879.0</v>
      </c>
      <c r="D80" s="10" t="s">
        <v>131</v>
      </c>
      <c r="E80" s="10" t="s">
        <v>873</v>
      </c>
      <c r="F80" s="10"/>
      <c r="G80" s="10" t="s">
        <v>874</v>
      </c>
      <c r="H80" s="10" t="s">
        <v>876</v>
      </c>
      <c r="I80" s="14" t="b">
        <v>0</v>
      </c>
      <c r="J80" s="10" t="s">
        <v>83</v>
      </c>
      <c r="K80" s="10"/>
      <c r="L80" s="10" t="s">
        <v>877</v>
      </c>
      <c r="M80" s="10" t="s">
        <v>879</v>
      </c>
      <c r="N80" s="10"/>
      <c r="O80" s="10"/>
      <c r="P80" s="10"/>
      <c r="Q80" s="14" t="b">
        <v>1</v>
      </c>
      <c r="R80" s="10"/>
    </row>
    <row r="81">
      <c r="A81" s="10" t="s">
        <v>881</v>
      </c>
      <c r="B81" s="10" t="s">
        <v>65</v>
      </c>
      <c r="C81" s="11">
        <v>45879.0</v>
      </c>
      <c r="D81" s="10" t="s">
        <v>131</v>
      </c>
      <c r="E81" s="10" t="s">
        <v>884</v>
      </c>
      <c r="F81" s="10"/>
      <c r="G81" s="10" t="s">
        <v>885</v>
      </c>
      <c r="H81" s="10" t="s">
        <v>886</v>
      </c>
      <c r="I81" s="14" t="b">
        <v>0</v>
      </c>
      <c r="J81" s="10" t="s">
        <v>83</v>
      </c>
      <c r="K81" s="10"/>
      <c r="L81" s="10"/>
      <c r="M81" s="10"/>
      <c r="N81" s="10"/>
      <c r="O81" s="10"/>
      <c r="P81" s="10"/>
      <c r="Q81" s="14" t="b">
        <v>1</v>
      </c>
      <c r="R81" s="10"/>
    </row>
    <row r="82">
      <c r="A82" s="10" t="s">
        <v>890</v>
      </c>
      <c r="B82" s="10" t="s">
        <v>65</v>
      </c>
      <c r="C82" s="11">
        <v>45877.0</v>
      </c>
      <c r="D82" s="10" t="s">
        <v>202</v>
      </c>
      <c r="E82" s="10" t="s">
        <v>892</v>
      </c>
      <c r="F82" s="10"/>
      <c r="G82" s="10" t="s">
        <v>894</v>
      </c>
      <c r="H82" s="10" t="s">
        <v>205</v>
      </c>
      <c r="I82" s="14" t="b">
        <v>0</v>
      </c>
      <c r="J82" s="10" t="s">
        <v>83</v>
      </c>
      <c r="K82" s="10"/>
      <c r="L82" s="10"/>
      <c r="M82" s="10"/>
      <c r="N82" s="10"/>
      <c r="O82" s="10"/>
      <c r="P82" s="10"/>
      <c r="Q82" s="14" t="b">
        <v>1</v>
      </c>
      <c r="R82" s="10"/>
    </row>
    <row r="83">
      <c r="A83" s="10" t="s">
        <v>901</v>
      </c>
      <c r="B83" s="10" t="s">
        <v>65</v>
      </c>
      <c r="C83" s="11">
        <v>45875.0</v>
      </c>
      <c r="D83" s="10" t="s">
        <v>145</v>
      </c>
      <c r="E83" s="10" t="s">
        <v>904</v>
      </c>
      <c r="F83" s="10"/>
      <c r="G83" s="10" t="s">
        <v>905</v>
      </c>
      <c r="H83" s="10" t="s">
        <v>149</v>
      </c>
      <c r="I83" s="14" t="b">
        <v>0</v>
      </c>
      <c r="J83" s="10" t="s">
        <v>83</v>
      </c>
      <c r="K83" s="10"/>
      <c r="L83" s="10"/>
      <c r="M83" s="10"/>
      <c r="N83" s="10"/>
      <c r="O83" s="10"/>
      <c r="P83" s="10"/>
      <c r="Q83" s="14" t="b">
        <v>1</v>
      </c>
      <c r="R83" s="10"/>
    </row>
    <row r="84">
      <c r="A84" s="10" t="s">
        <v>911</v>
      </c>
      <c r="B84" s="10" t="s">
        <v>65</v>
      </c>
      <c r="C84" s="11">
        <v>45877.0</v>
      </c>
      <c r="D84" s="10" t="s">
        <v>163</v>
      </c>
      <c r="E84" s="10" t="s">
        <v>914</v>
      </c>
      <c r="F84" s="10"/>
      <c r="G84" s="10" t="s">
        <v>916</v>
      </c>
      <c r="H84" s="10" t="s">
        <v>195</v>
      </c>
      <c r="I84" s="14" t="b">
        <v>1</v>
      </c>
      <c r="J84" s="10" t="s">
        <v>83</v>
      </c>
      <c r="K84" s="10"/>
      <c r="L84" s="10"/>
      <c r="M84" s="10"/>
      <c r="N84" s="10"/>
      <c r="O84" s="10"/>
      <c r="P84" s="17">
        <v>1613518.0</v>
      </c>
      <c r="Q84" s="14" t="b">
        <v>1</v>
      </c>
      <c r="R84" s="10"/>
    </row>
    <row r="85">
      <c r="A85" s="10" t="s">
        <v>918</v>
      </c>
      <c r="B85" s="10" t="s">
        <v>65</v>
      </c>
      <c r="C85" s="11">
        <v>45877.0</v>
      </c>
      <c r="D85" s="10" t="s">
        <v>919</v>
      </c>
      <c r="E85" s="10" t="s">
        <v>922</v>
      </c>
      <c r="F85" s="10"/>
      <c r="G85" s="10" t="s">
        <v>923</v>
      </c>
      <c r="H85" s="10" t="s">
        <v>925</v>
      </c>
      <c r="I85" s="14" t="b">
        <v>1</v>
      </c>
      <c r="J85" s="10" t="s">
        <v>83</v>
      </c>
      <c r="K85" s="10"/>
      <c r="L85" s="10"/>
      <c r="M85" s="10"/>
      <c r="N85" s="10"/>
      <c r="O85" s="10"/>
      <c r="P85" s="17">
        <v>1613594.0</v>
      </c>
      <c r="Q85" s="14" t="b">
        <v>1</v>
      </c>
      <c r="R85" s="10"/>
    </row>
    <row r="86">
      <c r="A86" s="10" t="s">
        <v>930</v>
      </c>
      <c r="B86" s="10" t="s">
        <v>65</v>
      </c>
      <c r="C86" s="11">
        <v>45880.0</v>
      </c>
      <c r="D86" s="10" t="s">
        <v>246</v>
      </c>
      <c r="E86" s="10" t="s">
        <v>932</v>
      </c>
      <c r="F86" s="10"/>
      <c r="G86" s="10" t="s">
        <v>934</v>
      </c>
      <c r="H86" s="10" t="s">
        <v>250</v>
      </c>
      <c r="I86" s="14" t="b">
        <v>0</v>
      </c>
      <c r="J86" s="10" t="s">
        <v>83</v>
      </c>
      <c r="K86" s="10"/>
      <c r="L86" s="10"/>
      <c r="M86" s="10"/>
      <c r="N86" s="10"/>
      <c r="O86" s="10"/>
      <c r="P86" s="10"/>
      <c r="Q86" s="14" t="b">
        <v>1</v>
      </c>
      <c r="R86" s="10"/>
    </row>
    <row r="87">
      <c r="A87" s="10" t="s">
        <v>939</v>
      </c>
      <c r="B87" s="10" t="s">
        <v>65</v>
      </c>
      <c r="C87" s="11">
        <v>45881.0</v>
      </c>
      <c r="D87" s="10" t="s">
        <v>163</v>
      </c>
      <c r="E87" s="10" t="s">
        <v>942</v>
      </c>
      <c r="F87" s="10"/>
      <c r="G87" s="10" t="s">
        <v>944</v>
      </c>
      <c r="H87" s="10" t="s">
        <v>945</v>
      </c>
      <c r="I87" s="14" t="b">
        <v>1</v>
      </c>
      <c r="J87" s="10" t="s">
        <v>83</v>
      </c>
      <c r="K87" s="10"/>
      <c r="L87" s="10"/>
      <c r="M87" s="10"/>
      <c r="N87" s="10"/>
      <c r="O87" s="10"/>
      <c r="P87" s="17">
        <v>1619848.0</v>
      </c>
      <c r="Q87" s="14" t="b">
        <v>1</v>
      </c>
      <c r="R87" s="10"/>
    </row>
    <row r="88">
      <c r="A88" s="10" t="s">
        <v>949</v>
      </c>
      <c r="B88" s="10" t="s">
        <v>65</v>
      </c>
      <c r="C88" s="11">
        <v>45881.0</v>
      </c>
      <c r="D88" s="10" t="s">
        <v>951</v>
      </c>
      <c r="E88" s="10" t="s">
        <v>952</v>
      </c>
      <c r="F88" s="10"/>
      <c r="G88" s="10" t="s">
        <v>953</v>
      </c>
      <c r="H88" s="10" t="s">
        <v>954</v>
      </c>
      <c r="I88" s="14" t="b">
        <v>1</v>
      </c>
      <c r="J88" s="10" t="s">
        <v>83</v>
      </c>
      <c r="K88" s="10"/>
      <c r="L88" s="10"/>
      <c r="M88" s="10"/>
      <c r="N88" s="10"/>
      <c r="O88" s="10"/>
      <c r="P88" s="17">
        <v>1620776.0</v>
      </c>
      <c r="Q88" s="14" t="b">
        <v>1</v>
      </c>
      <c r="R88" s="10"/>
    </row>
    <row r="89">
      <c r="A89" s="10" t="s">
        <v>960</v>
      </c>
      <c r="B89" s="10" t="s">
        <v>65</v>
      </c>
      <c r="C89" s="11">
        <v>45882.0</v>
      </c>
      <c r="D89" s="10" t="s">
        <v>962</v>
      </c>
      <c r="E89" s="10" t="s">
        <v>963</v>
      </c>
      <c r="F89" s="10"/>
      <c r="G89" s="10" t="s">
        <v>964</v>
      </c>
      <c r="H89" s="10" t="s">
        <v>965</v>
      </c>
      <c r="I89" s="14" t="b">
        <v>1</v>
      </c>
      <c r="J89" s="10" t="s">
        <v>83</v>
      </c>
      <c r="K89" s="10"/>
      <c r="L89" s="10"/>
      <c r="M89" s="10"/>
      <c r="N89" s="10"/>
      <c r="O89" s="10"/>
      <c r="P89" s="17">
        <v>1621248.0</v>
      </c>
      <c r="Q89" s="14" t="b">
        <v>1</v>
      </c>
      <c r="R89" s="10"/>
    </row>
    <row r="90">
      <c r="A90" s="10" t="s">
        <v>970</v>
      </c>
      <c r="B90" s="10" t="s">
        <v>65</v>
      </c>
      <c r="C90" s="11">
        <v>45882.0</v>
      </c>
      <c r="D90" s="10" t="s">
        <v>973</v>
      </c>
      <c r="E90" s="10" t="s">
        <v>974</v>
      </c>
      <c r="F90" s="10"/>
      <c r="G90" s="10" t="s">
        <v>976</v>
      </c>
      <c r="H90" s="10" t="s">
        <v>977</v>
      </c>
      <c r="I90" s="14" t="b">
        <v>1</v>
      </c>
      <c r="J90" s="10" t="s">
        <v>83</v>
      </c>
      <c r="K90" s="10"/>
      <c r="L90" s="10"/>
      <c r="M90" s="10"/>
      <c r="N90" s="10"/>
      <c r="O90" s="10"/>
      <c r="P90" s="17">
        <v>1621314.0</v>
      </c>
      <c r="Q90" s="14" t="b">
        <v>1</v>
      </c>
      <c r="R90" s="10"/>
    </row>
    <row r="91">
      <c r="A91" s="10" t="s">
        <v>981</v>
      </c>
      <c r="B91" s="10" t="s">
        <v>65</v>
      </c>
      <c r="C91" s="11">
        <v>45882.0</v>
      </c>
      <c r="D91" s="10" t="s">
        <v>983</v>
      </c>
      <c r="E91" s="10" t="s">
        <v>984</v>
      </c>
      <c r="F91" s="10"/>
      <c r="G91" s="10" t="s">
        <v>985</v>
      </c>
      <c r="H91" s="10" t="s">
        <v>986</v>
      </c>
      <c r="I91" s="14" t="b">
        <v>1</v>
      </c>
      <c r="J91" s="10" t="s">
        <v>83</v>
      </c>
      <c r="K91" s="10"/>
      <c r="L91" s="10"/>
      <c r="M91" s="10"/>
      <c r="N91" s="10"/>
      <c r="O91" s="10"/>
      <c r="P91" s="17">
        <v>1621672.0</v>
      </c>
      <c r="Q91" s="14" t="b">
        <v>1</v>
      </c>
      <c r="R91" s="10"/>
    </row>
    <row r="92">
      <c r="A92" s="10" t="s">
        <v>992</v>
      </c>
      <c r="B92" s="10" t="s">
        <v>65</v>
      </c>
      <c r="C92" s="11">
        <v>45882.0</v>
      </c>
      <c r="D92" s="10" t="s">
        <v>189</v>
      </c>
      <c r="E92" s="10" t="s">
        <v>995</v>
      </c>
      <c r="F92" s="10"/>
      <c r="G92" s="10" t="s">
        <v>996</v>
      </c>
      <c r="H92" s="10" t="s">
        <v>460</v>
      </c>
      <c r="I92" s="14" t="b">
        <v>0</v>
      </c>
      <c r="J92" s="10" t="s">
        <v>83</v>
      </c>
      <c r="K92" s="10"/>
      <c r="L92" s="10"/>
      <c r="M92" s="10"/>
      <c r="N92" s="10"/>
      <c r="O92" s="10"/>
      <c r="P92" s="10"/>
      <c r="Q92" s="14" t="b">
        <v>1</v>
      </c>
      <c r="R92" s="10"/>
    </row>
    <row r="93">
      <c r="A93" s="17">
        <v>1.6209004E7</v>
      </c>
      <c r="B93" s="10" t="s">
        <v>65</v>
      </c>
      <c r="C93" s="11">
        <v>45883.0</v>
      </c>
      <c r="D93" s="10" t="s">
        <v>163</v>
      </c>
      <c r="E93" s="10" t="s">
        <v>999</v>
      </c>
      <c r="F93" s="10"/>
      <c r="G93" s="10" t="s">
        <v>1001</v>
      </c>
      <c r="H93" s="10" t="s">
        <v>529</v>
      </c>
      <c r="I93" s="14" t="b">
        <v>1</v>
      </c>
      <c r="J93" s="10" t="s">
        <v>83</v>
      </c>
      <c r="K93" s="10"/>
      <c r="L93" s="10"/>
      <c r="M93" s="10"/>
      <c r="N93" s="10"/>
      <c r="O93" s="10"/>
      <c r="P93" s="17">
        <v>1623132.0</v>
      </c>
      <c r="Q93" s="14" t="b">
        <v>1</v>
      </c>
      <c r="R93" s="10"/>
    </row>
    <row r="94">
      <c r="A94" s="10" t="s">
        <v>1006</v>
      </c>
      <c r="B94" s="10" t="s">
        <v>65</v>
      </c>
      <c r="C94" s="11">
        <v>45884.0</v>
      </c>
      <c r="D94" s="10" t="s">
        <v>163</v>
      </c>
      <c r="E94" s="10" t="s">
        <v>1007</v>
      </c>
      <c r="F94" s="10"/>
      <c r="G94" s="10" t="s">
        <v>1009</v>
      </c>
      <c r="H94" s="10" t="s">
        <v>1010</v>
      </c>
      <c r="I94" s="14" t="b">
        <v>1</v>
      </c>
      <c r="J94" s="10" t="s">
        <v>83</v>
      </c>
      <c r="K94" s="10"/>
      <c r="L94" s="10"/>
      <c r="M94" s="10"/>
      <c r="N94" s="10"/>
      <c r="O94" s="10"/>
      <c r="P94" s="17">
        <v>1625204.0</v>
      </c>
      <c r="Q94" s="14" t="b">
        <v>1</v>
      </c>
      <c r="R94" s="10"/>
    </row>
    <row r="95">
      <c r="A95" s="10" t="s">
        <v>1015</v>
      </c>
      <c r="B95" s="10" t="s">
        <v>65</v>
      </c>
      <c r="C95" s="11">
        <v>45886.0</v>
      </c>
      <c r="D95" s="10" t="s">
        <v>1017</v>
      </c>
      <c r="E95" s="10" t="s">
        <v>1019</v>
      </c>
      <c r="F95" s="10"/>
      <c r="G95" s="10" t="s">
        <v>1020</v>
      </c>
      <c r="H95" s="10" t="s">
        <v>1021</v>
      </c>
      <c r="I95" s="14" t="b">
        <v>1</v>
      </c>
      <c r="J95" s="10" t="s">
        <v>83</v>
      </c>
      <c r="K95" s="10"/>
      <c r="L95" s="10"/>
      <c r="M95" s="10"/>
      <c r="N95" s="10"/>
      <c r="O95" s="10"/>
      <c r="P95" s="17">
        <v>1630300.0</v>
      </c>
      <c r="Q95" s="14" t="b">
        <v>1</v>
      </c>
      <c r="R95" s="10"/>
    </row>
    <row r="96">
      <c r="A96" s="10" t="s">
        <v>1027</v>
      </c>
      <c r="B96" s="10" t="s">
        <v>65</v>
      </c>
      <c r="C96" s="11">
        <v>45886.0</v>
      </c>
      <c r="D96" s="10" t="s">
        <v>785</v>
      </c>
      <c r="E96" s="10" t="s">
        <v>1030</v>
      </c>
      <c r="F96" s="10"/>
      <c r="G96" s="10" t="s">
        <v>1032</v>
      </c>
      <c r="H96" s="10" t="s">
        <v>1033</v>
      </c>
      <c r="I96" s="14" t="b">
        <v>1</v>
      </c>
      <c r="J96" s="10" t="s">
        <v>83</v>
      </c>
      <c r="K96" s="10"/>
      <c r="L96" s="10"/>
      <c r="M96" s="10"/>
      <c r="N96" s="10"/>
      <c r="O96" s="10"/>
      <c r="P96" s="17">
        <v>1630235.0</v>
      </c>
      <c r="Q96" s="14" t="b">
        <v>1</v>
      </c>
      <c r="R96" s="10"/>
    </row>
    <row r="97">
      <c r="A97" s="10" t="s">
        <v>1037</v>
      </c>
      <c r="B97" s="10" t="s">
        <v>65</v>
      </c>
      <c r="C97" s="11">
        <v>45886.0</v>
      </c>
      <c r="D97" s="10" t="s">
        <v>1038</v>
      </c>
      <c r="E97" s="10" t="s">
        <v>1040</v>
      </c>
      <c r="F97" s="10"/>
      <c r="G97" s="10" t="s">
        <v>1041</v>
      </c>
      <c r="H97" s="10" t="s">
        <v>1042</v>
      </c>
      <c r="I97" s="14" t="b">
        <v>1</v>
      </c>
      <c r="J97" s="10" t="s">
        <v>83</v>
      </c>
      <c r="K97" s="10"/>
      <c r="L97" s="10"/>
      <c r="M97" s="10"/>
      <c r="N97" s="10"/>
      <c r="O97" s="10"/>
      <c r="P97" s="17">
        <v>1630237.0</v>
      </c>
      <c r="Q97" s="14" t="b">
        <v>1</v>
      </c>
      <c r="R97" s="10"/>
    </row>
    <row r="98">
      <c r="A98" s="10" t="s">
        <v>1048</v>
      </c>
      <c r="B98" s="10" t="s">
        <v>65</v>
      </c>
      <c r="C98" s="11">
        <v>45884.0</v>
      </c>
      <c r="D98" s="10" t="s">
        <v>189</v>
      </c>
      <c r="E98" s="10" t="s">
        <v>1052</v>
      </c>
      <c r="F98" s="10"/>
      <c r="G98" s="10" t="s">
        <v>1055</v>
      </c>
      <c r="H98" s="10" t="s">
        <v>460</v>
      </c>
      <c r="I98" s="14" t="b">
        <v>0</v>
      </c>
      <c r="J98" s="10" t="s">
        <v>83</v>
      </c>
      <c r="K98" s="10"/>
      <c r="L98" s="10"/>
      <c r="M98" s="10"/>
      <c r="N98" s="10"/>
      <c r="O98" s="10"/>
      <c r="P98" s="10"/>
      <c r="Q98" s="14" t="b">
        <v>1</v>
      </c>
      <c r="R98" s="10"/>
    </row>
    <row r="99">
      <c r="A99" s="10" t="s">
        <v>1057</v>
      </c>
      <c r="B99" s="10" t="s">
        <v>65</v>
      </c>
      <c r="C99" s="11">
        <v>45886.0</v>
      </c>
      <c r="D99" s="10" t="s">
        <v>202</v>
      </c>
      <c r="E99" s="10" t="s">
        <v>1060</v>
      </c>
      <c r="F99" s="10"/>
      <c r="G99" s="10" t="s">
        <v>1062</v>
      </c>
      <c r="H99" s="10" t="s">
        <v>1063</v>
      </c>
      <c r="I99" s="14" t="b">
        <v>0</v>
      </c>
      <c r="J99" s="10" t="s">
        <v>83</v>
      </c>
      <c r="K99" s="10"/>
      <c r="L99" s="10"/>
      <c r="M99" s="10"/>
      <c r="N99" s="10"/>
      <c r="O99" s="10"/>
      <c r="P99" s="10"/>
      <c r="Q99" s="14" t="b">
        <v>1</v>
      </c>
      <c r="R99" s="10"/>
    </row>
    <row r="100">
      <c r="A100" s="10" t="s">
        <v>1065</v>
      </c>
      <c r="B100" s="10" t="s">
        <v>65</v>
      </c>
      <c r="C100" s="11">
        <v>45884.0</v>
      </c>
      <c r="D100" s="10" t="s">
        <v>202</v>
      </c>
      <c r="E100" s="10" t="s">
        <v>1067</v>
      </c>
      <c r="F100" s="10"/>
      <c r="G100" s="10" t="s">
        <v>1071</v>
      </c>
      <c r="H100" s="10" t="s">
        <v>481</v>
      </c>
      <c r="I100" s="14" t="b">
        <v>0</v>
      </c>
      <c r="J100" s="10" t="s">
        <v>83</v>
      </c>
      <c r="K100" s="10"/>
      <c r="L100" s="10"/>
      <c r="M100" s="10"/>
      <c r="N100" s="10"/>
      <c r="O100" s="10"/>
      <c r="P100" s="10"/>
      <c r="Q100" s="14" t="b">
        <v>1</v>
      </c>
      <c r="R100" s="10"/>
    </row>
    <row r="101">
      <c r="A101" s="10" t="s">
        <v>1074</v>
      </c>
      <c r="B101" s="10" t="s">
        <v>65</v>
      </c>
      <c r="C101" s="11">
        <v>45884.0</v>
      </c>
      <c r="D101" s="10" t="s">
        <v>246</v>
      </c>
      <c r="E101" s="10" t="s">
        <v>1077</v>
      </c>
      <c r="F101" s="10"/>
      <c r="G101" s="10" t="s">
        <v>1078</v>
      </c>
      <c r="H101" s="10" t="s">
        <v>250</v>
      </c>
      <c r="I101" s="14" t="b">
        <v>0</v>
      </c>
      <c r="J101" s="10" t="s">
        <v>83</v>
      </c>
      <c r="K101" s="10"/>
      <c r="L101" s="10"/>
      <c r="M101" s="10"/>
      <c r="N101" s="10"/>
      <c r="O101" s="10"/>
      <c r="P101" s="10"/>
      <c r="Q101" s="14" t="b">
        <v>1</v>
      </c>
      <c r="R101" s="10"/>
    </row>
    <row r="102">
      <c r="A102" s="10" t="s">
        <v>1082</v>
      </c>
      <c r="B102" s="10" t="s">
        <v>65</v>
      </c>
      <c r="C102" s="11">
        <v>45887.0</v>
      </c>
      <c r="D102" s="10" t="s">
        <v>189</v>
      </c>
      <c r="E102" s="10" t="s">
        <v>1085</v>
      </c>
      <c r="F102" s="10"/>
      <c r="G102" s="10" t="s">
        <v>1087</v>
      </c>
      <c r="H102" s="10" t="s">
        <v>195</v>
      </c>
      <c r="I102" s="14" t="b">
        <v>0</v>
      </c>
      <c r="J102" s="10" t="s">
        <v>83</v>
      </c>
      <c r="K102" s="10"/>
      <c r="L102" s="10"/>
      <c r="M102" s="10"/>
      <c r="N102" s="10"/>
      <c r="O102" s="10"/>
      <c r="P102" s="10"/>
      <c r="Q102" s="14" t="b">
        <v>1</v>
      </c>
      <c r="R102" s="10"/>
    </row>
    <row r="103">
      <c r="A103" s="10" t="s">
        <v>1093</v>
      </c>
      <c r="B103" s="10" t="s">
        <v>65</v>
      </c>
      <c r="C103" s="11">
        <v>45882.0</v>
      </c>
      <c r="D103" s="10" t="s">
        <v>145</v>
      </c>
      <c r="E103" s="10" t="s">
        <v>1095</v>
      </c>
      <c r="F103" s="10"/>
      <c r="G103" s="10" t="s">
        <v>1096</v>
      </c>
      <c r="H103" s="10" t="s">
        <v>149</v>
      </c>
      <c r="I103" s="14" t="b">
        <v>0</v>
      </c>
      <c r="J103" s="10" t="s">
        <v>83</v>
      </c>
      <c r="K103" s="10"/>
      <c r="L103" s="10" t="s">
        <v>1099</v>
      </c>
      <c r="M103" s="10"/>
      <c r="N103" s="10"/>
      <c r="O103" s="10"/>
      <c r="P103" s="10"/>
      <c r="Q103" s="14" t="b">
        <v>1</v>
      </c>
      <c r="R103" s="10"/>
    </row>
    <row r="104">
      <c r="A104" s="10" t="s">
        <v>1100</v>
      </c>
      <c r="B104" s="10" t="s">
        <v>65</v>
      </c>
      <c r="C104" s="11">
        <v>45887.0</v>
      </c>
      <c r="D104" s="10" t="s">
        <v>189</v>
      </c>
      <c r="E104" s="10" t="s">
        <v>1085</v>
      </c>
      <c r="F104" s="10"/>
      <c r="G104" s="10" t="s">
        <v>1102</v>
      </c>
      <c r="H104" s="10" t="s">
        <v>195</v>
      </c>
      <c r="I104" s="14" t="b">
        <v>0</v>
      </c>
      <c r="J104" s="10" t="s">
        <v>83</v>
      </c>
      <c r="K104" s="10"/>
      <c r="L104" s="10"/>
      <c r="M104" s="10"/>
      <c r="N104" s="10"/>
      <c r="O104" s="10"/>
      <c r="P104" s="10"/>
      <c r="Q104" s="14" t="b">
        <v>1</v>
      </c>
      <c r="R104" s="10"/>
    </row>
    <row r="105">
      <c r="A105" s="10" t="s">
        <v>1104</v>
      </c>
      <c r="B105" s="10" t="s">
        <v>65</v>
      </c>
      <c r="C105" s="11">
        <v>45888.0</v>
      </c>
      <c r="D105" s="10" t="s">
        <v>163</v>
      </c>
      <c r="E105" s="10" t="s">
        <v>1106</v>
      </c>
      <c r="F105" s="10"/>
      <c r="G105" s="10" t="s">
        <v>1107</v>
      </c>
      <c r="H105" s="10" t="s">
        <v>529</v>
      </c>
      <c r="I105" s="14" t="b">
        <v>1</v>
      </c>
      <c r="J105" s="10" t="s">
        <v>83</v>
      </c>
      <c r="K105" s="10"/>
      <c r="L105" s="10"/>
      <c r="M105" s="10"/>
      <c r="N105" s="10"/>
      <c r="O105" s="10"/>
      <c r="P105" s="17">
        <v>1632696.0</v>
      </c>
      <c r="Q105" s="14" t="b">
        <v>1</v>
      </c>
      <c r="R105" s="10"/>
    </row>
    <row r="106">
      <c r="A106" s="10" t="s">
        <v>1111</v>
      </c>
      <c r="B106" s="10" t="s">
        <v>65</v>
      </c>
      <c r="C106" s="11">
        <v>45888.0</v>
      </c>
      <c r="D106" s="10" t="s">
        <v>163</v>
      </c>
      <c r="E106" s="10" t="s">
        <v>1112</v>
      </c>
      <c r="F106" s="10"/>
      <c r="G106" s="10" t="s">
        <v>1114</v>
      </c>
      <c r="H106" s="10" t="s">
        <v>1115</v>
      </c>
      <c r="I106" s="14" t="b">
        <v>1</v>
      </c>
      <c r="J106" s="10" t="s">
        <v>83</v>
      </c>
      <c r="K106" s="10"/>
      <c r="L106" s="10"/>
      <c r="M106" s="10"/>
      <c r="N106" s="10"/>
      <c r="O106" s="10"/>
      <c r="P106" s="17">
        <v>1632699.0</v>
      </c>
      <c r="Q106" s="14" t="b">
        <v>1</v>
      </c>
      <c r="R106" s="10"/>
    </row>
    <row r="107">
      <c r="A107" s="10" t="s">
        <v>1119</v>
      </c>
      <c r="B107" s="10" t="s">
        <v>65</v>
      </c>
      <c r="C107" s="11">
        <v>45887.0</v>
      </c>
      <c r="D107" s="10" t="s">
        <v>131</v>
      </c>
      <c r="E107" s="10" t="s">
        <v>1122</v>
      </c>
      <c r="F107" s="10"/>
      <c r="G107" s="10" t="s">
        <v>1123</v>
      </c>
      <c r="H107" s="10" t="s">
        <v>1124</v>
      </c>
      <c r="I107" s="14" t="b">
        <v>0</v>
      </c>
      <c r="J107" s="10" t="s">
        <v>382</v>
      </c>
      <c r="K107" s="10"/>
      <c r="L107" s="10" t="s">
        <v>1127</v>
      </c>
      <c r="M107" s="10" t="s">
        <v>1129</v>
      </c>
      <c r="N107" s="10" t="s">
        <v>1130</v>
      </c>
      <c r="O107" s="10"/>
      <c r="P107" s="10"/>
      <c r="Q107" s="14" t="b">
        <v>1</v>
      </c>
      <c r="R107" s="10"/>
    </row>
    <row r="108">
      <c r="A108" s="10" t="s">
        <v>1133</v>
      </c>
      <c r="B108" s="10" t="s">
        <v>65</v>
      </c>
      <c r="C108" s="11">
        <v>45866.0</v>
      </c>
      <c r="D108" s="10" t="s">
        <v>1135</v>
      </c>
      <c r="E108" s="10" t="s">
        <v>1136</v>
      </c>
      <c r="F108" s="10"/>
      <c r="G108" s="10" t="s">
        <v>1139</v>
      </c>
      <c r="H108" s="10" t="s">
        <v>1140</v>
      </c>
      <c r="I108" s="14" t="b">
        <v>0</v>
      </c>
      <c r="J108" s="10" t="s">
        <v>83</v>
      </c>
      <c r="K108" s="10"/>
      <c r="L108" s="10"/>
      <c r="M108" s="10"/>
      <c r="N108" s="10"/>
      <c r="O108" s="10"/>
      <c r="P108" s="10"/>
      <c r="Q108" s="14" t="b">
        <v>1</v>
      </c>
      <c r="R108" s="10"/>
    </row>
    <row r="109">
      <c r="A109" s="10" t="s">
        <v>1142</v>
      </c>
      <c r="B109" s="10" t="s">
        <v>65</v>
      </c>
      <c r="C109" s="11">
        <v>45889.0</v>
      </c>
      <c r="D109" s="10" t="s">
        <v>246</v>
      </c>
      <c r="E109" s="10" t="s">
        <v>1146</v>
      </c>
      <c r="F109" s="10"/>
      <c r="G109" s="10" t="s">
        <v>1148</v>
      </c>
      <c r="H109" s="10" t="s">
        <v>250</v>
      </c>
      <c r="I109" s="14" t="b">
        <v>0</v>
      </c>
      <c r="J109" s="10" t="s">
        <v>83</v>
      </c>
      <c r="K109" s="10"/>
      <c r="L109" s="10"/>
      <c r="M109" s="10"/>
      <c r="N109" s="10"/>
      <c r="O109" s="10"/>
      <c r="P109" s="10"/>
      <c r="Q109" s="14" t="b">
        <v>1</v>
      </c>
      <c r="R109" s="10"/>
    </row>
    <row r="110">
      <c r="A110" s="10" t="s">
        <v>1152</v>
      </c>
      <c r="B110" s="10" t="s">
        <v>65</v>
      </c>
      <c r="C110" s="11">
        <v>45887.0</v>
      </c>
      <c r="D110" s="10" t="s">
        <v>131</v>
      </c>
      <c r="E110" s="10" t="s">
        <v>1154</v>
      </c>
      <c r="F110" s="10"/>
      <c r="G110" s="10" t="s">
        <v>1156</v>
      </c>
      <c r="H110" s="10" t="s">
        <v>1157</v>
      </c>
      <c r="I110" s="14" t="b">
        <v>0</v>
      </c>
      <c r="J110" s="10" t="s">
        <v>382</v>
      </c>
      <c r="K110" s="10"/>
      <c r="L110" s="10" t="s">
        <v>1160</v>
      </c>
      <c r="M110" s="10" t="s">
        <v>1162</v>
      </c>
      <c r="N110" s="10"/>
      <c r="O110" s="10"/>
      <c r="P110" s="10"/>
      <c r="Q110" s="14" t="b">
        <v>1</v>
      </c>
      <c r="R110" s="10"/>
    </row>
    <row r="111">
      <c r="A111" s="10" t="s">
        <v>1166</v>
      </c>
      <c r="B111" s="10" t="s">
        <v>65</v>
      </c>
      <c r="C111" s="11">
        <v>45887.0</v>
      </c>
      <c r="D111" s="10" t="s">
        <v>131</v>
      </c>
      <c r="E111" s="10" t="s">
        <v>1168</v>
      </c>
      <c r="F111" s="10"/>
      <c r="G111" s="10" t="s">
        <v>1170</v>
      </c>
      <c r="H111" s="10" t="s">
        <v>1171</v>
      </c>
      <c r="I111" s="14" t="b">
        <v>0</v>
      </c>
      <c r="J111" s="10" t="s">
        <v>83</v>
      </c>
      <c r="K111" s="10"/>
      <c r="L111" s="10"/>
      <c r="M111" s="10"/>
      <c r="N111" s="10"/>
      <c r="O111" s="10"/>
      <c r="P111" s="10"/>
      <c r="Q111" s="14" t="b">
        <v>1</v>
      </c>
      <c r="R111" s="10"/>
    </row>
    <row r="112">
      <c r="A112" s="10" t="s">
        <v>1180</v>
      </c>
      <c r="B112" s="10" t="s">
        <v>65</v>
      </c>
      <c r="C112" s="11">
        <v>45890.0</v>
      </c>
      <c r="D112" s="10" t="s">
        <v>983</v>
      </c>
      <c r="E112" s="10" t="s">
        <v>1182</v>
      </c>
      <c r="F112" s="10"/>
      <c r="G112" s="10" t="s">
        <v>1184</v>
      </c>
      <c r="H112" s="10" t="s">
        <v>1185</v>
      </c>
      <c r="I112" s="14" t="b">
        <v>1</v>
      </c>
      <c r="J112" s="10" t="s">
        <v>83</v>
      </c>
      <c r="K112" s="10"/>
      <c r="L112" s="10"/>
      <c r="M112" s="10"/>
      <c r="N112" s="10"/>
      <c r="O112" s="10"/>
      <c r="P112" s="17">
        <v>1635576.0</v>
      </c>
      <c r="Q112" s="14" t="b">
        <v>1</v>
      </c>
      <c r="R112" s="10"/>
    </row>
    <row r="113">
      <c r="A113" s="10" t="s">
        <v>1192</v>
      </c>
      <c r="B113" s="10" t="s">
        <v>65</v>
      </c>
      <c r="C113" s="11">
        <v>45888.0</v>
      </c>
      <c r="D113" s="10" t="s">
        <v>706</v>
      </c>
      <c r="E113" s="10" t="s">
        <v>1195</v>
      </c>
      <c r="F113" s="10"/>
      <c r="G113" s="10" t="s">
        <v>1197</v>
      </c>
      <c r="H113" s="10" t="s">
        <v>1199</v>
      </c>
      <c r="I113" s="14" t="b">
        <v>1</v>
      </c>
      <c r="J113" s="10" t="s">
        <v>83</v>
      </c>
      <c r="K113" s="10"/>
      <c r="L113" s="10"/>
      <c r="M113" s="10"/>
      <c r="N113" s="10"/>
      <c r="O113" s="10"/>
      <c r="P113" s="17">
        <v>1639026.0</v>
      </c>
      <c r="Q113" s="14" t="b">
        <v>1</v>
      </c>
      <c r="R113" s="10"/>
    </row>
    <row r="114">
      <c r="A114" s="10" t="s">
        <v>1204</v>
      </c>
      <c r="B114" s="10" t="s">
        <v>65</v>
      </c>
      <c r="C114" s="11">
        <v>45892.0</v>
      </c>
      <c r="D114" s="10" t="s">
        <v>163</v>
      </c>
      <c r="E114" s="10" t="s">
        <v>1207</v>
      </c>
      <c r="F114" s="10"/>
      <c r="G114" s="10" t="s">
        <v>1208</v>
      </c>
      <c r="H114" s="10" t="s">
        <v>1209</v>
      </c>
      <c r="I114" s="14" t="b">
        <v>1</v>
      </c>
      <c r="J114" s="10" t="s">
        <v>83</v>
      </c>
      <c r="K114" s="10"/>
      <c r="L114" s="10"/>
      <c r="M114" s="10"/>
      <c r="N114" s="10"/>
      <c r="O114" s="10"/>
      <c r="P114" s="17">
        <v>1639543.0</v>
      </c>
      <c r="Q114" s="14" t="b">
        <v>1</v>
      </c>
      <c r="R114" s="10"/>
    </row>
    <row r="115">
      <c r="A115" s="10" t="s">
        <v>1213</v>
      </c>
      <c r="B115" s="10" t="s">
        <v>65</v>
      </c>
      <c r="C115" s="11">
        <v>45892.0</v>
      </c>
      <c r="D115" s="10" t="s">
        <v>189</v>
      </c>
      <c r="E115" s="10" t="s">
        <v>1216</v>
      </c>
      <c r="F115" s="10"/>
      <c r="G115" s="10" t="s">
        <v>1218</v>
      </c>
      <c r="H115" s="10" t="s">
        <v>195</v>
      </c>
      <c r="I115" s="14" t="b">
        <v>0</v>
      </c>
      <c r="J115" s="10" t="s">
        <v>83</v>
      </c>
      <c r="K115" s="10"/>
      <c r="L115" s="10"/>
      <c r="M115" s="10"/>
      <c r="N115" s="10"/>
      <c r="O115" s="10"/>
      <c r="P115" s="10"/>
      <c r="Q115" s="14" t="b">
        <v>1</v>
      </c>
      <c r="R115" s="10"/>
    </row>
    <row r="116">
      <c r="A116" s="10" t="s">
        <v>1224</v>
      </c>
      <c r="B116" s="10" t="s">
        <v>65</v>
      </c>
      <c r="C116" s="11">
        <v>45891.0</v>
      </c>
      <c r="D116" s="10" t="s">
        <v>751</v>
      </c>
      <c r="E116" s="10" t="s">
        <v>1227</v>
      </c>
      <c r="F116" s="10"/>
      <c r="G116" s="10" t="s">
        <v>1229</v>
      </c>
      <c r="H116" s="10" t="s">
        <v>481</v>
      </c>
      <c r="I116" s="14" t="b">
        <v>0</v>
      </c>
      <c r="J116" s="10" t="s">
        <v>83</v>
      </c>
      <c r="K116" s="10"/>
      <c r="L116" s="10"/>
      <c r="M116" s="10"/>
      <c r="N116" s="10"/>
      <c r="O116" s="10"/>
      <c r="P116" s="10"/>
      <c r="Q116" s="14" t="b">
        <v>1</v>
      </c>
      <c r="R116" s="10"/>
    </row>
    <row r="117">
      <c r="A117" s="10" t="s">
        <v>1235</v>
      </c>
      <c r="B117" s="10" t="s">
        <v>65</v>
      </c>
      <c r="C117" s="11">
        <v>45891.0</v>
      </c>
      <c r="D117" s="10" t="s">
        <v>202</v>
      </c>
      <c r="E117" s="10" t="s">
        <v>1237</v>
      </c>
      <c r="F117" s="10"/>
      <c r="G117" s="10" t="s">
        <v>1239</v>
      </c>
      <c r="H117" s="10" t="s">
        <v>481</v>
      </c>
      <c r="I117" s="14" t="b">
        <v>0</v>
      </c>
      <c r="J117" s="10" t="s">
        <v>83</v>
      </c>
      <c r="K117" s="10"/>
      <c r="L117" s="10"/>
      <c r="M117" s="10"/>
      <c r="N117" s="10"/>
      <c r="O117" s="10"/>
      <c r="P117" s="10"/>
      <c r="Q117" s="14" t="b">
        <v>1</v>
      </c>
      <c r="R117" s="10"/>
    </row>
    <row r="118">
      <c r="A118" s="10" t="s">
        <v>1245</v>
      </c>
      <c r="B118" s="10" t="s">
        <v>65</v>
      </c>
      <c r="C118" s="11">
        <v>45888.0</v>
      </c>
      <c r="D118" s="10" t="s">
        <v>202</v>
      </c>
      <c r="E118" s="10" t="s">
        <v>1247</v>
      </c>
      <c r="F118" s="10"/>
      <c r="G118" s="10" t="s">
        <v>1249</v>
      </c>
      <c r="H118" s="10" t="s">
        <v>481</v>
      </c>
      <c r="I118" s="14" t="b">
        <v>0</v>
      </c>
      <c r="J118" s="10" t="s">
        <v>83</v>
      </c>
      <c r="K118" s="10"/>
      <c r="L118" s="10"/>
      <c r="M118" s="10"/>
      <c r="N118" s="10"/>
      <c r="O118" s="10"/>
      <c r="P118" s="10"/>
      <c r="Q118" s="14" t="b">
        <v>1</v>
      </c>
      <c r="R118" s="10"/>
    </row>
    <row r="119">
      <c r="A119" s="10" t="s">
        <v>1254</v>
      </c>
      <c r="B119" s="10" t="s">
        <v>65</v>
      </c>
      <c r="C119" s="11">
        <v>45896.0</v>
      </c>
      <c r="D119" s="10" t="s">
        <v>163</v>
      </c>
      <c r="E119" s="10" t="s">
        <v>1256</v>
      </c>
      <c r="F119" s="10"/>
      <c r="G119" s="10" t="s">
        <v>1258</v>
      </c>
      <c r="H119" s="10" t="s">
        <v>529</v>
      </c>
      <c r="I119" s="14" t="b">
        <v>1</v>
      </c>
      <c r="J119" s="10" t="s">
        <v>83</v>
      </c>
      <c r="K119" s="10"/>
      <c r="L119" s="10"/>
      <c r="M119" s="10"/>
      <c r="N119" s="10"/>
      <c r="O119" s="10"/>
      <c r="P119" s="17">
        <v>1645984.0</v>
      </c>
      <c r="Q119" s="14" t="b">
        <v>1</v>
      </c>
      <c r="R119" s="10"/>
    </row>
    <row r="120">
      <c r="A120" s="10" t="s">
        <v>1262</v>
      </c>
      <c r="B120" s="10" t="s">
        <v>65</v>
      </c>
      <c r="C120" s="11">
        <v>45899.0</v>
      </c>
      <c r="D120" s="10" t="s">
        <v>163</v>
      </c>
      <c r="E120" s="10" t="s">
        <v>1265</v>
      </c>
      <c r="F120" s="10"/>
      <c r="G120" s="10" t="s">
        <v>1267</v>
      </c>
      <c r="H120" s="10" t="s">
        <v>529</v>
      </c>
      <c r="I120" s="14" t="b">
        <v>1</v>
      </c>
      <c r="J120" s="10" t="s">
        <v>83</v>
      </c>
      <c r="K120" s="10"/>
      <c r="L120" s="10"/>
      <c r="M120" s="10"/>
      <c r="N120" s="10"/>
      <c r="O120" s="10"/>
      <c r="P120" s="17">
        <v>1650531.0</v>
      </c>
      <c r="Q120" s="14" t="b">
        <v>1</v>
      </c>
      <c r="R120" s="10"/>
    </row>
    <row r="121">
      <c r="A121" s="10" t="s">
        <v>1270</v>
      </c>
      <c r="B121" s="10" t="s">
        <v>65</v>
      </c>
      <c r="C121" s="11">
        <v>45899.0</v>
      </c>
      <c r="D121" s="10" t="s">
        <v>951</v>
      </c>
      <c r="E121" s="10" t="s">
        <v>1273</v>
      </c>
      <c r="F121" s="10"/>
      <c r="G121" s="10" t="s">
        <v>1274</v>
      </c>
      <c r="H121" s="10" t="s">
        <v>1276</v>
      </c>
      <c r="I121" s="14" t="b">
        <v>1</v>
      </c>
      <c r="J121" s="10" t="s">
        <v>83</v>
      </c>
      <c r="K121" s="10"/>
      <c r="L121" s="10"/>
      <c r="M121" s="10"/>
      <c r="N121" s="10"/>
      <c r="O121" s="10"/>
      <c r="P121" s="17">
        <v>1654163.0</v>
      </c>
      <c r="Q121" s="14" t="b">
        <v>1</v>
      </c>
      <c r="R121" s="10"/>
    </row>
    <row r="122">
      <c r="A122" s="10" t="s">
        <v>1284</v>
      </c>
      <c r="B122" s="10" t="s">
        <v>65</v>
      </c>
      <c r="C122" s="11">
        <v>45900.0</v>
      </c>
      <c r="D122" s="10" t="s">
        <v>1017</v>
      </c>
      <c r="E122" s="10" t="s">
        <v>1287</v>
      </c>
      <c r="F122" s="10"/>
      <c r="G122" s="10" t="s">
        <v>1290</v>
      </c>
      <c r="H122" s="10" t="s">
        <v>1292</v>
      </c>
      <c r="I122" s="14" t="b">
        <v>1</v>
      </c>
      <c r="J122" s="10" t="s">
        <v>83</v>
      </c>
      <c r="K122" s="10"/>
      <c r="L122" s="10"/>
      <c r="M122" s="10"/>
      <c r="N122" s="10"/>
      <c r="O122" s="10"/>
      <c r="P122" s="17">
        <v>1654183.0</v>
      </c>
      <c r="Q122" s="14" t="b">
        <v>1</v>
      </c>
      <c r="R122" s="10"/>
    </row>
    <row r="123">
      <c r="A123" s="10" t="s">
        <v>1295</v>
      </c>
      <c r="B123" s="10" t="s">
        <v>65</v>
      </c>
      <c r="C123" s="11">
        <v>45900.0</v>
      </c>
      <c r="D123" s="10" t="s">
        <v>194</v>
      </c>
      <c r="E123" s="10" t="s">
        <v>1298</v>
      </c>
      <c r="F123" s="10"/>
      <c r="G123" s="10" t="s">
        <v>1299</v>
      </c>
      <c r="H123" s="10" t="s">
        <v>1302</v>
      </c>
      <c r="I123" s="14" t="b">
        <v>0</v>
      </c>
      <c r="J123" s="10" t="s">
        <v>83</v>
      </c>
      <c r="K123" s="10"/>
      <c r="L123" s="10"/>
      <c r="M123" s="10"/>
      <c r="N123" s="10"/>
      <c r="O123" s="10"/>
      <c r="P123" s="10"/>
      <c r="Q123" s="14" t="b">
        <v>1</v>
      </c>
      <c r="R123" s="10"/>
    </row>
    <row r="124">
      <c r="A124" s="10" t="s">
        <v>1307</v>
      </c>
      <c r="B124" s="10" t="s">
        <v>65</v>
      </c>
      <c r="C124" s="11">
        <v>45889.0</v>
      </c>
      <c r="D124" s="10" t="s">
        <v>670</v>
      </c>
      <c r="E124" s="10" t="s">
        <v>1310</v>
      </c>
      <c r="F124" s="10"/>
      <c r="G124" s="10" t="s">
        <v>1311</v>
      </c>
      <c r="H124" s="10" t="s">
        <v>287</v>
      </c>
      <c r="I124" s="14" t="b">
        <v>0</v>
      </c>
      <c r="J124" s="10" t="s">
        <v>83</v>
      </c>
      <c r="K124" s="10"/>
      <c r="L124" s="10" t="s">
        <v>1314</v>
      </c>
      <c r="M124" s="10" t="s">
        <v>1316</v>
      </c>
      <c r="N124" s="10"/>
      <c r="O124" s="10"/>
      <c r="P124" s="10"/>
      <c r="Q124" s="14" t="b">
        <v>1</v>
      </c>
      <c r="R124" s="10"/>
    </row>
    <row r="125">
      <c r="A125" s="10" t="s">
        <v>1318</v>
      </c>
      <c r="B125" s="10" t="s">
        <v>65</v>
      </c>
      <c r="C125" s="11">
        <v>45896.0</v>
      </c>
      <c r="D125" s="10" t="s">
        <v>145</v>
      </c>
      <c r="E125" s="10" t="s">
        <v>1319</v>
      </c>
      <c r="F125" s="10"/>
      <c r="G125" s="10" t="s">
        <v>1321</v>
      </c>
      <c r="H125" s="10" t="s">
        <v>149</v>
      </c>
      <c r="I125" s="14" t="b">
        <v>0</v>
      </c>
      <c r="J125" s="10" t="s">
        <v>83</v>
      </c>
      <c r="K125" s="10"/>
      <c r="L125" s="10"/>
      <c r="M125" s="10"/>
      <c r="N125" s="10"/>
      <c r="O125" s="10"/>
      <c r="P125" s="10"/>
      <c r="Q125" s="14" t="b">
        <v>1</v>
      </c>
      <c r="R125" s="10"/>
    </row>
    <row r="126">
      <c r="A126" s="10" t="s">
        <v>1326</v>
      </c>
      <c r="B126" s="10" t="s">
        <v>65</v>
      </c>
      <c r="C126" s="11">
        <v>45898.0</v>
      </c>
      <c r="D126" s="10" t="s">
        <v>189</v>
      </c>
      <c r="E126" s="10" t="s">
        <v>1328</v>
      </c>
      <c r="F126" s="10"/>
      <c r="G126" s="10" t="s">
        <v>1329</v>
      </c>
      <c r="H126" s="10" t="s">
        <v>460</v>
      </c>
      <c r="I126" s="14" t="b">
        <v>0</v>
      </c>
      <c r="J126" s="10" t="s">
        <v>83</v>
      </c>
      <c r="K126" s="10"/>
      <c r="L126" s="10"/>
      <c r="M126" s="10"/>
      <c r="N126" s="10"/>
      <c r="O126" s="10"/>
      <c r="P126" s="10"/>
      <c r="Q126" s="14" t="b">
        <v>1</v>
      </c>
      <c r="R126" s="10"/>
    </row>
    <row r="127">
      <c r="A127" s="10" t="s">
        <v>1332</v>
      </c>
      <c r="B127" s="10" t="s">
        <v>65</v>
      </c>
      <c r="C127" s="11">
        <v>45899.0</v>
      </c>
      <c r="D127" s="10" t="s">
        <v>189</v>
      </c>
      <c r="E127" s="10" t="s">
        <v>1333</v>
      </c>
      <c r="F127" s="10"/>
      <c r="G127" s="10" t="s">
        <v>1335</v>
      </c>
      <c r="H127" s="10" t="s">
        <v>460</v>
      </c>
      <c r="I127" s="14" t="b">
        <v>0</v>
      </c>
      <c r="J127" s="10" t="s">
        <v>83</v>
      </c>
      <c r="K127" s="10"/>
      <c r="L127" s="10"/>
      <c r="M127" s="10"/>
      <c r="N127" s="10"/>
      <c r="O127" s="10"/>
      <c r="P127" s="10"/>
      <c r="Q127" s="14" t="b">
        <v>1</v>
      </c>
      <c r="R127" s="10"/>
    </row>
    <row r="128">
      <c r="A128" s="10" t="s">
        <v>1337</v>
      </c>
      <c r="B128" s="10" t="s">
        <v>65</v>
      </c>
      <c r="C128" s="11">
        <v>45900.0</v>
      </c>
      <c r="D128" s="10" t="s">
        <v>189</v>
      </c>
      <c r="E128" s="10" t="s">
        <v>1339</v>
      </c>
      <c r="F128" s="10"/>
      <c r="G128" s="10" t="s">
        <v>1340</v>
      </c>
      <c r="H128" s="10" t="s">
        <v>460</v>
      </c>
      <c r="I128" s="14" t="b">
        <v>0</v>
      </c>
      <c r="J128" s="10" t="s">
        <v>83</v>
      </c>
      <c r="K128" s="10"/>
      <c r="L128" s="10"/>
      <c r="M128" s="10"/>
      <c r="N128" s="10"/>
      <c r="O128" s="10"/>
      <c r="P128" s="10"/>
      <c r="Q128" s="14" t="b">
        <v>1</v>
      </c>
      <c r="R128" s="10"/>
    </row>
    <row r="129">
      <c r="A129" s="10" t="s">
        <v>1342</v>
      </c>
      <c r="B129" s="10" t="s">
        <v>65</v>
      </c>
      <c r="C129" s="11">
        <v>45900.0</v>
      </c>
      <c r="D129" s="10" t="s">
        <v>202</v>
      </c>
      <c r="E129" s="10" t="s">
        <v>1344</v>
      </c>
      <c r="F129" s="10"/>
      <c r="G129" s="10" t="s">
        <v>1345</v>
      </c>
      <c r="H129" s="10" t="s">
        <v>481</v>
      </c>
      <c r="I129" s="14" t="b">
        <v>0</v>
      </c>
      <c r="J129" s="10" t="s">
        <v>83</v>
      </c>
      <c r="K129" s="10"/>
      <c r="L129" s="10"/>
      <c r="M129" s="10"/>
      <c r="N129" s="10"/>
      <c r="O129" s="10"/>
      <c r="P129" s="10"/>
      <c r="Q129" s="14" t="b">
        <v>1</v>
      </c>
      <c r="R129" s="10"/>
    </row>
    <row r="130">
      <c r="A130" s="10" t="s">
        <v>1349</v>
      </c>
      <c r="B130" s="10" t="s">
        <v>65</v>
      </c>
      <c r="C130" s="11">
        <v>45900.0</v>
      </c>
      <c r="D130" s="10" t="s">
        <v>785</v>
      </c>
      <c r="E130" s="10" t="s">
        <v>1353</v>
      </c>
      <c r="F130" s="10"/>
      <c r="G130" s="10" t="s">
        <v>1354</v>
      </c>
      <c r="H130" s="10" t="s">
        <v>790</v>
      </c>
      <c r="I130" s="14" t="b">
        <v>1</v>
      </c>
      <c r="J130" s="10" t="s">
        <v>83</v>
      </c>
      <c r="K130" s="10"/>
      <c r="L130" s="10"/>
      <c r="M130" s="10"/>
      <c r="N130" s="10"/>
      <c r="O130" s="10"/>
      <c r="P130" s="17">
        <v>1655194.0</v>
      </c>
      <c r="Q130" s="14" t="b">
        <v>1</v>
      </c>
      <c r="R130" s="10"/>
    </row>
    <row r="131">
      <c r="A131" s="10" t="s">
        <v>1360</v>
      </c>
      <c r="B131" s="10" t="s">
        <v>65</v>
      </c>
      <c r="C131" s="11">
        <v>45900.0</v>
      </c>
      <c r="D131" s="10" t="s">
        <v>1038</v>
      </c>
      <c r="E131" s="10" t="s">
        <v>1361</v>
      </c>
      <c r="F131" s="10"/>
      <c r="G131" s="10" t="s">
        <v>1362</v>
      </c>
      <c r="H131" s="10" t="s">
        <v>790</v>
      </c>
      <c r="I131" s="14" t="b">
        <v>1</v>
      </c>
      <c r="J131" s="10" t="s">
        <v>83</v>
      </c>
      <c r="K131" s="10"/>
      <c r="L131" s="10"/>
      <c r="M131" s="10"/>
      <c r="N131" s="10"/>
      <c r="O131" s="10"/>
      <c r="P131" s="17">
        <v>1655195.0</v>
      </c>
      <c r="Q131" s="14" t="b">
        <v>1</v>
      </c>
      <c r="R131" s="10"/>
    </row>
    <row r="132">
      <c r="A132" s="10" t="s">
        <v>1369</v>
      </c>
      <c r="B132" s="10" t="s">
        <v>65</v>
      </c>
      <c r="C132" s="11">
        <v>45902.0</v>
      </c>
      <c r="D132" s="17">
        <v>8.627274E7</v>
      </c>
      <c r="E132" s="10" t="s">
        <v>1371</v>
      </c>
      <c r="F132" s="10"/>
      <c r="G132" s="10" t="s">
        <v>1374</v>
      </c>
      <c r="H132" s="10" t="s">
        <v>157</v>
      </c>
      <c r="I132" s="14" t="b">
        <v>1</v>
      </c>
      <c r="J132" s="10" t="s">
        <v>83</v>
      </c>
      <c r="K132" s="10"/>
      <c r="L132" s="10"/>
      <c r="M132" s="10"/>
      <c r="N132" s="10"/>
      <c r="O132" s="10"/>
      <c r="P132" s="17">
        <v>1657941.0</v>
      </c>
      <c r="Q132" s="14" t="b">
        <v>1</v>
      </c>
      <c r="R132" s="10"/>
    </row>
    <row r="133">
      <c r="A133" s="10" t="s">
        <v>1377</v>
      </c>
      <c r="B133" s="10" t="s">
        <v>65</v>
      </c>
      <c r="C133" s="11">
        <v>45902.0</v>
      </c>
      <c r="D133" s="10" t="s">
        <v>775</v>
      </c>
      <c r="E133" s="10" t="s">
        <v>1380</v>
      </c>
      <c r="F133" s="10"/>
      <c r="G133" s="10" t="s">
        <v>1382</v>
      </c>
      <c r="H133" s="10" t="s">
        <v>781</v>
      </c>
      <c r="I133" s="14" t="b">
        <v>0</v>
      </c>
      <c r="J133" s="10" t="s">
        <v>83</v>
      </c>
      <c r="K133" s="10"/>
      <c r="L133" s="10"/>
      <c r="M133" s="10"/>
      <c r="N133" s="10"/>
      <c r="O133" s="10"/>
      <c r="P133" s="10"/>
      <c r="Q133" s="14" t="b">
        <v>1</v>
      </c>
      <c r="R133" s="10"/>
    </row>
    <row r="134">
      <c r="A134" s="10" t="s">
        <v>1387</v>
      </c>
      <c r="B134" s="10" t="s">
        <v>65</v>
      </c>
      <c r="C134" s="11">
        <v>45902.0</v>
      </c>
      <c r="D134" s="10" t="s">
        <v>751</v>
      </c>
      <c r="E134" s="10" t="s">
        <v>1390</v>
      </c>
      <c r="F134" s="10"/>
      <c r="G134" s="10" t="s">
        <v>1392</v>
      </c>
      <c r="H134" s="10" t="s">
        <v>481</v>
      </c>
      <c r="I134" s="14" t="b">
        <v>0</v>
      </c>
      <c r="J134" s="10" t="s">
        <v>83</v>
      </c>
      <c r="K134" s="10"/>
      <c r="L134" s="10"/>
      <c r="M134" s="10"/>
      <c r="N134" s="10"/>
      <c r="O134" s="10"/>
      <c r="P134" s="10"/>
      <c r="Q134" s="14" t="b">
        <v>1</v>
      </c>
      <c r="R134" s="10"/>
    </row>
    <row r="135">
      <c r="A135" s="10" t="s">
        <v>1395</v>
      </c>
      <c r="B135" s="10" t="s">
        <v>65</v>
      </c>
      <c r="C135" s="11">
        <v>45903.0</v>
      </c>
      <c r="D135" s="10" t="s">
        <v>715</v>
      </c>
      <c r="E135" s="10" t="s">
        <v>1397</v>
      </c>
      <c r="F135" s="10"/>
      <c r="G135" s="10" t="s">
        <v>1398</v>
      </c>
      <c r="H135" s="10" t="s">
        <v>1399</v>
      </c>
      <c r="I135" s="14" t="b">
        <v>1</v>
      </c>
      <c r="J135" s="10" t="s">
        <v>83</v>
      </c>
      <c r="K135" s="10"/>
      <c r="L135" s="10"/>
      <c r="M135" s="10"/>
      <c r="N135" s="10"/>
      <c r="O135" s="10"/>
      <c r="P135" s="17">
        <v>1659628.0</v>
      </c>
      <c r="Q135" s="14" t="b">
        <v>1</v>
      </c>
      <c r="R135" s="10"/>
    </row>
    <row r="136">
      <c r="A136" s="10" t="s">
        <v>1402</v>
      </c>
      <c r="B136" s="10" t="s">
        <v>65</v>
      </c>
      <c r="C136" s="11">
        <v>45904.0</v>
      </c>
      <c r="D136" s="10" t="s">
        <v>163</v>
      </c>
      <c r="E136" s="10" t="s">
        <v>1407</v>
      </c>
      <c r="F136" s="10"/>
      <c r="G136" s="10" t="s">
        <v>1408</v>
      </c>
      <c r="H136" s="10" t="s">
        <v>529</v>
      </c>
      <c r="I136" s="14" t="b">
        <v>1</v>
      </c>
      <c r="J136" s="10" t="s">
        <v>83</v>
      </c>
      <c r="K136" s="10"/>
      <c r="L136" s="10"/>
      <c r="M136" s="10"/>
      <c r="N136" s="10"/>
      <c r="O136" s="10"/>
      <c r="P136" s="17">
        <v>1661814.0</v>
      </c>
      <c r="Q136" s="14" t="b">
        <v>1</v>
      </c>
      <c r="R136" s="10"/>
    </row>
    <row r="137">
      <c r="A137" s="10" t="s">
        <v>1412</v>
      </c>
      <c r="B137" s="10" t="s">
        <v>65</v>
      </c>
      <c r="C137" s="11">
        <v>45904.0</v>
      </c>
      <c r="D137" s="10" t="s">
        <v>202</v>
      </c>
      <c r="E137" s="10" t="s">
        <v>1415</v>
      </c>
      <c r="F137" s="10"/>
      <c r="G137" s="10" t="s">
        <v>1417</v>
      </c>
      <c r="H137" s="10" t="s">
        <v>481</v>
      </c>
      <c r="I137" s="14" t="b">
        <v>0</v>
      </c>
      <c r="J137" s="10" t="s">
        <v>83</v>
      </c>
      <c r="K137" s="10"/>
      <c r="L137" s="10"/>
      <c r="M137" s="10"/>
      <c r="N137" s="10"/>
      <c r="O137" s="10"/>
      <c r="P137" s="10"/>
      <c r="Q137" s="14" t="b">
        <v>1</v>
      </c>
      <c r="R137" s="10"/>
    </row>
    <row r="138">
      <c r="A138" s="10" t="s">
        <v>1424</v>
      </c>
      <c r="B138" s="10" t="s">
        <v>65</v>
      </c>
      <c r="C138" s="11">
        <v>45905.0</v>
      </c>
      <c r="D138" s="10" t="s">
        <v>163</v>
      </c>
      <c r="E138" s="10" t="s">
        <v>1426</v>
      </c>
      <c r="F138" s="10"/>
      <c r="G138" s="10" t="s">
        <v>1428</v>
      </c>
      <c r="H138" s="10" t="s">
        <v>195</v>
      </c>
      <c r="I138" s="14" t="b">
        <v>1</v>
      </c>
      <c r="J138" s="10" t="s">
        <v>83</v>
      </c>
      <c r="K138" s="10"/>
      <c r="L138" s="10"/>
      <c r="M138" s="10"/>
      <c r="N138" s="10"/>
      <c r="O138" s="10"/>
      <c r="P138" s="17">
        <v>1662397.0</v>
      </c>
      <c r="Q138" s="14" t="b">
        <v>1</v>
      </c>
      <c r="R138" s="10"/>
    </row>
    <row r="139">
      <c r="A139" s="10" t="s">
        <v>1433</v>
      </c>
      <c r="B139" s="10" t="s">
        <v>65</v>
      </c>
      <c r="C139" s="11">
        <v>45905.0</v>
      </c>
      <c r="D139" s="10" t="s">
        <v>1435</v>
      </c>
      <c r="E139" s="10" t="s">
        <v>1438</v>
      </c>
      <c r="F139" s="10"/>
      <c r="G139" s="10" t="s">
        <v>1440</v>
      </c>
      <c r="H139" s="10" t="s">
        <v>1441</v>
      </c>
      <c r="I139" s="14" t="b">
        <v>1</v>
      </c>
      <c r="J139" s="10" t="s">
        <v>83</v>
      </c>
      <c r="K139" s="10"/>
      <c r="L139" s="10"/>
      <c r="M139" s="10"/>
      <c r="N139" s="10"/>
      <c r="O139" s="10"/>
      <c r="P139" s="17">
        <v>1663388.0</v>
      </c>
      <c r="Q139" s="14" t="b">
        <v>1</v>
      </c>
      <c r="R139" s="10"/>
    </row>
    <row r="140">
      <c r="A140" s="10" t="s">
        <v>1446</v>
      </c>
      <c r="B140" s="10" t="s">
        <v>65</v>
      </c>
      <c r="C140" s="11">
        <v>45905.0</v>
      </c>
      <c r="D140" s="10" t="s">
        <v>163</v>
      </c>
      <c r="E140" s="10" t="s">
        <v>1448</v>
      </c>
      <c r="F140" s="10"/>
      <c r="G140" s="10" t="s">
        <v>1450</v>
      </c>
      <c r="H140" s="10" t="s">
        <v>1451</v>
      </c>
      <c r="I140" s="14" t="b">
        <v>1</v>
      </c>
      <c r="J140" s="10" t="s">
        <v>83</v>
      </c>
      <c r="K140" s="10"/>
      <c r="L140" s="10"/>
      <c r="M140" s="10"/>
      <c r="N140" s="10"/>
      <c r="O140" s="10"/>
      <c r="P140" s="17">
        <v>1663394.0</v>
      </c>
      <c r="Q140" s="14" t="b">
        <v>1</v>
      </c>
      <c r="R140" s="10"/>
    </row>
    <row r="141">
      <c r="A141" s="10" t="s">
        <v>1452</v>
      </c>
      <c r="B141" s="10" t="s">
        <v>65</v>
      </c>
      <c r="C141" s="11">
        <v>45902.0</v>
      </c>
      <c r="D141" s="10" t="s">
        <v>131</v>
      </c>
      <c r="E141" s="10" t="s">
        <v>1453</v>
      </c>
      <c r="F141" s="10"/>
      <c r="G141" s="10" t="s">
        <v>1454</v>
      </c>
      <c r="H141" s="10" t="s">
        <v>171</v>
      </c>
      <c r="I141" s="14" t="b">
        <v>0</v>
      </c>
      <c r="J141" s="10" t="s">
        <v>83</v>
      </c>
      <c r="K141" s="10"/>
      <c r="L141" s="10" t="s">
        <v>1455</v>
      </c>
      <c r="M141" s="10" t="s">
        <v>1456</v>
      </c>
      <c r="N141" s="10"/>
      <c r="O141" s="10"/>
      <c r="P141" s="10"/>
      <c r="Q141" s="14" t="b">
        <v>1</v>
      </c>
      <c r="R141" s="10"/>
    </row>
    <row r="142">
      <c r="A142" s="10" t="s">
        <v>1457</v>
      </c>
      <c r="B142" s="10" t="s">
        <v>65</v>
      </c>
      <c r="C142" s="11">
        <v>45902.0</v>
      </c>
      <c r="D142" s="10" t="s">
        <v>131</v>
      </c>
      <c r="E142" s="10" t="s">
        <v>1458</v>
      </c>
      <c r="F142" s="10"/>
      <c r="G142" s="10" t="s">
        <v>1459</v>
      </c>
      <c r="H142" s="10" t="s">
        <v>1460</v>
      </c>
      <c r="I142" s="14" t="b">
        <v>0</v>
      </c>
      <c r="J142" s="10" t="s">
        <v>382</v>
      </c>
      <c r="K142" s="10"/>
      <c r="L142" s="10"/>
      <c r="M142" s="10"/>
      <c r="N142" s="10"/>
      <c r="O142" s="10"/>
      <c r="P142" s="10"/>
      <c r="Q142" s="14" t="b">
        <v>1</v>
      </c>
      <c r="R142" s="10"/>
    </row>
    <row r="143">
      <c r="A143" s="10" t="s">
        <v>1464</v>
      </c>
      <c r="B143" s="10" t="s">
        <v>65</v>
      </c>
      <c r="C143" s="11">
        <v>45905.0</v>
      </c>
      <c r="D143" s="10" t="s">
        <v>751</v>
      </c>
      <c r="E143" s="10" t="s">
        <v>1470</v>
      </c>
      <c r="F143" s="10"/>
      <c r="G143" s="10" t="s">
        <v>1472</v>
      </c>
      <c r="H143" s="10" t="s">
        <v>481</v>
      </c>
      <c r="I143" s="14" t="b">
        <v>0</v>
      </c>
      <c r="J143" s="10" t="s">
        <v>83</v>
      </c>
      <c r="K143" s="10"/>
      <c r="L143" s="10"/>
      <c r="M143" s="10"/>
      <c r="N143" s="10"/>
      <c r="O143" s="10"/>
      <c r="P143" s="10"/>
      <c r="Q143" s="14" t="b">
        <v>1</v>
      </c>
      <c r="R143" s="10"/>
    </row>
    <row r="144">
      <c r="A144" s="10" t="s">
        <v>1480</v>
      </c>
      <c r="B144" s="10" t="s">
        <v>65</v>
      </c>
      <c r="C144" s="11">
        <v>45906.0</v>
      </c>
      <c r="D144" s="10" t="s">
        <v>1484</v>
      </c>
      <c r="E144" s="10" t="s">
        <v>1486</v>
      </c>
      <c r="F144" s="10"/>
      <c r="G144" s="10" t="s">
        <v>1488</v>
      </c>
      <c r="H144" s="10" t="s">
        <v>1490</v>
      </c>
      <c r="I144" s="14" t="b">
        <v>1</v>
      </c>
      <c r="J144" s="10" t="s">
        <v>83</v>
      </c>
      <c r="K144" s="10"/>
      <c r="L144" s="10"/>
      <c r="M144" s="10"/>
      <c r="N144" s="10"/>
      <c r="O144" s="10"/>
      <c r="P144" s="17">
        <v>1664329.0</v>
      </c>
      <c r="Q144" s="14" t="b">
        <v>1</v>
      </c>
      <c r="R144" s="10"/>
    </row>
    <row r="145">
      <c r="A145" s="10" t="s">
        <v>1494</v>
      </c>
      <c r="B145" s="10" t="s">
        <v>65</v>
      </c>
      <c r="C145" s="11">
        <v>45907.0</v>
      </c>
      <c r="D145" s="10" t="s">
        <v>163</v>
      </c>
      <c r="E145" s="10" t="s">
        <v>1497</v>
      </c>
      <c r="F145" s="10"/>
      <c r="G145" s="10" t="s">
        <v>1499</v>
      </c>
      <c r="H145" s="10" t="s">
        <v>195</v>
      </c>
      <c r="I145" s="14" t="b">
        <v>1</v>
      </c>
      <c r="J145" s="10" t="s">
        <v>83</v>
      </c>
      <c r="K145" s="10"/>
      <c r="L145" s="10"/>
      <c r="M145" s="10"/>
      <c r="N145" s="10"/>
      <c r="O145" s="10"/>
      <c r="P145" s="17">
        <v>1666957.0</v>
      </c>
      <c r="Q145" s="14" t="b">
        <v>1</v>
      </c>
      <c r="R145" s="10"/>
    </row>
    <row r="146">
      <c r="A146" s="10" t="s">
        <v>1504</v>
      </c>
      <c r="B146" s="10" t="s">
        <v>65</v>
      </c>
      <c r="C146" s="11">
        <v>45907.0</v>
      </c>
      <c r="D146" s="10" t="s">
        <v>1508</v>
      </c>
      <c r="E146" s="10" t="s">
        <v>1511</v>
      </c>
      <c r="F146" s="10"/>
      <c r="G146" s="10" t="s">
        <v>1512</v>
      </c>
      <c r="H146" s="10" t="s">
        <v>1515</v>
      </c>
      <c r="I146" s="14" t="b">
        <v>0</v>
      </c>
      <c r="J146" s="10" t="s">
        <v>83</v>
      </c>
      <c r="K146" s="10"/>
      <c r="L146" s="10"/>
      <c r="M146" s="10"/>
      <c r="N146" s="10"/>
      <c r="O146" s="10"/>
      <c r="P146" s="10"/>
      <c r="Q146" s="14" t="b">
        <v>1</v>
      </c>
      <c r="R146" s="10"/>
    </row>
    <row r="147">
      <c r="A147" s="10" t="s">
        <v>1525</v>
      </c>
      <c r="B147" s="10" t="s">
        <v>65</v>
      </c>
      <c r="C147" s="11">
        <v>45907.0</v>
      </c>
      <c r="D147" s="10" t="s">
        <v>163</v>
      </c>
      <c r="E147" s="10" t="s">
        <v>1528</v>
      </c>
      <c r="F147" s="10"/>
      <c r="G147" s="10" t="s">
        <v>1529</v>
      </c>
      <c r="H147" s="10" t="s">
        <v>529</v>
      </c>
      <c r="I147" s="14" t="b">
        <v>1</v>
      </c>
      <c r="J147" s="10" t="s">
        <v>83</v>
      </c>
      <c r="K147" s="10"/>
      <c r="L147" s="10"/>
      <c r="M147" s="10"/>
      <c r="N147" s="10"/>
      <c r="O147" s="10"/>
      <c r="P147" s="17">
        <v>1666976.0</v>
      </c>
      <c r="Q147" s="14" t="b">
        <v>1</v>
      </c>
      <c r="R147" s="10"/>
    </row>
    <row r="148">
      <c r="A148" s="10" t="s">
        <v>1537</v>
      </c>
      <c r="B148" s="10" t="s">
        <v>65</v>
      </c>
      <c r="C148" s="11">
        <v>45908.0</v>
      </c>
      <c r="D148" s="10" t="s">
        <v>1541</v>
      </c>
      <c r="E148" s="10" t="s">
        <v>1542</v>
      </c>
      <c r="F148" s="10"/>
      <c r="G148" s="10" t="s">
        <v>1543</v>
      </c>
      <c r="H148" s="10" t="s">
        <v>1546</v>
      </c>
      <c r="I148" s="14" t="b">
        <v>1</v>
      </c>
      <c r="J148" s="10" t="s">
        <v>83</v>
      </c>
      <c r="K148" s="10"/>
      <c r="L148" s="10"/>
      <c r="M148" s="10"/>
      <c r="N148" s="10"/>
      <c r="O148" s="10"/>
      <c r="P148" s="17">
        <v>1669639.0</v>
      </c>
      <c r="Q148" s="14" t="b">
        <v>1</v>
      </c>
      <c r="R148" s="10"/>
    </row>
    <row r="149">
      <c r="A149" s="10" t="s">
        <v>1552</v>
      </c>
      <c r="B149" s="10" t="s">
        <v>65</v>
      </c>
      <c r="C149" s="11">
        <v>45904.0</v>
      </c>
      <c r="D149" s="10" t="s">
        <v>131</v>
      </c>
      <c r="E149" s="10" t="s">
        <v>1557</v>
      </c>
      <c r="F149" s="10"/>
      <c r="G149" s="10" t="s">
        <v>1559</v>
      </c>
      <c r="H149" s="10" t="s">
        <v>1560</v>
      </c>
      <c r="I149" s="14" t="b">
        <v>0</v>
      </c>
      <c r="J149" s="10" t="s">
        <v>382</v>
      </c>
      <c r="K149" s="10"/>
      <c r="L149" s="10" t="s">
        <v>1564</v>
      </c>
      <c r="M149" s="10" t="s">
        <v>1566</v>
      </c>
      <c r="N149" s="10"/>
      <c r="O149" s="10"/>
      <c r="P149" s="10"/>
      <c r="Q149" s="14" t="b">
        <v>1</v>
      </c>
      <c r="R149" s="10"/>
    </row>
    <row r="150">
      <c r="A150" s="10" t="s">
        <v>1569</v>
      </c>
      <c r="B150" s="10" t="s">
        <v>65</v>
      </c>
      <c r="C150" s="11">
        <v>45909.0</v>
      </c>
      <c r="D150" s="10" t="s">
        <v>246</v>
      </c>
      <c r="E150" s="10" t="s">
        <v>1573</v>
      </c>
      <c r="F150" s="10"/>
      <c r="G150" s="10" t="s">
        <v>1575</v>
      </c>
      <c r="H150" s="10" t="s">
        <v>250</v>
      </c>
      <c r="I150" s="14" t="b">
        <v>0</v>
      </c>
      <c r="J150" s="10" t="s">
        <v>83</v>
      </c>
      <c r="K150" s="10"/>
      <c r="L150" s="10"/>
      <c r="M150" s="10"/>
      <c r="N150" s="10"/>
      <c r="O150" s="10"/>
      <c r="P150" s="10"/>
      <c r="Q150" s="14" t="b">
        <v>1</v>
      </c>
      <c r="R150" s="10"/>
    </row>
    <row r="151">
      <c r="A151" s="10" t="s">
        <v>1584</v>
      </c>
      <c r="B151" s="10" t="s">
        <v>65</v>
      </c>
      <c r="C151" s="11">
        <v>45911.0</v>
      </c>
      <c r="D151" s="10" t="s">
        <v>163</v>
      </c>
      <c r="E151" s="10" t="s">
        <v>1588</v>
      </c>
      <c r="F151" s="10"/>
      <c r="G151" s="10" t="s">
        <v>1590</v>
      </c>
      <c r="H151" s="10" t="s">
        <v>529</v>
      </c>
      <c r="I151" s="14" t="b">
        <v>1</v>
      </c>
      <c r="J151" s="10" t="s">
        <v>83</v>
      </c>
      <c r="K151" s="10"/>
      <c r="L151" s="10"/>
      <c r="M151" s="10"/>
      <c r="N151" s="10"/>
      <c r="O151" s="10"/>
      <c r="P151" s="17">
        <v>1674108.0</v>
      </c>
      <c r="Q151" s="14" t="b">
        <v>1</v>
      </c>
      <c r="R151" s="10"/>
    </row>
    <row r="152">
      <c r="A152" s="10" t="s">
        <v>1595</v>
      </c>
      <c r="B152" s="10" t="s">
        <v>65</v>
      </c>
      <c r="C152" s="11">
        <v>45913.0</v>
      </c>
      <c r="D152" s="10" t="s">
        <v>163</v>
      </c>
      <c r="E152" s="10" t="s">
        <v>1597</v>
      </c>
      <c r="F152" s="10"/>
      <c r="G152" s="10" t="s">
        <v>1598</v>
      </c>
      <c r="H152" s="10" t="s">
        <v>1599</v>
      </c>
      <c r="I152" s="14" t="b">
        <v>0</v>
      </c>
      <c r="J152" s="10" t="s">
        <v>83</v>
      </c>
      <c r="K152" s="10"/>
      <c r="L152" s="10"/>
      <c r="M152" s="10"/>
      <c r="N152" s="10"/>
      <c r="O152" s="10"/>
      <c r="P152" s="10"/>
      <c r="Q152" s="14" t="b">
        <v>1</v>
      </c>
      <c r="R152" s="10"/>
    </row>
    <row r="153">
      <c r="A153" s="10" t="s">
        <v>1602</v>
      </c>
      <c r="B153" s="10" t="s">
        <v>65</v>
      </c>
      <c r="C153" s="11">
        <v>45911.0</v>
      </c>
      <c r="D153" s="10" t="s">
        <v>189</v>
      </c>
      <c r="E153" s="10" t="s">
        <v>1604</v>
      </c>
      <c r="F153" s="10"/>
      <c r="G153" s="10" t="s">
        <v>1605</v>
      </c>
      <c r="H153" s="10" t="s">
        <v>195</v>
      </c>
      <c r="I153" s="14" t="b">
        <v>0</v>
      </c>
      <c r="J153" s="10" t="s">
        <v>83</v>
      </c>
      <c r="K153" s="10"/>
      <c r="L153" s="10"/>
      <c r="M153" s="10"/>
      <c r="N153" s="10"/>
      <c r="O153" s="10"/>
      <c r="P153" s="10"/>
      <c r="Q153" s="14" t="b">
        <v>1</v>
      </c>
      <c r="R153" s="10"/>
    </row>
    <row r="154">
      <c r="A154" s="17">
        <v>5.7174004E7</v>
      </c>
      <c r="B154" s="10" t="s">
        <v>65</v>
      </c>
      <c r="C154" s="11">
        <v>45913.0</v>
      </c>
      <c r="D154" s="10" t="s">
        <v>189</v>
      </c>
      <c r="E154" s="10" t="s">
        <v>1610</v>
      </c>
      <c r="F154" s="10"/>
      <c r="G154" s="10" t="s">
        <v>1612</v>
      </c>
      <c r="H154" s="10" t="s">
        <v>460</v>
      </c>
      <c r="I154" s="14" t="b">
        <v>0</v>
      </c>
      <c r="J154" s="10" t="s">
        <v>83</v>
      </c>
      <c r="K154" s="10"/>
      <c r="L154" s="10"/>
      <c r="M154" s="10"/>
      <c r="N154" s="10"/>
      <c r="O154" s="10"/>
      <c r="P154" s="10"/>
      <c r="Q154" s="14" t="b">
        <v>1</v>
      </c>
      <c r="R154" s="10"/>
    </row>
    <row r="155">
      <c r="A155" s="10" t="s">
        <v>1615</v>
      </c>
      <c r="B155" s="10" t="s">
        <v>65</v>
      </c>
      <c r="C155" s="11">
        <v>45911.0</v>
      </c>
      <c r="D155" s="10" t="s">
        <v>202</v>
      </c>
      <c r="E155" s="10" t="s">
        <v>1618</v>
      </c>
      <c r="F155" s="10"/>
      <c r="G155" s="10" t="s">
        <v>1620</v>
      </c>
      <c r="H155" s="10" t="s">
        <v>481</v>
      </c>
      <c r="I155" s="14" t="b">
        <v>0</v>
      </c>
      <c r="J155" s="10" t="s">
        <v>83</v>
      </c>
      <c r="K155" s="10"/>
      <c r="L155" s="10"/>
      <c r="M155" s="10"/>
      <c r="N155" s="10"/>
      <c r="O155" s="10"/>
      <c r="P155" s="10"/>
      <c r="Q155" s="14" t="b">
        <v>1</v>
      </c>
      <c r="R155" s="10"/>
    </row>
    <row r="156">
      <c r="A156" s="10" t="s">
        <v>1622</v>
      </c>
      <c r="B156" s="10" t="s">
        <v>65</v>
      </c>
      <c r="C156" s="11">
        <v>45915.0</v>
      </c>
      <c r="D156" s="10" t="s">
        <v>1017</v>
      </c>
      <c r="E156" s="10" t="s">
        <v>1624</v>
      </c>
      <c r="F156" s="10"/>
      <c r="G156" s="10" t="s">
        <v>1626</v>
      </c>
      <c r="H156" s="10" t="s">
        <v>1627</v>
      </c>
      <c r="I156" s="14" t="b">
        <v>1</v>
      </c>
      <c r="J156" s="10" t="s">
        <v>83</v>
      </c>
      <c r="K156" s="10"/>
      <c r="L156" s="10"/>
      <c r="M156" s="10"/>
      <c r="N156" s="10"/>
      <c r="O156" s="10"/>
      <c r="P156" s="17">
        <v>1683914.0</v>
      </c>
      <c r="Q156" s="14" t="b">
        <v>1</v>
      </c>
      <c r="R156" s="10"/>
    </row>
    <row r="157">
      <c r="A157" s="10" t="s">
        <v>1629</v>
      </c>
      <c r="B157" s="10" t="s">
        <v>65</v>
      </c>
      <c r="C157" s="11">
        <v>45915.0</v>
      </c>
      <c r="D157" s="10" t="s">
        <v>163</v>
      </c>
      <c r="E157" s="10" t="s">
        <v>1631</v>
      </c>
      <c r="F157" s="10"/>
      <c r="G157" s="10" t="s">
        <v>1632</v>
      </c>
      <c r="H157" s="10" t="s">
        <v>157</v>
      </c>
      <c r="I157" s="14" t="b">
        <v>1</v>
      </c>
      <c r="J157" s="10" t="s">
        <v>83</v>
      </c>
      <c r="K157" s="10"/>
      <c r="L157" s="10"/>
      <c r="M157" s="10"/>
      <c r="N157" s="10"/>
      <c r="O157" s="10"/>
      <c r="P157" s="17">
        <v>1683955.0</v>
      </c>
      <c r="Q157" s="14" t="b">
        <v>1</v>
      </c>
      <c r="R157" s="10"/>
    </row>
    <row r="158">
      <c r="A158" s="10" t="s">
        <v>1638</v>
      </c>
      <c r="B158" s="10" t="s">
        <v>65</v>
      </c>
      <c r="C158" s="11">
        <v>45915.0</v>
      </c>
      <c r="D158" s="10" t="s">
        <v>1038</v>
      </c>
      <c r="E158" s="10" t="s">
        <v>1641</v>
      </c>
      <c r="F158" s="10"/>
      <c r="G158" s="10" t="s">
        <v>1643</v>
      </c>
      <c r="H158" s="10" t="s">
        <v>1645</v>
      </c>
      <c r="I158" s="14" t="b">
        <v>1</v>
      </c>
      <c r="J158" s="10" t="s">
        <v>83</v>
      </c>
      <c r="K158" s="10"/>
      <c r="L158" s="10"/>
      <c r="M158" s="10"/>
      <c r="N158" s="10"/>
      <c r="O158" s="10"/>
      <c r="P158" s="17">
        <v>1683962.0</v>
      </c>
      <c r="Q158" s="14" t="b">
        <v>1</v>
      </c>
      <c r="R158" s="10"/>
    </row>
    <row r="159">
      <c r="A159" s="10" t="s">
        <v>1650</v>
      </c>
      <c r="B159" s="10" t="s">
        <v>65</v>
      </c>
      <c r="C159" s="11">
        <v>45915.0</v>
      </c>
      <c r="D159" s="10" t="s">
        <v>785</v>
      </c>
      <c r="E159" s="10" t="s">
        <v>1654</v>
      </c>
      <c r="F159" s="10"/>
      <c r="G159" s="10" t="s">
        <v>1657</v>
      </c>
      <c r="H159" s="10" t="s">
        <v>1658</v>
      </c>
      <c r="I159" s="14" t="b">
        <v>1</v>
      </c>
      <c r="J159" s="10" t="s">
        <v>83</v>
      </c>
      <c r="K159" s="10"/>
      <c r="L159" s="10"/>
      <c r="M159" s="10"/>
      <c r="N159" s="10"/>
      <c r="O159" s="10"/>
      <c r="P159" s="17">
        <v>1684372.0</v>
      </c>
      <c r="Q159" s="14" t="b">
        <v>1</v>
      </c>
      <c r="R159" s="10"/>
    </row>
    <row r="160">
      <c r="A160" s="10" t="s">
        <v>1665</v>
      </c>
      <c r="B160" s="10" t="s">
        <v>65</v>
      </c>
      <c r="C160" s="11">
        <v>45916.0</v>
      </c>
      <c r="D160" s="10" t="s">
        <v>1038</v>
      </c>
      <c r="E160" s="10" t="s">
        <v>1667</v>
      </c>
      <c r="F160" s="10"/>
      <c r="G160" s="10" t="s">
        <v>1669</v>
      </c>
      <c r="H160" s="10" t="s">
        <v>1658</v>
      </c>
      <c r="I160" s="14" t="b">
        <v>1</v>
      </c>
      <c r="J160" s="10" t="s">
        <v>83</v>
      </c>
      <c r="K160" s="10"/>
      <c r="L160" s="10"/>
      <c r="M160" s="10"/>
      <c r="N160" s="10"/>
      <c r="O160" s="10"/>
      <c r="P160" s="17">
        <v>1685092.0</v>
      </c>
      <c r="Q160" s="14" t="b">
        <v>1</v>
      </c>
      <c r="R160" s="10"/>
    </row>
    <row r="161">
      <c r="A161" s="10" t="s">
        <v>1674</v>
      </c>
      <c r="B161" s="10" t="s">
        <v>65</v>
      </c>
      <c r="C161" s="11">
        <v>45911.0</v>
      </c>
      <c r="D161" s="10" t="s">
        <v>670</v>
      </c>
      <c r="E161" s="10" t="s">
        <v>1678</v>
      </c>
      <c r="F161" s="10"/>
      <c r="G161" s="10" t="s">
        <v>1681</v>
      </c>
      <c r="H161" s="10" t="s">
        <v>287</v>
      </c>
      <c r="I161" s="14" t="b">
        <v>0</v>
      </c>
      <c r="J161" s="10" t="s">
        <v>83</v>
      </c>
      <c r="K161" s="10"/>
      <c r="L161" s="10" t="s">
        <v>1685</v>
      </c>
      <c r="M161" s="10" t="s">
        <v>1687</v>
      </c>
      <c r="N161" s="10" t="s">
        <v>1688</v>
      </c>
      <c r="O161" s="10"/>
      <c r="P161" s="10"/>
      <c r="Q161" s="14" t="b">
        <v>1</v>
      </c>
      <c r="R161" s="10"/>
    </row>
    <row r="162">
      <c r="A162" s="17">
        <v>9.5833444E7</v>
      </c>
      <c r="B162" s="10" t="s">
        <v>65</v>
      </c>
      <c r="C162" s="11">
        <v>45916.0</v>
      </c>
      <c r="D162" s="10" t="s">
        <v>145</v>
      </c>
      <c r="E162" s="10" t="s">
        <v>1692</v>
      </c>
      <c r="F162" s="10"/>
      <c r="G162" s="10" t="s">
        <v>1695</v>
      </c>
      <c r="H162" s="10" t="s">
        <v>149</v>
      </c>
      <c r="I162" s="14" t="b">
        <v>0</v>
      </c>
      <c r="J162" s="10" t="s">
        <v>83</v>
      </c>
      <c r="K162" s="10"/>
      <c r="L162" s="10"/>
      <c r="M162" s="10"/>
      <c r="N162" s="10"/>
      <c r="O162" s="10"/>
      <c r="P162" s="10"/>
      <c r="Q162" s="14" t="b">
        <v>1</v>
      </c>
      <c r="R162" s="10"/>
    </row>
    <row r="163">
      <c r="A163" s="10" t="s">
        <v>1701</v>
      </c>
      <c r="B163" s="10" t="s">
        <v>65</v>
      </c>
      <c r="C163" s="11">
        <v>45916.0</v>
      </c>
      <c r="D163" s="10" t="s">
        <v>751</v>
      </c>
      <c r="E163" s="10" t="s">
        <v>1703</v>
      </c>
      <c r="F163" s="10"/>
      <c r="G163" s="10" t="s">
        <v>1706</v>
      </c>
      <c r="H163" s="10" t="s">
        <v>481</v>
      </c>
      <c r="I163" s="14" t="b">
        <v>0</v>
      </c>
      <c r="J163" s="10" t="s">
        <v>83</v>
      </c>
      <c r="K163" s="10"/>
      <c r="L163" s="10"/>
      <c r="M163" s="10"/>
      <c r="N163" s="10"/>
      <c r="O163" s="10"/>
      <c r="P163" s="10"/>
      <c r="Q163" s="14" t="b">
        <v>1</v>
      </c>
      <c r="R163" s="10"/>
    </row>
    <row r="164">
      <c r="A164" s="10" t="s">
        <v>1709</v>
      </c>
      <c r="B164" s="10" t="s">
        <v>65</v>
      </c>
      <c r="C164" s="11">
        <v>45918.0</v>
      </c>
      <c r="D164" s="10" t="s">
        <v>202</v>
      </c>
      <c r="E164" s="10" t="s">
        <v>1711</v>
      </c>
      <c r="F164" s="10"/>
      <c r="G164" s="10" t="s">
        <v>1714</v>
      </c>
      <c r="H164" s="10" t="s">
        <v>481</v>
      </c>
      <c r="I164" s="14" t="b">
        <v>0</v>
      </c>
      <c r="J164" s="10" t="s">
        <v>83</v>
      </c>
      <c r="K164" s="10"/>
      <c r="L164" s="10"/>
      <c r="M164" s="10"/>
      <c r="N164" s="10"/>
      <c r="O164" s="10"/>
      <c r="P164" s="10"/>
      <c r="Q164" s="14" t="b">
        <v>1</v>
      </c>
      <c r="R164" s="10"/>
    </row>
    <row r="165">
      <c r="A165" s="10" t="s">
        <v>1718</v>
      </c>
      <c r="B165" s="10" t="s">
        <v>65</v>
      </c>
      <c r="C165" s="11">
        <v>45918.0</v>
      </c>
      <c r="D165" s="10" t="s">
        <v>163</v>
      </c>
      <c r="E165" s="10" t="s">
        <v>1720</v>
      </c>
      <c r="F165" s="10"/>
      <c r="G165" s="10" t="s">
        <v>1721</v>
      </c>
      <c r="H165" s="10" t="s">
        <v>195</v>
      </c>
      <c r="I165" s="14" t="b">
        <v>1</v>
      </c>
      <c r="J165" s="10" t="s">
        <v>83</v>
      </c>
      <c r="K165" s="10"/>
      <c r="L165" s="10"/>
      <c r="M165" s="10"/>
      <c r="N165" s="10"/>
      <c r="O165" s="10"/>
      <c r="P165" s="17">
        <v>1689019.0</v>
      </c>
      <c r="Q165" s="14" t="b">
        <v>1</v>
      </c>
      <c r="R165" s="10"/>
    </row>
    <row r="166">
      <c r="A166" s="10" t="s">
        <v>1727</v>
      </c>
      <c r="B166" s="10" t="s">
        <v>65</v>
      </c>
      <c r="C166" s="11">
        <v>45916.0</v>
      </c>
      <c r="D166" s="10" t="s">
        <v>131</v>
      </c>
      <c r="E166" s="10" t="s">
        <v>1729</v>
      </c>
      <c r="F166" s="10"/>
      <c r="G166" s="10" t="s">
        <v>1733</v>
      </c>
      <c r="H166" s="10" t="s">
        <v>1411</v>
      </c>
      <c r="I166" s="14" t="b">
        <v>0</v>
      </c>
      <c r="J166" s="10" t="s">
        <v>83</v>
      </c>
      <c r="K166" s="10"/>
      <c r="L166" s="10"/>
      <c r="M166" s="10"/>
      <c r="N166" s="10"/>
      <c r="O166" s="10"/>
      <c r="P166" s="10"/>
      <c r="Q166" s="14" t="b">
        <v>1</v>
      </c>
      <c r="R166" s="10"/>
    </row>
    <row r="167">
      <c r="A167" s="10" t="s">
        <v>1736</v>
      </c>
      <c r="B167" s="10" t="s">
        <v>65</v>
      </c>
      <c r="C167" s="11">
        <v>45916.0</v>
      </c>
      <c r="D167" s="10" t="s">
        <v>131</v>
      </c>
      <c r="E167" s="10" t="s">
        <v>1738</v>
      </c>
      <c r="F167" s="10"/>
      <c r="G167" s="10" t="s">
        <v>1739</v>
      </c>
      <c r="H167" s="10" t="s">
        <v>171</v>
      </c>
      <c r="I167" s="14" t="b">
        <v>0</v>
      </c>
      <c r="J167" s="10" t="s">
        <v>83</v>
      </c>
      <c r="K167" s="10"/>
      <c r="L167" s="10" t="s">
        <v>1742</v>
      </c>
      <c r="M167" s="10" t="s">
        <v>1744</v>
      </c>
      <c r="N167" s="10"/>
      <c r="O167" s="10"/>
      <c r="P167" s="10"/>
      <c r="Q167" s="14" t="b">
        <v>1</v>
      </c>
      <c r="R167" s="10"/>
    </row>
    <row r="168">
      <c r="A168" s="10" t="s">
        <v>1746</v>
      </c>
      <c r="B168" s="10" t="s">
        <v>65</v>
      </c>
      <c r="C168" s="11">
        <v>45920.0</v>
      </c>
      <c r="D168" s="10" t="s">
        <v>189</v>
      </c>
      <c r="E168" s="10" t="s">
        <v>1749</v>
      </c>
      <c r="F168" s="10"/>
      <c r="G168" s="10" t="s">
        <v>1751</v>
      </c>
      <c r="H168" s="10" t="s">
        <v>195</v>
      </c>
      <c r="I168" s="14" t="b">
        <v>0</v>
      </c>
      <c r="J168" s="10" t="s">
        <v>83</v>
      </c>
      <c r="K168" s="10"/>
      <c r="L168" s="10"/>
      <c r="M168" s="10"/>
      <c r="N168" s="10"/>
      <c r="O168" s="10"/>
      <c r="P168" s="10"/>
      <c r="Q168" s="14" t="b">
        <v>1</v>
      </c>
      <c r="R168" s="10"/>
    </row>
    <row r="169">
      <c r="A169" s="10" t="s">
        <v>1756</v>
      </c>
      <c r="B169" s="10" t="s">
        <v>65</v>
      </c>
      <c r="C169" s="11">
        <v>45920.0</v>
      </c>
      <c r="D169" s="10" t="s">
        <v>163</v>
      </c>
      <c r="E169" s="10" t="s">
        <v>1758</v>
      </c>
      <c r="F169" s="10"/>
      <c r="G169" s="10" t="s">
        <v>1760</v>
      </c>
      <c r="H169" s="10" t="s">
        <v>1209</v>
      </c>
      <c r="I169" s="14" t="b">
        <v>1</v>
      </c>
      <c r="J169" s="10" t="s">
        <v>83</v>
      </c>
      <c r="K169" s="10"/>
      <c r="L169" s="10"/>
      <c r="M169" s="10"/>
      <c r="N169" s="10"/>
      <c r="O169" s="10"/>
      <c r="P169" s="17">
        <v>1692114.0</v>
      </c>
      <c r="Q169" s="14" t="b">
        <v>1</v>
      </c>
      <c r="R169" s="10"/>
    </row>
    <row r="170">
      <c r="A170" s="10" t="s">
        <v>1764</v>
      </c>
      <c r="B170" s="10" t="s">
        <v>65</v>
      </c>
      <c r="C170" s="11">
        <v>45920.0</v>
      </c>
      <c r="D170" s="10" t="s">
        <v>983</v>
      </c>
      <c r="E170" s="10" t="s">
        <v>1766</v>
      </c>
      <c r="F170" s="10"/>
      <c r="G170" s="10" t="s">
        <v>1767</v>
      </c>
      <c r="H170" s="10" t="s">
        <v>1441</v>
      </c>
      <c r="I170" s="14" t="b">
        <v>1</v>
      </c>
      <c r="J170" s="10" t="s">
        <v>83</v>
      </c>
      <c r="K170" s="10"/>
      <c r="L170" s="10"/>
      <c r="M170" s="10"/>
      <c r="N170" s="10"/>
      <c r="O170" s="10"/>
      <c r="P170" s="17">
        <v>1692203.0</v>
      </c>
      <c r="Q170" s="14" t="b">
        <v>1</v>
      </c>
      <c r="R170" s="10"/>
    </row>
    <row r="171">
      <c r="A171" s="10" t="s">
        <v>1775</v>
      </c>
      <c r="B171" s="10" t="s">
        <v>65</v>
      </c>
      <c r="C171" s="11">
        <v>45920.0</v>
      </c>
      <c r="D171" s="10" t="s">
        <v>1778</v>
      </c>
      <c r="E171" s="10" t="s">
        <v>1780</v>
      </c>
      <c r="F171" s="10"/>
      <c r="G171" s="10" t="s">
        <v>1781</v>
      </c>
      <c r="H171" s="10" t="s">
        <v>1782</v>
      </c>
      <c r="I171" s="14" t="b">
        <v>1</v>
      </c>
      <c r="J171" s="10" t="s">
        <v>83</v>
      </c>
      <c r="K171" s="10"/>
      <c r="L171" s="10"/>
      <c r="M171" s="10"/>
      <c r="N171" s="10"/>
      <c r="O171" s="10"/>
      <c r="P171" s="17">
        <v>1693732.0</v>
      </c>
      <c r="Q171" s="14" t="b">
        <v>1</v>
      </c>
      <c r="R171" s="10"/>
    </row>
    <row r="172">
      <c r="A172" s="10" t="s">
        <v>1788</v>
      </c>
      <c r="B172" s="10" t="s">
        <v>65</v>
      </c>
      <c r="C172" s="11">
        <v>45921.0</v>
      </c>
      <c r="D172" s="10" t="s">
        <v>1789</v>
      </c>
      <c r="E172" s="10" t="s">
        <v>1792</v>
      </c>
      <c r="F172" s="10"/>
      <c r="G172" s="10" t="s">
        <v>1794</v>
      </c>
      <c r="H172" s="10" t="s">
        <v>1796</v>
      </c>
      <c r="I172" s="14" t="b">
        <v>1</v>
      </c>
      <c r="J172" s="10" t="s">
        <v>83</v>
      </c>
      <c r="K172" s="10"/>
      <c r="L172" s="10"/>
      <c r="M172" s="10"/>
      <c r="N172" s="10"/>
      <c r="O172" s="10"/>
      <c r="P172" s="17">
        <v>1696265.0</v>
      </c>
      <c r="Q172" s="14" t="b">
        <v>1</v>
      </c>
      <c r="R172" s="10"/>
    </row>
    <row r="173">
      <c r="A173" s="10" t="s">
        <v>1802</v>
      </c>
      <c r="B173" s="10" t="s">
        <v>65</v>
      </c>
      <c r="C173" s="11">
        <v>45921.0</v>
      </c>
      <c r="D173" s="10" t="s">
        <v>1038</v>
      </c>
      <c r="E173" s="10" t="s">
        <v>1806</v>
      </c>
      <c r="F173" s="10"/>
      <c r="G173" s="10" t="s">
        <v>1808</v>
      </c>
      <c r="H173" s="10" t="s">
        <v>1811</v>
      </c>
      <c r="I173" s="14" t="b">
        <v>1</v>
      </c>
      <c r="J173" s="10" t="s">
        <v>83</v>
      </c>
      <c r="K173" s="10"/>
      <c r="L173" s="10"/>
      <c r="M173" s="10"/>
      <c r="N173" s="10"/>
      <c r="O173" s="10"/>
      <c r="P173" s="17">
        <v>1696396.0</v>
      </c>
      <c r="Q173" s="14" t="b">
        <v>1</v>
      </c>
      <c r="R173" s="10"/>
    </row>
    <row r="174">
      <c r="A174" s="10" t="s">
        <v>1814</v>
      </c>
      <c r="B174" s="10" t="s">
        <v>65</v>
      </c>
      <c r="C174" s="11">
        <v>45921.0</v>
      </c>
      <c r="D174" s="10" t="s">
        <v>785</v>
      </c>
      <c r="E174" s="10" t="s">
        <v>1817</v>
      </c>
      <c r="F174" s="10"/>
      <c r="G174" s="10" t="s">
        <v>1818</v>
      </c>
      <c r="H174" s="10" t="s">
        <v>1820</v>
      </c>
      <c r="I174" s="14" t="b">
        <v>1</v>
      </c>
      <c r="J174" s="10" t="s">
        <v>83</v>
      </c>
      <c r="K174" s="10"/>
      <c r="L174" s="10"/>
      <c r="M174" s="10"/>
      <c r="N174" s="10"/>
      <c r="O174" s="10"/>
      <c r="P174" s="17">
        <v>1696401.0</v>
      </c>
      <c r="Q174" s="14" t="b">
        <v>1</v>
      </c>
      <c r="R174" s="10"/>
    </row>
    <row r="175">
      <c r="A175" s="10" t="s">
        <v>1825</v>
      </c>
      <c r="B175" s="10" t="s">
        <v>65</v>
      </c>
      <c r="C175" s="11">
        <v>45916.0</v>
      </c>
      <c r="D175" s="10" t="s">
        <v>751</v>
      </c>
      <c r="E175" s="10" t="s">
        <v>1703</v>
      </c>
      <c r="F175" s="10"/>
      <c r="G175" s="10" t="s">
        <v>1829</v>
      </c>
      <c r="H175" s="10" t="s">
        <v>481</v>
      </c>
      <c r="I175" s="14" t="b">
        <v>0</v>
      </c>
      <c r="J175" s="10" t="s">
        <v>83</v>
      </c>
      <c r="K175" s="10"/>
      <c r="L175" s="10"/>
      <c r="M175" s="10"/>
      <c r="N175" s="10"/>
      <c r="O175" s="10"/>
      <c r="P175" s="10"/>
      <c r="Q175" s="14" t="b">
        <v>1</v>
      </c>
      <c r="R175" s="10"/>
    </row>
    <row r="176">
      <c r="A176" s="10" t="s">
        <v>1835</v>
      </c>
      <c r="B176" s="10" t="s">
        <v>65</v>
      </c>
      <c r="C176" s="11">
        <v>45917.0</v>
      </c>
      <c r="D176" s="10" t="s">
        <v>131</v>
      </c>
      <c r="E176" s="10" t="s">
        <v>1839</v>
      </c>
      <c r="F176" s="10"/>
      <c r="G176" s="10" t="s">
        <v>1841</v>
      </c>
      <c r="H176" s="10" t="s">
        <v>1843</v>
      </c>
      <c r="I176" s="14" t="b">
        <v>0</v>
      </c>
      <c r="J176" s="10" t="s">
        <v>382</v>
      </c>
      <c r="K176" s="10"/>
      <c r="L176" s="10" t="s">
        <v>1846</v>
      </c>
      <c r="M176" s="10" t="s">
        <v>1848</v>
      </c>
      <c r="N176" s="10"/>
      <c r="O176" s="10"/>
      <c r="P176" s="10"/>
      <c r="Q176" s="14" t="b">
        <v>1</v>
      </c>
      <c r="R176" s="10"/>
    </row>
    <row r="177">
      <c r="A177" s="10" t="s">
        <v>1851</v>
      </c>
      <c r="B177" s="10" t="s">
        <v>65</v>
      </c>
      <c r="C177" s="11">
        <v>45918.0</v>
      </c>
      <c r="D177" s="10" t="s">
        <v>202</v>
      </c>
      <c r="E177" s="10" t="s">
        <v>1711</v>
      </c>
      <c r="F177" s="10"/>
      <c r="G177" s="10" t="s">
        <v>1854</v>
      </c>
      <c r="H177" s="10" t="s">
        <v>481</v>
      </c>
      <c r="I177" s="14" t="b">
        <v>0</v>
      </c>
      <c r="J177" s="10" t="s">
        <v>83</v>
      </c>
      <c r="K177" s="10"/>
      <c r="L177" s="10"/>
      <c r="M177" s="10"/>
      <c r="N177" s="10"/>
      <c r="O177" s="10"/>
      <c r="P177" s="10"/>
      <c r="Q177" s="14" t="b">
        <v>1</v>
      </c>
      <c r="R177" s="10"/>
    </row>
    <row r="178">
      <c r="A178" s="10" t="s">
        <v>1858</v>
      </c>
      <c r="B178" s="10" t="s">
        <v>65</v>
      </c>
      <c r="C178" s="11">
        <v>45918.0</v>
      </c>
      <c r="D178" s="10" t="s">
        <v>751</v>
      </c>
      <c r="E178" s="10" t="s">
        <v>1862</v>
      </c>
      <c r="F178" s="10"/>
      <c r="G178" s="10" t="s">
        <v>1864</v>
      </c>
      <c r="H178" s="10" t="s">
        <v>481</v>
      </c>
      <c r="I178" s="14" t="b">
        <v>0</v>
      </c>
      <c r="J178" s="10" t="s">
        <v>83</v>
      </c>
      <c r="K178" s="10"/>
      <c r="L178" s="10"/>
      <c r="M178" s="10"/>
      <c r="N178" s="10"/>
      <c r="O178" s="10"/>
      <c r="P178" s="10"/>
      <c r="Q178" s="14" t="b">
        <v>1</v>
      </c>
      <c r="R178" s="10"/>
    </row>
    <row r="179">
      <c r="A179" s="10" t="s">
        <v>1871</v>
      </c>
      <c r="B179" s="10" t="s">
        <v>65</v>
      </c>
      <c r="C179" s="11">
        <v>45922.0</v>
      </c>
      <c r="D179" s="10" t="s">
        <v>557</v>
      </c>
      <c r="E179" s="10" t="s">
        <v>1875</v>
      </c>
      <c r="F179" s="10"/>
      <c r="G179" s="10" t="s">
        <v>1877</v>
      </c>
      <c r="H179" s="10" t="s">
        <v>1878</v>
      </c>
      <c r="I179" s="14" t="b">
        <v>1</v>
      </c>
      <c r="J179" s="10" t="s">
        <v>83</v>
      </c>
      <c r="K179" s="10"/>
      <c r="L179" s="10"/>
      <c r="M179" s="10"/>
      <c r="N179" s="10"/>
      <c r="O179" s="10"/>
      <c r="P179" s="17">
        <v>1697793.0</v>
      </c>
      <c r="Q179" s="14" t="b">
        <v>1</v>
      </c>
      <c r="R179" s="10"/>
    </row>
    <row r="180">
      <c r="A180" s="10" t="s">
        <v>1885</v>
      </c>
      <c r="B180" s="10" t="s">
        <v>65</v>
      </c>
      <c r="C180" s="11">
        <v>45920.0</v>
      </c>
      <c r="D180" s="10" t="s">
        <v>1888</v>
      </c>
      <c r="E180" s="10" t="s">
        <v>1889</v>
      </c>
      <c r="F180" s="10"/>
      <c r="G180" s="10" t="s">
        <v>1890</v>
      </c>
      <c r="H180" s="10" t="s">
        <v>149</v>
      </c>
      <c r="I180" s="14" t="b">
        <v>0</v>
      </c>
      <c r="J180" s="10" t="s">
        <v>83</v>
      </c>
      <c r="K180" s="10"/>
      <c r="L180" s="10"/>
      <c r="M180" s="10"/>
      <c r="N180" s="10"/>
      <c r="O180" s="10"/>
      <c r="P180" s="10"/>
      <c r="Q180" s="14" t="b">
        <v>1</v>
      </c>
      <c r="R180" s="10"/>
    </row>
    <row r="181">
      <c r="A181" s="10" t="s">
        <v>1893</v>
      </c>
      <c r="B181" s="10" t="s">
        <v>65</v>
      </c>
      <c r="C181" s="11">
        <v>45923.0</v>
      </c>
      <c r="D181" s="10" t="s">
        <v>1896</v>
      </c>
      <c r="E181" s="10" t="s">
        <v>1899</v>
      </c>
      <c r="F181" s="10"/>
      <c r="G181" s="10" t="s">
        <v>1902</v>
      </c>
      <c r="H181" s="10" t="s">
        <v>1904</v>
      </c>
      <c r="I181" s="14" t="b">
        <v>1</v>
      </c>
      <c r="J181" s="10" t="s">
        <v>83</v>
      </c>
      <c r="K181" s="10"/>
      <c r="L181" s="10"/>
      <c r="M181" s="10"/>
      <c r="N181" s="10"/>
      <c r="O181" s="10"/>
      <c r="P181" s="17">
        <v>1700307.0</v>
      </c>
      <c r="Q181" s="14" t="b">
        <v>1</v>
      </c>
      <c r="R181" s="10"/>
    </row>
    <row r="182">
      <c r="A182" s="10" t="s">
        <v>1909</v>
      </c>
      <c r="B182" s="10" t="s">
        <v>65</v>
      </c>
      <c r="C182" s="11">
        <v>45924.0</v>
      </c>
      <c r="D182" s="17">
        <v>8.627274E7</v>
      </c>
      <c r="E182" s="10" t="s">
        <v>1911</v>
      </c>
      <c r="F182" s="10"/>
      <c r="G182" s="10" t="s">
        <v>1913</v>
      </c>
      <c r="H182" s="10" t="s">
        <v>1915</v>
      </c>
      <c r="I182" s="14" t="b">
        <v>1</v>
      </c>
      <c r="J182" s="10" t="s">
        <v>83</v>
      </c>
      <c r="K182" s="10"/>
      <c r="L182" s="10"/>
      <c r="M182" s="10"/>
      <c r="N182" s="10"/>
      <c r="O182" s="10"/>
      <c r="P182" s="17">
        <v>1700469.0</v>
      </c>
      <c r="Q182" s="14" t="b">
        <v>1</v>
      </c>
      <c r="R182" s="10"/>
    </row>
    <row r="183">
      <c r="A183" s="10" t="s">
        <v>1918</v>
      </c>
      <c r="B183" s="10" t="s">
        <v>65</v>
      </c>
      <c r="C183" s="11">
        <v>45924.0</v>
      </c>
      <c r="D183" s="10" t="s">
        <v>246</v>
      </c>
      <c r="E183" s="10" t="s">
        <v>1920</v>
      </c>
      <c r="F183" s="10"/>
      <c r="G183" s="10" t="s">
        <v>1922</v>
      </c>
      <c r="H183" s="10" t="s">
        <v>250</v>
      </c>
      <c r="I183" s="14" t="b">
        <v>0</v>
      </c>
      <c r="J183" s="10" t="s">
        <v>83</v>
      </c>
      <c r="K183" s="10"/>
      <c r="L183" s="10"/>
      <c r="M183" s="10"/>
      <c r="N183" s="10"/>
      <c r="O183" s="10"/>
      <c r="P183" s="10"/>
      <c r="Q183" s="14" t="b">
        <v>1</v>
      </c>
      <c r="R183" s="10"/>
    </row>
    <row r="184">
      <c r="A184" s="10" t="s">
        <v>1927</v>
      </c>
      <c r="B184" s="10" t="s">
        <v>65</v>
      </c>
      <c r="C184" s="11">
        <v>45923.0</v>
      </c>
      <c r="D184" s="10" t="s">
        <v>189</v>
      </c>
      <c r="E184" s="10" t="s">
        <v>1929</v>
      </c>
      <c r="F184" s="10"/>
      <c r="G184" s="10" t="s">
        <v>1931</v>
      </c>
      <c r="H184" s="10" t="s">
        <v>114</v>
      </c>
      <c r="I184" s="14" t="b">
        <v>0</v>
      </c>
      <c r="J184" s="10" t="s">
        <v>83</v>
      </c>
      <c r="K184" s="10"/>
      <c r="L184" s="10"/>
      <c r="M184" s="10"/>
      <c r="N184" s="10"/>
      <c r="O184" s="10"/>
      <c r="P184" s="10"/>
      <c r="Q184" s="14" t="b">
        <v>1</v>
      </c>
      <c r="R184" s="10"/>
    </row>
    <row r="185">
      <c r="A185" s="10" t="s">
        <v>1936</v>
      </c>
      <c r="B185" s="10" t="s">
        <v>65</v>
      </c>
      <c r="C185" s="11">
        <v>45926.0</v>
      </c>
      <c r="D185" s="10" t="s">
        <v>751</v>
      </c>
      <c r="E185" s="10" t="s">
        <v>1939</v>
      </c>
      <c r="F185" s="10"/>
      <c r="G185" s="10" t="s">
        <v>1942</v>
      </c>
      <c r="H185" s="10" t="s">
        <v>481</v>
      </c>
      <c r="I185" s="14" t="b">
        <v>0</v>
      </c>
      <c r="J185" s="10" t="s">
        <v>83</v>
      </c>
      <c r="K185" s="10"/>
      <c r="L185" s="10" t="s">
        <v>1944</v>
      </c>
      <c r="M185" s="10"/>
      <c r="N185" s="10"/>
      <c r="O185" s="10"/>
      <c r="P185" s="10"/>
      <c r="Q185" s="14" t="b">
        <v>1</v>
      </c>
      <c r="R185" s="10"/>
    </row>
    <row r="186">
      <c r="A186" s="10" t="s">
        <v>1947</v>
      </c>
      <c r="B186" s="10" t="s">
        <v>65</v>
      </c>
      <c r="C186" s="11">
        <v>45925.0</v>
      </c>
      <c r="D186" s="10" t="s">
        <v>202</v>
      </c>
      <c r="E186" s="10" t="s">
        <v>1951</v>
      </c>
      <c r="F186" s="10"/>
      <c r="G186" s="10" t="s">
        <v>1953</v>
      </c>
      <c r="H186" s="10" t="s">
        <v>481</v>
      </c>
      <c r="I186" s="14" t="b">
        <v>0</v>
      </c>
      <c r="J186" s="10" t="s">
        <v>83</v>
      </c>
      <c r="K186" s="10"/>
      <c r="L186" s="10"/>
      <c r="M186" s="10"/>
      <c r="N186" s="10"/>
      <c r="O186" s="10"/>
      <c r="P186" s="10"/>
      <c r="Q186" s="14" t="b">
        <v>1</v>
      </c>
      <c r="R186" s="10"/>
    </row>
    <row r="187">
      <c r="A187" s="10" t="s">
        <v>1958</v>
      </c>
      <c r="B187" s="10" t="s">
        <v>65</v>
      </c>
      <c r="C187" s="11">
        <v>45926.0</v>
      </c>
      <c r="D187" s="10" t="s">
        <v>163</v>
      </c>
      <c r="E187" s="10" t="s">
        <v>1961</v>
      </c>
      <c r="F187" s="10"/>
      <c r="G187" s="10" t="s">
        <v>1962</v>
      </c>
      <c r="H187" s="10" t="s">
        <v>1915</v>
      </c>
      <c r="I187" s="14" t="b">
        <v>1</v>
      </c>
      <c r="J187" s="10" t="s">
        <v>83</v>
      </c>
      <c r="K187" s="10"/>
      <c r="L187" s="10"/>
      <c r="M187" s="10"/>
      <c r="N187" s="10"/>
      <c r="O187" s="10"/>
      <c r="P187" s="17">
        <v>1704147.0</v>
      </c>
      <c r="Q187" s="14" t="b">
        <v>1</v>
      </c>
      <c r="R187" s="10"/>
    </row>
    <row r="188">
      <c r="A188" s="10" t="s">
        <v>1971</v>
      </c>
      <c r="B188" s="10" t="s">
        <v>65</v>
      </c>
      <c r="C188" s="11">
        <v>45927.0</v>
      </c>
      <c r="D188" s="10" t="s">
        <v>189</v>
      </c>
      <c r="E188" s="10" t="s">
        <v>1975</v>
      </c>
      <c r="F188" s="10"/>
      <c r="G188" s="10" t="s">
        <v>1977</v>
      </c>
      <c r="H188" s="10" t="s">
        <v>460</v>
      </c>
      <c r="I188" s="14" t="b">
        <v>0</v>
      </c>
      <c r="J188" s="10" t="s">
        <v>83</v>
      </c>
      <c r="K188" s="10"/>
      <c r="L188" s="10"/>
      <c r="M188" s="10"/>
      <c r="N188" s="10"/>
      <c r="O188" s="10"/>
      <c r="P188" s="10"/>
      <c r="Q188" s="14" t="b">
        <v>1</v>
      </c>
      <c r="R188" s="10"/>
    </row>
    <row r="189">
      <c r="A189" s="10" t="s">
        <v>1984</v>
      </c>
      <c r="B189" s="10" t="s">
        <v>65</v>
      </c>
      <c r="C189" s="11">
        <v>45928.0</v>
      </c>
      <c r="D189" s="10" t="s">
        <v>1038</v>
      </c>
      <c r="E189" s="10" t="s">
        <v>1988</v>
      </c>
      <c r="F189" s="10"/>
      <c r="G189" s="10" t="s">
        <v>1990</v>
      </c>
      <c r="H189" s="10" t="s">
        <v>1992</v>
      </c>
      <c r="I189" s="14" t="b">
        <v>1</v>
      </c>
      <c r="J189" s="10" t="s">
        <v>83</v>
      </c>
      <c r="K189" s="10"/>
      <c r="L189" s="10"/>
      <c r="M189" s="10"/>
      <c r="N189" s="10"/>
      <c r="O189" s="10"/>
      <c r="P189" s="17">
        <v>1708904.0</v>
      </c>
      <c r="Q189" s="14" t="b">
        <v>1</v>
      </c>
      <c r="R189" s="10"/>
    </row>
    <row r="190">
      <c r="A190" s="10" t="s">
        <v>1998</v>
      </c>
      <c r="B190" s="10" t="s">
        <v>65</v>
      </c>
      <c r="C190" s="11">
        <v>45928.0</v>
      </c>
      <c r="D190" s="10" t="s">
        <v>2001</v>
      </c>
      <c r="E190" s="10" t="s">
        <v>2003</v>
      </c>
      <c r="F190" s="10"/>
      <c r="G190" s="10" t="s">
        <v>2004</v>
      </c>
      <c r="H190" s="10" t="s">
        <v>2007</v>
      </c>
      <c r="I190" s="14" t="b">
        <v>1</v>
      </c>
      <c r="J190" s="10" t="s">
        <v>83</v>
      </c>
      <c r="K190" s="10"/>
      <c r="L190" s="10"/>
      <c r="M190" s="10"/>
      <c r="N190" s="10"/>
      <c r="O190" s="10"/>
      <c r="P190" s="17">
        <v>1708909.0</v>
      </c>
      <c r="Q190" s="14" t="b">
        <v>1</v>
      </c>
      <c r="R190" s="10"/>
    </row>
    <row r="191">
      <c r="A191" s="10" t="s">
        <v>2011</v>
      </c>
      <c r="B191" s="10" t="s">
        <v>65</v>
      </c>
      <c r="C191" s="11">
        <v>45928.0</v>
      </c>
      <c r="D191" s="10" t="s">
        <v>785</v>
      </c>
      <c r="E191" s="10" t="s">
        <v>2013</v>
      </c>
      <c r="F191" s="10"/>
      <c r="G191" s="10" t="s">
        <v>2015</v>
      </c>
      <c r="H191" s="10" t="s">
        <v>2016</v>
      </c>
      <c r="I191" s="14" t="b">
        <v>1</v>
      </c>
      <c r="J191" s="10" t="s">
        <v>83</v>
      </c>
      <c r="K191" s="10"/>
      <c r="L191" s="10"/>
      <c r="M191" s="10"/>
      <c r="N191" s="10"/>
      <c r="O191" s="10"/>
      <c r="P191" s="17">
        <v>1708903.0</v>
      </c>
      <c r="Q191" s="14" t="b">
        <v>1</v>
      </c>
      <c r="R191" s="10"/>
    </row>
    <row r="192">
      <c r="A192" s="10" t="s">
        <v>2023</v>
      </c>
      <c r="B192" s="10" t="s">
        <v>65</v>
      </c>
      <c r="C192" s="11">
        <v>45929.0</v>
      </c>
      <c r="D192" s="10" t="s">
        <v>2025</v>
      </c>
      <c r="E192" s="10" t="s">
        <v>2026</v>
      </c>
      <c r="F192" s="10"/>
      <c r="G192" s="10" t="s">
        <v>2028</v>
      </c>
      <c r="H192" s="10" t="s">
        <v>2030</v>
      </c>
      <c r="I192" s="14" t="b">
        <v>1</v>
      </c>
      <c r="J192" s="10" t="s">
        <v>83</v>
      </c>
      <c r="K192" s="10"/>
      <c r="L192" s="10"/>
      <c r="M192" s="10"/>
      <c r="N192" s="10"/>
      <c r="O192" s="10"/>
      <c r="P192" s="17">
        <v>1710704.0</v>
      </c>
      <c r="Q192" s="14" t="b">
        <v>1</v>
      </c>
      <c r="R192" s="10"/>
    </row>
    <row r="193">
      <c r="A193" s="10" t="s">
        <v>2035</v>
      </c>
      <c r="B193" s="10" t="s">
        <v>65</v>
      </c>
      <c r="C193" s="11">
        <v>45929.0</v>
      </c>
      <c r="D193" s="10" t="s">
        <v>1038</v>
      </c>
      <c r="E193" s="10" t="s">
        <v>2039</v>
      </c>
      <c r="F193" s="10"/>
      <c r="G193" s="10" t="s">
        <v>2041</v>
      </c>
      <c r="H193" s="10" t="s">
        <v>2043</v>
      </c>
      <c r="I193" s="14" t="b">
        <v>1</v>
      </c>
      <c r="J193" s="10" t="s">
        <v>83</v>
      </c>
      <c r="K193" s="10"/>
      <c r="L193" s="10"/>
      <c r="M193" s="10"/>
      <c r="N193" s="10"/>
      <c r="O193" s="10"/>
      <c r="P193" s="17">
        <v>1710747.0</v>
      </c>
      <c r="Q193" s="14" t="b">
        <v>1</v>
      </c>
      <c r="R193" s="10"/>
    </row>
    <row r="194">
      <c r="A194" s="10" t="s">
        <v>2048</v>
      </c>
      <c r="B194" s="10" t="s">
        <v>65</v>
      </c>
      <c r="C194" s="11">
        <v>45930.0</v>
      </c>
      <c r="D194" s="10" t="s">
        <v>163</v>
      </c>
      <c r="E194" s="10" t="s">
        <v>2051</v>
      </c>
      <c r="F194" s="10"/>
      <c r="G194" s="10" t="s">
        <v>2052</v>
      </c>
      <c r="H194" s="10" t="s">
        <v>1010</v>
      </c>
      <c r="I194" s="14" t="b">
        <v>1</v>
      </c>
      <c r="J194" s="10" t="s">
        <v>83</v>
      </c>
      <c r="K194" s="10"/>
      <c r="L194" s="10"/>
      <c r="M194" s="10"/>
      <c r="N194" s="10"/>
      <c r="O194" s="10"/>
      <c r="P194" s="17">
        <v>1712039.0</v>
      </c>
      <c r="Q194" s="14" t="b">
        <v>1</v>
      </c>
      <c r="R194" s="10"/>
    </row>
    <row r="195">
      <c r="A195" s="10" t="s">
        <v>2056</v>
      </c>
      <c r="B195" s="10" t="s">
        <v>65</v>
      </c>
      <c r="C195" s="11">
        <v>45930.0</v>
      </c>
      <c r="D195" s="10" t="s">
        <v>163</v>
      </c>
      <c r="E195" s="10" t="s">
        <v>2058</v>
      </c>
      <c r="F195" s="10"/>
      <c r="G195" s="10" t="s">
        <v>2059</v>
      </c>
      <c r="H195" s="10" t="s">
        <v>2060</v>
      </c>
      <c r="I195" s="14" t="b">
        <v>1</v>
      </c>
      <c r="J195" s="10" t="s">
        <v>83</v>
      </c>
      <c r="K195" s="10"/>
      <c r="L195" s="10"/>
      <c r="M195" s="10"/>
      <c r="N195" s="10"/>
      <c r="O195" s="10"/>
      <c r="P195" s="17">
        <v>1712040.0</v>
      </c>
      <c r="Q195" s="14" t="b">
        <v>1</v>
      </c>
      <c r="R195" s="10"/>
    </row>
    <row r="196">
      <c r="A196" s="10" t="s">
        <v>2063</v>
      </c>
      <c r="B196" s="10" t="s">
        <v>65</v>
      </c>
      <c r="C196" s="11">
        <v>45930.0</v>
      </c>
      <c r="D196" s="10" t="s">
        <v>2067</v>
      </c>
      <c r="E196" s="10" t="s">
        <v>2069</v>
      </c>
      <c r="F196" s="10"/>
      <c r="G196" s="10" t="s">
        <v>2070</v>
      </c>
      <c r="H196" s="10" t="s">
        <v>2071</v>
      </c>
      <c r="I196" s="14" t="b">
        <v>1</v>
      </c>
      <c r="J196" s="10" t="s">
        <v>83</v>
      </c>
      <c r="K196" s="10"/>
      <c r="L196" s="10"/>
      <c r="M196" s="10"/>
      <c r="N196" s="10"/>
      <c r="O196" s="10"/>
      <c r="P196" s="17">
        <v>1712038.0</v>
      </c>
      <c r="Q196" s="14" t="b">
        <v>1</v>
      </c>
      <c r="R196" s="10"/>
    </row>
    <row r="197">
      <c r="A197" s="10" t="s">
        <v>2077</v>
      </c>
      <c r="B197" s="10" t="s">
        <v>65</v>
      </c>
      <c r="C197" s="11">
        <v>45929.0</v>
      </c>
      <c r="D197" s="10" t="s">
        <v>131</v>
      </c>
      <c r="E197" s="10" t="s">
        <v>2080</v>
      </c>
      <c r="F197" s="10"/>
      <c r="G197" s="10" t="s">
        <v>2081</v>
      </c>
      <c r="H197" s="10" t="s">
        <v>171</v>
      </c>
      <c r="I197" s="14" t="b">
        <v>0</v>
      </c>
      <c r="J197" s="10" t="s">
        <v>83</v>
      </c>
      <c r="K197" s="10"/>
      <c r="L197" s="10" t="s">
        <v>2083</v>
      </c>
      <c r="M197" s="10" t="s">
        <v>2084</v>
      </c>
      <c r="N197" s="10"/>
      <c r="O197" s="10"/>
      <c r="P197" s="10"/>
      <c r="Q197" s="14" t="b">
        <v>1</v>
      </c>
      <c r="R197" s="10"/>
    </row>
    <row r="198">
      <c r="A198" s="10" t="s">
        <v>2086</v>
      </c>
      <c r="B198" s="10" t="s">
        <v>65</v>
      </c>
      <c r="C198" s="11">
        <v>45931.0</v>
      </c>
      <c r="D198" s="10" t="s">
        <v>775</v>
      </c>
      <c r="E198" s="10" t="s">
        <v>2090</v>
      </c>
      <c r="F198" s="10"/>
      <c r="G198" s="10" t="s">
        <v>2092</v>
      </c>
      <c r="H198" s="10" t="s">
        <v>781</v>
      </c>
      <c r="I198" s="14" t="b">
        <v>0</v>
      </c>
      <c r="J198" s="10" t="s">
        <v>83</v>
      </c>
      <c r="K198" s="10"/>
      <c r="L198" s="10"/>
      <c r="M198" s="10"/>
      <c r="N198" s="10"/>
      <c r="O198" s="10"/>
      <c r="P198" s="10"/>
      <c r="Q198" s="14" t="b">
        <v>1</v>
      </c>
      <c r="R198" s="10"/>
    </row>
    <row r="199">
      <c r="A199" s="10" t="s">
        <v>2097</v>
      </c>
      <c r="B199" s="10" t="s">
        <v>65</v>
      </c>
      <c r="C199" s="11">
        <v>45930.0</v>
      </c>
      <c r="D199" s="10" t="s">
        <v>202</v>
      </c>
      <c r="E199" s="10" t="s">
        <v>2098</v>
      </c>
      <c r="F199" s="10"/>
      <c r="G199" s="10" t="s">
        <v>2099</v>
      </c>
      <c r="H199" s="10" t="s">
        <v>481</v>
      </c>
      <c r="I199" s="14" t="b">
        <v>0</v>
      </c>
      <c r="J199" s="10" t="s">
        <v>83</v>
      </c>
      <c r="K199" s="10"/>
      <c r="L199" s="10"/>
      <c r="M199" s="10"/>
      <c r="N199" s="10"/>
      <c r="O199" s="10"/>
      <c r="P199" s="10"/>
      <c r="Q199" s="14" t="b">
        <v>1</v>
      </c>
      <c r="R199" s="10"/>
    </row>
    <row r="200">
      <c r="A200" s="10" t="s">
        <v>2104</v>
      </c>
      <c r="B200" s="10" t="s">
        <v>65</v>
      </c>
      <c r="C200" s="11">
        <v>45932.0</v>
      </c>
      <c r="D200" s="10" t="s">
        <v>202</v>
      </c>
      <c r="E200" s="10" t="s">
        <v>2106</v>
      </c>
      <c r="F200" s="10"/>
      <c r="G200" s="10" t="s">
        <v>2108</v>
      </c>
      <c r="H200" s="10" t="s">
        <v>481</v>
      </c>
      <c r="I200" s="14" t="b">
        <v>0</v>
      </c>
      <c r="J200" s="10" t="s">
        <v>83</v>
      </c>
      <c r="K200" s="10"/>
      <c r="L200" s="10"/>
      <c r="M200" s="10"/>
      <c r="N200" s="10"/>
      <c r="O200" s="10"/>
      <c r="P200" s="10"/>
      <c r="Q200" s="14" t="b">
        <v>1</v>
      </c>
      <c r="R200" s="10"/>
    </row>
    <row r="201">
      <c r="A201" s="10" t="s">
        <v>2112</v>
      </c>
      <c r="B201" s="10" t="s">
        <v>65</v>
      </c>
      <c r="C201" s="11">
        <v>45933.0</v>
      </c>
      <c r="D201" s="10" t="s">
        <v>751</v>
      </c>
      <c r="E201" s="10" t="s">
        <v>2116</v>
      </c>
      <c r="F201" s="10"/>
      <c r="G201" s="10" t="s">
        <v>2118</v>
      </c>
      <c r="H201" s="10" t="s">
        <v>481</v>
      </c>
      <c r="I201" s="14" t="b">
        <v>0</v>
      </c>
      <c r="J201" s="10" t="s">
        <v>83</v>
      </c>
      <c r="K201" s="10"/>
      <c r="L201" s="10"/>
      <c r="M201" s="10"/>
      <c r="N201" s="10"/>
      <c r="O201" s="10"/>
      <c r="P201" s="10"/>
      <c r="Q201" s="14" t="b">
        <v>1</v>
      </c>
      <c r="R201" s="10"/>
    </row>
    <row r="202">
      <c r="A202" s="10" t="s">
        <v>2127</v>
      </c>
      <c r="B202" s="10" t="s">
        <v>65</v>
      </c>
      <c r="C202" s="11">
        <v>45932.0</v>
      </c>
      <c r="D202" s="10" t="s">
        <v>163</v>
      </c>
      <c r="E202" s="10" t="s">
        <v>2130</v>
      </c>
      <c r="F202" s="10"/>
      <c r="G202" s="10" t="s">
        <v>2132</v>
      </c>
      <c r="H202" s="10" t="s">
        <v>195</v>
      </c>
      <c r="I202" s="14" t="b">
        <v>1</v>
      </c>
      <c r="J202" s="10" t="s">
        <v>83</v>
      </c>
      <c r="K202" s="10"/>
      <c r="L202" s="10"/>
      <c r="M202" s="10"/>
      <c r="N202" s="10"/>
      <c r="O202" s="10"/>
      <c r="P202" s="17">
        <v>1714904.0</v>
      </c>
      <c r="Q202" s="14" t="b">
        <v>1</v>
      </c>
      <c r="R202" s="10"/>
    </row>
    <row r="203">
      <c r="A203" s="10" t="s">
        <v>2136</v>
      </c>
      <c r="B203" s="10" t="s">
        <v>65</v>
      </c>
      <c r="C203" s="11">
        <v>45935.0</v>
      </c>
      <c r="D203" s="10" t="s">
        <v>163</v>
      </c>
      <c r="E203" s="10" t="s">
        <v>2138</v>
      </c>
      <c r="F203" s="10"/>
      <c r="G203" s="10" t="s">
        <v>2139</v>
      </c>
      <c r="H203" s="10" t="s">
        <v>460</v>
      </c>
      <c r="I203" s="14" t="b">
        <v>1</v>
      </c>
      <c r="J203" s="10" t="s">
        <v>83</v>
      </c>
      <c r="K203" s="10"/>
      <c r="L203" s="10"/>
      <c r="M203" s="10"/>
      <c r="N203" s="10"/>
      <c r="O203" s="10"/>
      <c r="P203" s="17">
        <v>1723407.0</v>
      </c>
      <c r="Q203" s="14" t="b">
        <v>1</v>
      </c>
      <c r="R203" s="10"/>
    </row>
    <row r="204">
      <c r="A204" s="10" t="s">
        <v>2143</v>
      </c>
      <c r="B204" s="10" t="s">
        <v>65</v>
      </c>
      <c r="C204" s="11">
        <v>45935.0</v>
      </c>
      <c r="D204" s="10" t="s">
        <v>785</v>
      </c>
      <c r="E204" s="10" t="s">
        <v>2149</v>
      </c>
      <c r="F204" s="10"/>
      <c r="G204" s="10" t="s">
        <v>2151</v>
      </c>
      <c r="H204" s="10" t="s">
        <v>2153</v>
      </c>
      <c r="I204" s="14" t="b">
        <v>1</v>
      </c>
      <c r="J204" s="10" t="s">
        <v>83</v>
      </c>
      <c r="K204" s="10"/>
      <c r="L204" s="10"/>
      <c r="M204" s="10"/>
      <c r="N204" s="10"/>
      <c r="O204" s="10"/>
      <c r="P204" s="17">
        <v>1723335.0</v>
      </c>
      <c r="Q204" s="14" t="b">
        <v>1</v>
      </c>
      <c r="R204" s="10"/>
    </row>
    <row r="205">
      <c r="A205" s="10" t="s">
        <v>2158</v>
      </c>
      <c r="B205" s="10" t="s">
        <v>65</v>
      </c>
      <c r="C205" s="11">
        <v>45935.0</v>
      </c>
      <c r="D205" s="10" t="s">
        <v>796</v>
      </c>
      <c r="E205" s="10" t="s">
        <v>2162</v>
      </c>
      <c r="F205" s="10"/>
      <c r="G205" s="10" t="s">
        <v>2163</v>
      </c>
      <c r="H205" s="10" t="s">
        <v>1992</v>
      </c>
      <c r="I205" s="14" t="b">
        <v>1</v>
      </c>
      <c r="J205" s="10" t="s">
        <v>83</v>
      </c>
      <c r="K205" s="10"/>
      <c r="L205" s="10"/>
      <c r="M205" s="10"/>
      <c r="N205" s="10"/>
      <c r="O205" s="10"/>
      <c r="P205" s="17">
        <v>1723337.0</v>
      </c>
      <c r="Q205" s="14" t="b">
        <v>1</v>
      </c>
      <c r="R205" s="10"/>
    </row>
    <row r="206">
      <c r="A206" s="10" t="s">
        <v>2168</v>
      </c>
      <c r="B206" s="10" t="s">
        <v>65</v>
      </c>
      <c r="C206" s="11">
        <v>45935.0</v>
      </c>
      <c r="D206" s="10" t="s">
        <v>2001</v>
      </c>
      <c r="E206" s="10" t="s">
        <v>2170</v>
      </c>
      <c r="F206" s="10"/>
      <c r="G206" s="10" t="s">
        <v>2172</v>
      </c>
      <c r="H206" s="10" t="s">
        <v>2173</v>
      </c>
      <c r="I206" s="14" t="b">
        <v>1</v>
      </c>
      <c r="J206" s="10" t="s">
        <v>83</v>
      </c>
      <c r="K206" s="10"/>
      <c r="L206" s="10"/>
      <c r="M206" s="10"/>
      <c r="N206" s="10"/>
      <c r="O206" s="10"/>
      <c r="P206" s="17">
        <v>1723334.0</v>
      </c>
      <c r="Q206" s="14" t="b">
        <v>1</v>
      </c>
      <c r="R206" s="10"/>
    </row>
    <row r="207">
      <c r="A207" s="10" t="s">
        <v>2178</v>
      </c>
      <c r="B207" s="10" t="s">
        <v>65</v>
      </c>
      <c r="C207" s="11">
        <v>45934.0</v>
      </c>
      <c r="D207" s="10" t="s">
        <v>163</v>
      </c>
      <c r="E207" s="10" t="s">
        <v>2180</v>
      </c>
      <c r="F207" s="10"/>
      <c r="G207" s="10" t="s">
        <v>2181</v>
      </c>
      <c r="H207" s="10" t="s">
        <v>529</v>
      </c>
      <c r="I207" s="14" t="b">
        <v>1</v>
      </c>
      <c r="J207" s="10" t="s">
        <v>83</v>
      </c>
      <c r="K207" s="10"/>
      <c r="L207" s="10"/>
      <c r="M207" s="10"/>
      <c r="N207" s="10"/>
      <c r="O207" s="10"/>
      <c r="P207" s="17">
        <v>1720262.0</v>
      </c>
      <c r="Q207" s="14" t="b">
        <v>1</v>
      </c>
      <c r="R207" s="10"/>
    </row>
    <row r="208">
      <c r="A208" s="10" t="s">
        <v>2187</v>
      </c>
      <c r="B208" s="10" t="s">
        <v>65</v>
      </c>
      <c r="C208" s="11">
        <v>45936.0</v>
      </c>
      <c r="D208" s="10" t="s">
        <v>751</v>
      </c>
      <c r="E208" s="10" t="s">
        <v>2188</v>
      </c>
      <c r="F208" s="10"/>
      <c r="G208" s="10" t="s">
        <v>2191</v>
      </c>
      <c r="H208" s="10" t="s">
        <v>481</v>
      </c>
      <c r="I208" s="14" t="b">
        <v>0</v>
      </c>
      <c r="J208" s="10" t="s">
        <v>83</v>
      </c>
      <c r="K208" s="10"/>
      <c r="L208" s="10"/>
      <c r="M208" s="10"/>
      <c r="N208" s="10"/>
      <c r="O208" s="10"/>
      <c r="P208" s="10"/>
      <c r="Q208" s="14" t="b">
        <v>1</v>
      </c>
      <c r="R208" s="10"/>
    </row>
    <row r="209">
      <c r="A209" s="10" t="s">
        <v>2195</v>
      </c>
      <c r="B209" s="10" t="s">
        <v>65</v>
      </c>
      <c r="C209" s="11">
        <v>45933.0</v>
      </c>
      <c r="D209" s="10" t="s">
        <v>670</v>
      </c>
      <c r="E209" s="10" t="s">
        <v>2198</v>
      </c>
      <c r="F209" s="10"/>
      <c r="G209" s="10" t="s">
        <v>2200</v>
      </c>
      <c r="H209" s="10" t="s">
        <v>287</v>
      </c>
      <c r="I209" s="14" t="b">
        <v>0</v>
      </c>
      <c r="J209" s="10" t="s">
        <v>83</v>
      </c>
      <c r="K209" s="10"/>
      <c r="L209" s="10" t="s">
        <v>2202</v>
      </c>
      <c r="M209" s="10" t="s">
        <v>2203</v>
      </c>
      <c r="N209" s="10"/>
      <c r="O209" s="10"/>
      <c r="P209" s="10"/>
      <c r="Q209" s="14" t="b">
        <v>1</v>
      </c>
      <c r="R209" s="10"/>
    </row>
    <row r="210">
      <c r="A210" s="10" t="s">
        <v>2206</v>
      </c>
      <c r="B210" s="10" t="s">
        <v>65</v>
      </c>
      <c r="C210" s="11">
        <v>45932.0</v>
      </c>
      <c r="D210" s="10" t="s">
        <v>246</v>
      </c>
      <c r="E210" s="10" t="s">
        <v>2208</v>
      </c>
      <c r="F210" s="10"/>
      <c r="G210" s="10" t="s">
        <v>2211</v>
      </c>
      <c r="H210" s="10" t="s">
        <v>250</v>
      </c>
      <c r="I210" s="14" t="b">
        <v>0</v>
      </c>
      <c r="J210" s="10" t="s">
        <v>83</v>
      </c>
      <c r="K210" s="10"/>
      <c r="L210" s="10"/>
      <c r="M210" s="10"/>
      <c r="N210" s="10"/>
      <c r="O210" s="10"/>
      <c r="P210" s="10"/>
      <c r="Q210" s="14" t="b">
        <v>1</v>
      </c>
      <c r="R210" s="10"/>
    </row>
    <row r="211">
      <c r="A211" s="10" t="s">
        <v>2216</v>
      </c>
      <c r="B211" s="10" t="s">
        <v>65</v>
      </c>
      <c r="C211" s="11">
        <v>45936.0</v>
      </c>
      <c r="D211" s="10" t="s">
        <v>145</v>
      </c>
      <c r="E211" s="10" t="s">
        <v>2219</v>
      </c>
      <c r="F211" s="10"/>
      <c r="G211" s="10" t="s">
        <v>2222</v>
      </c>
      <c r="H211" s="10" t="s">
        <v>149</v>
      </c>
      <c r="I211" s="14" t="b">
        <v>0</v>
      </c>
      <c r="J211" s="10" t="s">
        <v>83</v>
      </c>
      <c r="K211" s="10"/>
      <c r="L211" s="10"/>
      <c r="M211" s="10"/>
      <c r="N211" s="10"/>
      <c r="O211" s="10"/>
      <c r="P211" s="10"/>
      <c r="Q211" s="14" t="b">
        <v>1</v>
      </c>
      <c r="R211" s="10"/>
    </row>
    <row r="212">
      <c r="A212" s="10" t="s">
        <v>2227</v>
      </c>
      <c r="B212" s="10" t="s">
        <v>65</v>
      </c>
      <c r="C212" s="11">
        <v>45931.0</v>
      </c>
      <c r="D212" s="10" t="s">
        <v>131</v>
      </c>
      <c r="E212" s="10" t="s">
        <v>2230</v>
      </c>
      <c r="F212" s="10"/>
      <c r="G212" s="10" t="s">
        <v>2231</v>
      </c>
      <c r="H212" s="10" t="s">
        <v>136</v>
      </c>
      <c r="I212" s="14" t="b">
        <v>0</v>
      </c>
      <c r="J212" s="10" t="s">
        <v>83</v>
      </c>
      <c r="K212" s="10"/>
      <c r="L212" s="10" t="s">
        <v>2234</v>
      </c>
      <c r="M212" s="10"/>
      <c r="N212" s="10"/>
      <c r="O212" s="10"/>
      <c r="P212" s="10"/>
      <c r="Q212" s="14" t="b">
        <v>1</v>
      </c>
      <c r="R212" s="10"/>
    </row>
    <row r="213">
      <c r="A213" s="10" t="s">
        <v>2237</v>
      </c>
      <c r="B213" s="10" t="s">
        <v>65</v>
      </c>
      <c r="C213" s="11">
        <v>45937.0</v>
      </c>
      <c r="D213" s="10" t="s">
        <v>163</v>
      </c>
      <c r="E213" s="10" t="s">
        <v>2240</v>
      </c>
      <c r="F213" s="10"/>
      <c r="G213" s="10" t="s">
        <v>2243</v>
      </c>
      <c r="H213" s="10" t="s">
        <v>529</v>
      </c>
      <c r="I213" s="14" t="b">
        <v>1</v>
      </c>
      <c r="J213" s="10" t="s">
        <v>83</v>
      </c>
      <c r="K213" s="10"/>
      <c r="L213" s="10"/>
      <c r="M213" s="10"/>
      <c r="N213" s="10"/>
      <c r="O213" s="10"/>
      <c r="P213" s="17">
        <v>1727028.0</v>
      </c>
      <c r="Q213" s="14" t="b">
        <v>1</v>
      </c>
      <c r="R213" s="10"/>
    </row>
    <row r="214">
      <c r="A214" s="10" t="s">
        <v>2250</v>
      </c>
      <c r="B214" s="10" t="s">
        <v>65</v>
      </c>
      <c r="C214" s="11">
        <v>45938.0</v>
      </c>
      <c r="D214" s="10" t="s">
        <v>2253</v>
      </c>
      <c r="E214" s="10" t="s">
        <v>2255</v>
      </c>
      <c r="F214" s="10"/>
      <c r="G214" s="10" t="s">
        <v>2257</v>
      </c>
      <c r="H214" s="10" t="s">
        <v>2258</v>
      </c>
      <c r="I214" s="14" t="b">
        <v>0</v>
      </c>
      <c r="J214" s="10" t="s">
        <v>83</v>
      </c>
      <c r="K214" s="10"/>
      <c r="L214" s="10"/>
      <c r="M214" s="10"/>
      <c r="N214" s="10"/>
      <c r="O214" s="10"/>
      <c r="P214" s="10"/>
      <c r="Q214" s="14" t="b">
        <v>1</v>
      </c>
      <c r="R214" s="10"/>
    </row>
    <row r="215">
      <c r="A215" s="10" t="s">
        <v>2264</v>
      </c>
      <c r="B215" s="10" t="s">
        <v>65</v>
      </c>
      <c r="C215" s="11">
        <v>45938.0</v>
      </c>
      <c r="D215" s="10" t="s">
        <v>189</v>
      </c>
      <c r="E215" s="10" t="s">
        <v>2267</v>
      </c>
      <c r="F215" s="10"/>
      <c r="G215" s="10" t="s">
        <v>2269</v>
      </c>
      <c r="H215" s="10" t="s">
        <v>195</v>
      </c>
      <c r="I215" s="14" t="b">
        <v>0</v>
      </c>
      <c r="J215" s="10" t="s">
        <v>83</v>
      </c>
      <c r="K215" s="10"/>
      <c r="L215" s="10"/>
      <c r="M215" s="10"/>
      <c r="N215" s="10"/>
      <c r="O215" s="10"/>
      <c r="P215" s="10"/>
      <c r="Q215" s="14" t="b">
        <v>1</v>
      </c>
      <c r="R215" s="10"/>
    </row>
    <row r="216">
      <c r="A216" s="17">
        <v>1.2119368E7</v>
      </c>
      <c r="B216" s="10" t="s">
        <v>65</v>
      </c>
      <c r="C216" s="11">
        <v>45938.0</v>
      </c>
      <c r="D216" s="10" t="s">
        <v>2274</v>
      </c>
      <c r="E216" s="10" t="s">
        <v>2277</v>
      </c>
      <c r="F216" s="10"/>
      <c r="G216" s="10" t="s">
        <v>2278</v>
      </c>
      <c r="H216" s="10" t="s">
        <v>195</v>
      </c>
      <c r="I216" s="14" t="b">
        <v>1</v>
      </c>
      <c r="J216" s="10" t="s">
        <v>83</v>
      </c>
      <c r="K216" s="10"/>
      <c r="L216" s="10"/>
      <c r="M216" s="10"/>
      <c r="N216" s="10"/>
      <c r="O216" s="10"/>
      <c r="P216" s="17">
        <v>1729284.0</v>
      </c>
      <c r="Q216" s="14" t="b">
        <v>1</v>
      </c>
      <c r="R216" s="10"/>
    </row>
    <row r="217">
      <c r="A217" s="10" t="s">
        <v>2285</v>
      </c>
      <c r="B217" s="10" t="s">
        <v>65</v>
      </c>
      <c r="C217" s="11">
        <v>45939.0</v>
      </c>
      <c r="D217" s="10" t="s">
        <v>434</v>
      </c>
      <c r="E217" s="10" t="s">
        <v>2287</v>
      </c>
      <c r="F217" s="10"/>
      <c r="G217" s="10" t="s">
        <v>2289</v>
      </c>
      <c r="H217" s="10" t="s">
        <v>2290</v>
      </c>
      <c r="I217" s="14" t="b">
        <v>1</v>
      </c>
      <c r="J217" s="10" t="s">
        <v>83</v>
      </c>
      <c r="K217" s="10"/>
      <c r="L217" s="10"/>
      <c r="M217" s="10"/>
      <c r="N217" s="10"/>
      <c r="O217" s="10"/>
      <c r="P217" s="17">
        <v>1729281.0</v>
      </c>
      <c r="Q217" s="14" t="b">
        <v>1</v>
      </c>
      <c r="R217" s="10"/>
    </row>
    <row r="218">
      <c r="A218" s="10" t="s">
        <v>2296</v>
      </c>
      <c r="B218" s="10" t="s">
        <v>65</v>
      </c>
      <c r="C218" s="11">
        <v>45940.0</v>
      </c>
      <c r="D218" s="10" t="s">
        <v>163</v>
      </c>
      <c r="E218" s="10" t="s">
        <v>2299</v>
      </c>
      <c r="F218" s="10"/>
      <c r="G218" s="10" t="s">
        <v>2301</v>
      </c>
      <c r="H218" s="10" t="s">
        <v>2302</v>
      </c>
      <c r="I218" s="14" t="b">
        <v>1</v>
      </c>
      <c r="J218" s="10" t="s">
        <v>83</v>
      </c>
      <c r="K218" s="10"/>
      <c r="L218" s="10"/>
      <c r="M218" s="10"/>
      <c r="N218" s="10"/>
      <c r="O218" s="10"/>
      <c r="P218" s="17">
        <v>1730742.0</v>
      </c>
      <c r="Q218" s="14" t="b">
        <v>1</v>
      </c>
      <c r="R218" s="10"/>
    </row>
    <row r="219">
      <c r="A219" s="10" t="s">
        <v>2309</v>
      </c>
      <c r="B219" s="10" t="s">
        <v>65</v>
      </c>
      <c r="C219" s="11">
        <v>45939.0</v>
      </c>
      <c r="D219" s="10" t="s">
        <v>202</v>
      </c>
      <c r="E219" s="10" t="s">
        <v>2312</v>
      </c>
      <c r="F219" s="10"/>
      <c r="G219" s="10" t="s">
        <v>2315</v>
      </c>
      <c r="H219" s="10" t="s">
        <v>481</v>
      </c>
      <c r="I219" s="14" t="b">
        <v>0</v>
      </c>
      <c r="J219" s="10" t="s">
        <v>83</v>
      </c>
      <c r="K219" s="10"/>
      <c r="L219" s="10"/>
      <c r="M219" s="10"/>
      <c r="N219" s="10"/>
      <c r="O219" s="10"/>
      <c r="P219" s="10"/>
      <c r="Q219" s="14" t="b">
        <v>1</v>
      </c>
      <c r="R219" s="10"/>
    </row>
    <row r="220">
      <c r="A220" s="10" t="s">
        <v>2319</v>
      </c>
      <c r="B220" s="10" t="s">
        <v>65</v>
      </c>
      <c r="C220" s="11">
        <v>45940.0</v>
      </c>
      <c r="D220" s="10" t="s">
        <v>751</v>
      </c>
      <c r="E220" s="10" t="s">
        <v>2323</v>
      </c>
      <c r="F220" s="10"/>
      <c r="G220" s="10" t="s">
        <v>2324</v>
      </c>
      <c r="H220" s="10" t="s">
        <v>481</v>
      </c>
      <c r="I220" s="14" t="b">
        <v>0</v>
      </c>
      <c r="J220" s="10" t="s">
        <v>83</v>
      </c>
      <c r="K220" s="10"/>
      <c r="L220" s="10"/>
      <c r="M220" s="10"/>
      <c r="N220" s="10"/>
      <c r="O220" s="10"/>
      <c r="P220" s="10"/>
      <c r="Q220" s="14" t="b">
        <v>1</v>
      </c>
      <c r="R220" s="10"/>
    </row>
    <row r="221">
      <c r="A221" s="10" t="s">
        <v>2327</v>
      </c>
      <c r="B221" s="10" t="s">
        <v>65</v>
      </c>
      <c r="C221" s="11">
        <v>45944.0</v>
      </c>
      <c r="D221" s="10" t="s">
        <v>246</v>
      </c>
      <c r="E221" s="10" t="s">
        <v>2330</v>
      </c>
      <c r="F221" s="10"/>
      <c r="G221" s="10" t="s">
        <v>2332</v>
      </c>
      <c r="H221" s="10" t="s">
        <v>250</v>
      </c>
      <c r="I221" s="14" t="b">
        <v>0</v>
      </c>
      <c r="J221" s="10" t="s">
        <v>83</v>
      </c>
      <c r="K221" s="10"/>
      <c r="L221" s="10"/>
      <c r="M221" s="10"/>
      <c r="N221" s="10"/>
      <c r="O221" s="10"/>
      <c r="P221" s="10"/>
      <c r="Q221" s="14" t="b">
        <v>1</v>
      </c>
      <c r="R221" s="10"/>
    </row>
    <row r="222">
      <c r="A222" s="10" t="s">
        <v>2339</v>
      </c>
      <c r="B222" s="10" t="s">
        <v>65</v>
      </c>
      <c r="C222" s="11">
        <v>45943.0</v>
      </c>
      <c r="D222" s="10" t="s">
        <v>246</v>
      </c>
      <c r="E222" s="10" t="s">
        <v>2341</v>
      </c>
      <c r="F222" s="10"/>
      <c r="G222" s="10" t="s">
        <v>2343</v>
      </c>
      <c r="H222" s="10" t="s">
        <v>250</v>
      </c>
      <c r="I222" s="14" t="b">
        <v>0</v>
      </c>
      <c r="J222" s="10" t="s">
        <v>83</v>
      </c>
      <c r="K222" s="10"/>
      <c r="L222" s="10"/>
      <c r="M222" s="10"/>
      <c r="N222" s="10"/>
      <c r="O222" s="10"/>
      <c r="P222" s="10"/>
      <c r="Q222" s="14" t="b">
        <v>1</v>
      </c>
      <c r="R222" s="10"/>
    </row>
    <row r="223">
      <c r="A223" s="10" t="s">
        <v>2352</v>
      </c>
      <c r="B223" s="10" t="s">
        <v>65</v>
      </c>
      <c r="C223" s="11">
        <v>45944.0</v>
      </c>
      <c r="D223" s="10" t="s">
        <v>1888</v>
      </c>
      <c r="E223" s="10" t="s">
        <v>2354</v>
      </c>
      <c r="F223" s="10"/>
      <c r="G223" s="10" t="s">
        <v>2356</v>
      </c>
      <c r="H223" s="10" t="s">
        <v>149</v>
      </c>
      <c r="I223" s="14" t="b">
        <v>0</v>
      </c>
      <c r="J223" s="10" t="s">
        <v>83</v>
      </c>
      <c r="K223" s="10"/>
      <c r="L223" s="10"/>
      <c r="M223" s="10"/>
      <c r="N223" s="10"/>
      <c r="O223" s="10"/>
      <c r="P223" s="10"/>
      <c r="Q223" s="14" t="b">
        <v>1</v>
      </c>
      <c r="R223" s="10"/>
    </row>
    <row r="224">
      <c r="A224" s="10" t="s">
        <v>2359</v>
      </c>
      <c r="B224" s="10" t="s">
        <v>65</v>
      </c>
      <c r="C224" s="11">
        <v>45943.0</v>
      </c>
      <c r="D224" s="10" t="s">
        <v>163</v>
      </c>
      <c r="E224" s="10" t="s">
        <v>2361</v>
      </c>
      <c r="F224" s="10"/>
      <c r="G224" s="10" t="s">
        <v>2362</v>
      </c>
      <c r="H224" s="10" t="s">
        <v>1010</v>
      </c>
      <c r="I224" s="14" t="b">
        <v>1</v>
      </c>
      <c r="J224" s="10" t="s">
        <v>83</v>
      </c>
      <c r="K224" s="10"/>
      <c r="L224" s="10"/>
      <c r="M224" s="10"/>
      <c r="N224" s="10"/>
      <c r="O224" s="10"/>
      <c r="P224" s="17">
        <v>1738404.0</v>
      </c>
      <c r="Q224" s="14" t="b">
        <v>1</v>
      </c>
      <c r="R224" s="10"/>
    </row>
    <row r="225">
      <c r="A225" s="10" t="s">
        <v>2371</v>
      </c>
      <c r="B225" s="10" t="s">
        <v>65</v>
      </c>
      <c r="C225" s="11">
        <v>45944.0</v>
      </c>
      <c r="D225" s="10" t="s">
        <v>919</v>
      </c>
      <c r="E225" s="10" t="s">
        <v>2373</v>
      </c>
      <c r="F225" s="10"/>
      <c r="G225" s="10" t="s">
        <v>2375</v>
      </c>
      <c r="H225" s="10" t="s">
        <v>2376</v>
      </c>
      <c r="I225" s="14" t="b">
        <v>1</v>
      </c>
      <c r="J225" s="10" t="s">
        <v>83</v>
      </c>
      <c r="K225" s="10"/>
      <c r="L225" s="10"/>
      <c r="M225" s="10"/>
      <c r="N225" s="10"/>
      <c r="O225" s="10"/>
      <c r="P225" s="17">
        <v>1739209.0</v>
      </c>
      <c r="Q225" s="14" t="b">
        <v>1</v>
      </c>
      <c r="R225" s="10"/>
    </row>
    <row r="226">
      <c r="A226" s="10" t="s">
        <v>2383</v>
      </c>
      <c r="B226" s="10" t="s">
        <v>65</v>
      </c>
      <c r="C226" s="11">
        <v>45950.0</v>
      </c>
      <c r="D226" s="10" t="s">
        <v>202</v>
      </c>
      <c r="E226" s="10" t="s">
        <v>2387</v>
      </c>
      <c r="F226" s="10"/>
      <c r="G226" s="10" t="s">
        <v>2388</v>
      </c>
      <c r="H226" s="10" t="s">
        <v>481</v>
      </c>
      <c r="I226" s="14" t="b">
        <v>0</v>
      </c>
      <c r="J226" s="10" t="s">
        <v>83</v>
      </c>
      <c r="K226" s="10"/>
      <c r="L226" s="10"/>
      <c r="M226" s="10"/>
      <c r="N226" s="10"/>
      <c r="O226" s="10"/>
      <c r="P226" s="10"/>
      <c r="Q226" s="14" t="b">
        <v>1</v>
      </c>
      <c r="R226" s="10"/>
    </row>
    <row r="227">
      <c r="A227" s="10" t="s">
        <v>2397</v>
      </c>
      <c r="B227" s="10" t="s">
        <v>65</v>
      </c>
      <c r="C227" s="11">
        <v>45944.0</v>
      </c>
      <c r="D227" s="10" t="s">
        <v>751</v>
      </c>
      <c r="E227" s="10" t="s">
        <v>2399</v>
      </c>
      <c r="F227" s="10"/>
      <c r="G227" s="10" t="s">
        <v>2400</v>
      </c>
      <c r="H227" s="10" t="s">
        <v>481</v>
      </c>
      <c r="I227" s="14" t="b">
        <v>0</v>
      </c>
      <c r="J227" s="10" t="s">
        <v>83</v>
      </c>
      <c r="K227" s="10"/>
      <c r="L227" s="10"/>
      <c r="M227" s="10"/>
      <c r="N227" s="10"/>
      <c r="O227" s="10"/>
      <c r="P227" s="10"/>
      <c r="Q227" s="14" t="b">
        <v>1</v>
      </c>
      <c r="R227" s="10"/>
    </row>
    <row r="228">
      <c r="A228" s="10" t="s">
        <v>2406</v>
      </c>
      <c r="B228" s="10" t="s">
        <v>65</v>
      </c>
      <c r="C228" s="11">
        <v>45943.0</v>
      </c>
      <c r="D228" s="10" t="s">
        <v>189</v>
      </c>
      <c r="E228" s="10" t="s">
        <v>2409</v>
      </c>
      <c r="F228" s="10"/>
      <c r="G228" s="10" t="s">
        <v>2412</v>
      </c>
      <c r="H228" s="10" t="s">
        <v>460</v>
      </c>
      <c r="I228" s="14" t="b">
        <v>0</v>
      </c>
      <c r="J228" s="10" t="s">
        <v>83</v>
      </c>
      <c r="K228" s="10"/>
      <c r="L228" s="10"/>
      <c r="M228" s="10"/>
      <c r="N228" s="10"/>
      <c r="O228" s="10"/>
      <c r="P228" s="10"/>
      <c r="Q228" s="14" t="b">
        <v>1</v>
      </c>
      <c r="R228" s="10"/>
    </row>
    <row r="229">
      <c r="A229" s="10" t="s">
        <v>2417</v>
      </c>
      <c r="B229" s="10" t="s">
        <v>65</v>
      </c>
      <c r="C229" s="11">
        <v>45944.0</v>
      </c>
      <c r="D229" s="10" t="s">
        <v>785</v>
      </c>
      <c r="E229" s="10" t="s">
        <v>2419</v>
      </c>
      <c r="F229" s="10"/>
      <c r="G229" s="10" t="s">
        <v>2420</v>
      </c>
      <c r="H229" s="10" t="s">
        <v>2422</v>
      </c>
      <c r="I229" s="14" t="b">
        <v>1</v>
      </c>
      <c r="J229" s="10" t="s">
        <v>83</v>
      </c>
      <c r="K229" s="10"/>
      <c r="L229" s="10"/>
      <c r="M229" s="10"/>
      <c r="N229" s="10"/>
      <c r="O229" s="10"/>
      <c r="P229" s="17">
        <v>1739640.0</v>
      </c>
      <c r="Q229" s="14" t="b">
        <v>1</v>
      </c>
      <c r="R229" s="10"/>
    </row>
    <row r="230">
      <c r="A230" s="10" t="s">
        <v>2427</v>
      </c>
      <c r="B230" s="10" t="s">
        <v>65</v>
      </c>
      <c r="C230" s="11">
        <v>45944.0</v>
      </c>
      <c r="D230" s="10" t="s">
        <v>2001</v>
      </c>
      <c r="E230" s="10" t="s">
        <v>2430</v>
      </c>
      <c r="F230" s="10"/>
      <c r="G230" s="10" t="s">
        <v>2433</v>
      </c>
      <c r="H230" s="10" t="s">
        <v>2434</v>
      </c>
      <c r="I230" s="14" t="b">
        <v>1</v>
      </c>
      <c r="J230" s="10" t="s">
        <v>83</v>
      </c>
      <c r="K230" s="10"/>
      <c r="L230" s="10"/>
      <c r="M230" s="10"/>
      <c r="N230" s="10"/>
      <c r="O230" s="10"/>
      <c r="P230" s="17">
        <v>1739637.0</v>
      </c>
      <c r="Q230" s="14" t="b">
        <v>1</v>
      </c>
      <c r="R230" s="10"/>
    </row>
    <row r="231">
      <c r="A231" s="10" t="s">
        <v>2441</v>
      </c>
      <c r="B231" s="10" t="s">
        <v>65</v>
      </c>
      <c r="C231" s="11">
        <v>45944.0</v>
      </c>
      <c r="D231" s="10" t="s">
        <v>1038</v>
      </c>
      <c r="E231" s="10" t="s">
        <v>2443</v>
      </c>
      <c r="F231" s="10"/>
      <c r="G231" s="10" t="s">
        <v>2444</v>
      </c>
      <c r="H231" s="10" t="s">
        <v>2445</v>
      </c>
      <c r="I231" s="14" t="b">
        <v>1</v>
      </c>
      <c r="J231" s="10" t="s">
        <v>83</v>
      </c>
      <c r="K231" s="10"/>
      <c r="L231" s="10"/>
      <c r="M231" s="10"/>
      <c r="N231" s="10"/>
      <c r="O231" s="10"/>
      <c r="P231" s="17">
        <v>1739634.0</v>
      </c>
      <c r="Q231" s="14" t="b">
        <v>1</v>
      </c>
      <c r="R231" s="10"/>
    </row>
    <row r="232">
      <c r="A232" s="10" t="s">
        <v>2448</v>
      </c>
      <c r="B232" s="10" t="s">
        <v>65</v>
      </c>
      <c r="C232" s="11">
        <v>45946.0</v>
      </c>
      <c r="D232" s="10" t="s">
        <v>153</v>
      </c>
      <c r="E232" s="10" t="s">
        <v>2450</v>
      </c>
      <c r="F232" s="10"/>
      <c r="G232" s="10" t="s">
        <v>2451</v>
      </c>
      <c r="H232" s="10" t="s">
        <v>529</v>
      </c>
      <c r="I232" s="14" t="b">
        <v>1</v>
      </c>
      <c r="J232" s="10" t="s">
        <v>83</v>
      </c>
      <c r="K232" s="10"/>
      <c r="L232" s="10"/>
      <c r="M232" s="10"/>
      <c r="N232" s="10"/>
      <c r="O232" s="10"/>
      <c r="P232" s="17">
        <v>1742780.0</v>
      </c>
      <c r="Q232" s="14" t="b">
        <v>1</v>
      </c>
      <c r="R232" s="10"/>
    </row>
    <row r="233">
      <c r="A233" s="10" t="s">
        <v>2457</v>
      </c>
      <c r="B233" s="10" t="s">
        <v>65</v>
      </c>
      <c r="C233" s="11">
        <v>45947.0</v>
      </c>
      <c r="D233" s="10" t="s">
        <v>163</v>
      </c>
      <c r="E233" s="10" t="s">
        <v>2461</v>
      </c>
      <c r="F233" s="10"/>
      <c r="G233" s="10" t="s">
        <v>2462</v>
      </c>
      <c r="H233" s="10" t="s">
        <v>1010</v>
      </c>
      <c r="I233" s="14" t="b">
        <v>1</v>
      </c>
      <c r="J233" s="10" t="s">
        <v>83</v>
      </c>
      <c r="K233" s="10"/>
      <c r="L233" s="10"/>
      <c r="M233" s="10"/>
      <c r="N233" s="10"/>
      <c r="O233" s="10"/>
      <c r="P233" s="17">
        <v>1744748.0</v>
      </c>
      <c r="Q233" s="14" t="b">
        <v>1</v>
      </c>
      <c r="R233" s="10"/>
    </row>
    <row r="234">
      <c r="A234" s="10" t="s">
        <v>2471</v>
      </c>
      <c r="B234" s="10" t="s">
        <v>65</v>
      </c>
      <c r="C234" s="11">
        <v>45947.0</v>
      </c>
      <c r="D234" s="10" t="s">
        <v>2475</v>
      </c>
      <c r="E234" s="10" t="s">
        <v>2476</v>
      </c>
      <c r="F234" s="10"/>
      <c r="G234" s="10" t="s">
        <v>2478</v>
      </c>
      <c r="H234" s="10" t="s">
        <v>2479</v>
      </c>
      <c r="I234" s="14" t="b">
        <v>1</v>
      </c>
      <c r="J234" s="10" t="s">
        <v>83</v>
      </c>
      <c r="K234" s="10"/>
      <c r="L234" s="10"/>
      <c r="M234" s="10"/>
      <c r="N234" s="10"/>
      <c r="O234" s="10"/>
      <c r="P234" s="17">
        <v>1744776.0</v>
      </c>
      <c r="Q234" s="14" t="b">
        <v>1</v>
      </c>
      <c r="R234" s="10"/>
    </row>
    <row r="235">
      <c r="A235" s="10" t="s">
        <v>2485</v>
      </c>
      <c r="B235" s="10" t="s">
        <v>65</v>
      </c>
      <c r="C235" s="11">
        <v>45946.0</v>
      </c>
      <c r="D235" s="10" t="s">
        <v>202</v>
      </c>
      <c r="E235" s="10" t="s">
        <v>2487</v>
      </c>
      <c r="F235" s="10"/>
      <c r="G235" s="10" t="s">
        <v>2489</v>
      </c>
      <c r="H235" s="10" t="s">
        <v>481</v>
      </c>
      <c r="I235" s="14" t="b">
        <v>0</v>
      </c>
      <c r="J235" s="10" t="s">
        <v>83</v>
      </c>
      <c r="K235" s="10"/>
      <c r="L235" s="10"/>
      <c r="M235" s="10"/>
      <c r="N235" s="10"/>
      <c r="O235" s="10"/>
      <c r="P235" s="10"/>
      <c r="Q235" s="14" t="b">
        <v>1</v>
      </c>
      <c r="R235" s="10"/>
    </row>
    <row r="236">
      <c r="A236" s="10" t="s">
        <v>2495</v>
      </c>
      <c r="B236" s="10" t="s">
        <v>65</v>
      </c>
      <c r="C236" s="11">
        <v>45946.0</v>
      </c>
      <c r="D236" s="10" t="s">
        <v>751</v>
      </c>
      <c r="E236" s="10" t="s">
        <v>2499</v>
      </c>
      <c r="F236" s="10"/>
      <c r="G236" s="10" t="s">
        <v>2501</v>
      </c>
      <c r="H236" s="10" t="s">
        <v>481</v>
      </c>
      <c r="I236" s="14" t="b">
        <v>0</v>
      </c>
      <c r="J236" s="10" t="s">
        <v>83</v>
      </c>
      <c r="K236" s="10"/>
      <c r="L236" s="10"/>
      <c r="M236" s="10"/>
      <c r="N236" s="10"/>
      <c r="O236" s="10"/>
      <c r="P236" s="10"/>
      <c r="Q236" s="14" t="b">
        <v>1</v>
      </c>
      <c r="R236" s="10"/>
    </row>
    <row r="237">
      <c r="A237" s="10" t="s">
        <v>2505</v>
      </c>
      <c r="B237" s="10" t="s">
        <v>65</v>
      </c>
      <c r="C237" s="11">
        <v>45944.0</v>
      </c>
      <c r="D237" s="10" t="s">
        <v>131</v>
      </c>
      <c r="E237" s="10" t="s">
        <v>2508</v>
      </c>
      <c r="F237" s="10"/>
      <c r="G237" s="10" t="s">
        <v>2510</v>
      </c>
      <c r="H237" s="10" t="s">
        <v>171</v>
      </c>
      <c r="I237" s="14" t="b">
        <v>0</v>
      </c>
      <c r="J237" s="10" t="s">
        <v>83</v>
      </c>
      <c r="K237" s="10"/>
      <c r="L237" s="10" t="s">
        <v>2514</v>
      </c>
      <c r="M237" s="10" t="s">
        <v>2515</v>
      </c>
      <c r="N237" s="10"/>
      <c r="O237" s="10"/>
      <c r="P237" s="10"/>
      <c r="Q237" s="14" t="b">
        <v>1</v>
      </c>
      <c r="R237" s="10"/>
    </row>
    <row r="238">
      <c r="A238" s="10" t="s">
        <v>2518</v>
      </c>
      <c r="B238" s="10" t="s">
        <v>65</v>
      </c>
      <c r="C238" s="11">
        <v>45945.0</v>
      </c>
      <c r="D238" s="10" t="s">
        <v>131</v>
      </c>
      <c r="E238" s="10" t="s">
        <v>2520</v>
      </c>
      <c r="F238" s="10"/>
      <c r="G238" s="10" t="s">
        <v>2521</v>
      </c>
      <c r="H238" s="10" t="s">
        <v>136</v>
      </c>
      <c r="I238" s="14" t="b">
        <v>0</v>
      </c>
      <c r="J238" s="10" t="s">
        <v>83</v>
      </c>
      <c r="K238" s="10"/>
      <c r="L238" s="10"/>
      <c r="M238" s="10"/>
      <c r="N238" s="10"/>
      <c r="O238" s="10"/>
      <c r="P238" s="10"/>
      <c r="Q238" s="14" t="b">
        <v>1</v>
      </c>
      <c r="R238" s="10"/>
    </row>
    <row r="239">
      <c r="A239" s="10" t="s">
        <v>2527</v>
      </c>
      <c r="B239" s="10" t="s">
        <v>65</v>
      </c>
      <c r="C239" s="11">
        <v>45945.0</v>
      </c>
      <c r="D239" s="10" t="s">
        <v>131</v>
      </c>
      <c r="E239" s="10" t="s">
        <v>2520</v>
      </c>
      <c r="F239" s="10"/>
      <c r="G239" s="10" t="s">
        <v>2529</v>
      </c>
      <c r="H239" s="10" t="s">
        <v>136</v>
      </c>
      <c r="I239" s="14" t="b">
        <v>0</v>
      </c>
      <c r="J239" s="10" t="s">
        <v>83</v>
      </c>
      <c r="K239" s="10"/>
      <c r="L239" s="10" t="s">
        <v>2533</v>
      </c>
      <c r="M239" s="10" t="s">
        <v>2535</v>
      </c>
      <c r="N239" s="10"/>
      <c r="O239" s="10"/>
      <c r="P239" s="10"/>
      <c r="Q239" s="14" t="b">
        <v>1</v>
      </c>
      <c r="R239" s="10"/>
    </row>
    <row r="240">
      <c r="A240" s="10" t="s">
        <v>2539</v>
      </c>
      <c r="B240" s="10" t="s">
        <v>65</v>
      </c>
      <c r="C240" s="11">
        <v>45948.0</v>
      </c>
      <c r="D240" s="10" t="s">
        <v>189</v>
      </c>
      <c r="E240" s="10" t="s">
        <v>2542</v>
      </c>
      <c r="F240" s="10"/>
      <c r="G240" s="10" t="s">
        <v>2544</v>
      </c>
      <c r="H240" s="10" t="s">
        <v>195</v>
      </c>
      <c r="I240" s="14" t="b">
        <v>0</v>
      </c>
      <c r="J240" s="10" t="s">
        <v>83</v>
      </c>
      <c r="K240" s="10"/>
      <c r="L240" s="10"/>
      <c r="M240" s="10"/>
      <c r="N240" s="10"/>
      <c r="O240" s="10"/>
      <c r="P240" s="10"/>
      <c r="Q240" s="14" t="b">
        <v>1</v>
      </c>
      <c r="R240" s="10"/>
    </row>
    <row r="241">
      <c r="A241" s="10" t="s">
        <v>2550</v>
      </c>
      <c r="B241" s="10" t="s">
        <v>65</v>
      </c>
      <c r="C241" s="11">
        <v>45950.0</v>
      </c>
      <c r="D241" s="10" t="s">
        <v>153</v>
      </c>
      <c r="E241" s="10" t="s">
        <v>2552</v>
      </c>
      <c r="F241" s="10"/>
      <c r="G241" s="10" t="s">
        <v>2553</v>
      </c>
      <c r="H241" s="10" t="s">
        <v>157</v>
      </c>
      <c r="I241" s="14" t="b">
        <v>1</v>
      </c>
      <c r="J241" s="10" t="s">
        <v>83</v>
      </c>
      <c r="K241" s="10"/>
      <c r="L241" s="10"/>
      <c r="M241" s="10"/>
      <c r="N241" s="10"/>
      <c r="O241" s="10"/>
      <c r="P241" s="17">
        <v>1751214.0</v>
      </c>
      <c r="Q241" s="14" t="b">
        <v>1</v>
      </c>
      <c r="R241" s="10"/>
    </row>
    <row r="242">
      <c r="A242" s="10" t="s">
        <v>2558</v>
      </c>
      <c r="B242" s="10" t="s">
        <v>65</v>
      </c>
      <c r="C242" s="11">
        <v>45950.0</v>
      </c>
      <c r="D242" s="10" t="s">
        <v>163</v>
      </c>
      <c r="E242" s="10" t="s">
        <v>2560</v>
      </c>
      <c r="F242" s="10"/>
      <c r="G242" s="10" t="s">
        <v>2562</v>
      </c>
      <c r="H242" s="10" t="s">
        <v>157</v>
      </c>
      <c r="I242" s="14" t="b">
        <v>1</v>
      </c>
      <c r="J242" s="10" t="s">
        <v>83</v>
      </c>
      <c r="K242" s="10"/>
      <c r="L242" s="10"/>
      <c r="M242" s="10"/>
      <c r="N242" s="10"/>
      <c r="O242" s="10"/>
      <c r="P242" s="17">
        <v>1751211.0</v>
      </c>
      <c r="Q242" s="14" t="b">
        <v>1</v>
      </c>
      <c r="R242" s="10"/>
    </row>
    <row r="243">
      <c r="A243" s="10" t="s">
        <v>2565</v>
      </c>
      <c r="B243" s="10" t="s">
        <v>65</v>
      </c>
      <c r="C243" s="11">
        <v>45951.0</v>
      </c>
      <c r="D243" s="10" t="s">
        <v>557</v>
      </c>
      <c r="E243" s="10" t="s">
        <v>2568</v>
      </c>
      <c r="F243" s="10"/>
      <c r="G243" s="10" t="s">
        <v>2569</v>
      </c>
      <c r="H243" s="10" t="s">
        <v>965</v>
      </c>
      <c r="I243" s="14" t="b">
        <v>1</v>
      </c>
      <c r="J243" s="10" t="s">
        <v>83</v>
      </c>
      <c r="K243" s="10"/>
      <c r="L243" s="10"/>
      <c r="M243" s="10"/>
      <c r="N243" s="10"/>
      <c r="O243" s="10"/>
      <c r="P243" s="17">
        <v>1752123.0</v>
      </c>
      <c r="Q243" s="14" t="b">
        <v>1</v>
      </c>
      <c r="R243" s="10"/>
    </row>
    <row r="244">
      <c r="A244" s="10" t="s">
        <v>2572</v>
      </c>
      <c r="B244" s="10" t="s">
        <v>65</v>
      </c>
      <c r="C244" s="11">
        <v>45949.0</v>
      </c>
      <c r="D244" s="10" t="s">
        <v>1038</v>
      </c>
      <c r="E244" s="10" t="s">
        <v>2575</v>
      </c>
      <c r="F244" s="10"/>
      <c r="G244" s="10" t="s">
        <v>2576</v>
      </c>
      <c r="H244" s="10" t="s">
        <v>1992</v>
      </c>
      <c r="I244" s="14" t="b">
        <v>1</v>
      </c>
      <c r="J244" s="10" t="s">
        <v>83</v>
      </c>
      <c r="K244" s="10"/>
      <c r="L244" s="10"/>
      <c r="M244" s="10"/>
      <c r="N244" s="10"/>
      <c r="O244" s="10"/>
      <c r="P244" s="17">
        <v>1749507.0</v>
      </c>
      <c r="Q244" s="14" t="b">
        <v>1</v>
      </c>
      <c r="R244" s="10"/>
    </row>
    <row r="245">
      <c r="A245" s="10" t="s">
        <v>2581</v>
      </c>
      <c r="B245" s="10" t="s">
        <v>65</v>
      </c>
      <c r="C245" s="11">
        <v>45949.0</v>
      </c>
      <c r="D245" s="10" t="s">
        <v>785</v>
      </c>
      <c r="E245" s="10" t="s">
        <v>2582</v>
      </c>
      <c r="F245" s="10"/>
      <c r="G245" s="10" t="s">
        <v>2584</v>
      </c>
      <c r="H245" s="10" t="s">
        <v>2153</v>
      </c>
      <c r="I245" s="14" t="b">
        <v>1</v>
      </c>
      <c r="J245" s="10" t="s">
        <v>83</v>
      </c>
      <c r="K245" s="10"/>
      <c r="L245" s="10"/>
      <c r="M245" s="10"/>
      <c r="N245" s="10"/>
      <c r="O245" s="10"/>
      <c r="P245" s="17">
        <v>1749512.0</v>
      </c>
      <c r="Q245" s="14" t="b">
        <v>1</v>
      </c>
      <c r="R245" s="10"/>
    </row>
    <row r="246">
      <c r="A246" s="10" t="s">
        <v>2588</v>
      </c>
      <c r="B246" s="10" t="s">
        <v>65</v>
      </c>
      <c r="C246" s="11">
        <v>45953.0</v>
      </c>
      <c r="D246" s="10" t="s">
        <v>246</v>
      </c>
      <c r="E246" s="10" t="s">
        <v>2590</v>
      </c>
      <c r="F246" s="10"/>
      <c r="G246" s="10" t="s">
        <v>2591</v>
      </c>
      <c r="H246" s="10" t="s">
        <v>250</v>
      </c>
      <c r="I246" s="14" t="b">
        <v>0</v>
      </c>
      <c r="J246" s="10" t="s">
        <v>83</v>
      </c>
      <c r="K246" s="10"/>
      <c r="L246" s="10"/>
      <c r="M246" s="10"/>
      <c r="N246" s="10"/>
      <c r="O246" s="10"/>
      <c r="P246" s="10"/>
      <c r="Q246" s="14" t="b">
        <v>1</v>
      </c>
      <c r="R246" s="10"/>
    </row>
    <row r="247">
      <c r="A247" s="10" t="s">
        <v>2596</v>
      </c>
      <c r="B247" s="10" t="s">
        <v>65</v>
      </c>
      <c r="C247" s="11">
        <v>45954.0</v>
      </c>
      <c r="D247" s="10" t="s">
        <v>163</v>
      </c>
      <c r="E247" s="10" t="s">
        <v>2597</v>
      </c>
      <c r="F247" s="10"/>
      <c r="G247" s="10" t="s">
        <v>2598</v>
      </c>
      <c r="H247" s="10" t="s">
        <v>1010</v>
      </c>
      <c r="I247" s="14" t="b">
        <v>1</v>
      </c>
      <c r="J247" s="10" t="s">
        <v>83</v>
      </c>
      <c r="K247" s="10"/>
      <c r="L247" s="10"/>
      <c r="M247" s="10"/>
      <c r="N247" s="10"/>
      <c r="O247" s="10"/>
      <c r="P247" s="17">
        <v>1757709.0</v>
      </c>
      <c r="Q247" s="14" t="b">
        <v>1</v>
      </c>
      <c r="R247" s="10"/>
    </row>
    <row r="248">
      <c r="A248" s="10" t="s">
        <v>2602</v>
      </c>
      <c r="B248" s="10" t="s">
        <v>65</v>
      </c>
      <c r="C248" s="11">
        <v>45954.0</v>
      </c>
      <c r="D248" s="10" t="s">
        <v>983</v>
      </c>
      <c r="E248" s="10" t="s">
        <v>2603</v>
      </c>
      <c r="F248" s="10"/>
      <c r="G248" s="10" t="s">
        <v>2604</v>
      </c>
      <c r="H248" s="10" t="s">
        <v>2605</v>
      </c>
      <c r="I248" s="14" t="b">
        <v>1</v>
      </c>
      <c r="J248" s="10" t="s">
        <v>83</v>
      </c>
      <c r="K248" s="10"/>
      <c r="L248" s="10"/>
      <c r="M248" s="10"/>
      <c r="N248" s="10"/>
      <c r="O248" s="10"/>
      <c r="P248" s="17">
        <v>1757725.0</v>
      </c>
      <c r="Q248" s="14" t="b">
        <v>1</v>
      </c>
      <c r="R248" s="10"/>
    </row>
    <row r="249">
      <c r="A249" s="10" t="s">
        <v>2609</v>
      </c>
      <c r="B249" s="10" t="s">
        <v>65</v>
      </c>
      <c r="C249" s="11">
        <v>45954.0</v>
      </c>
      <c r="D249" s="10" t="s">
        <v>557</v>
      </c>
      <c r="E249" s="10" t="s">
        <v>2610</v>
      </c>
      <c r="F249" s="10"/>
      <c r="G249" s="10" t="s">
        <v>2613</v>
      </c>
      <c r="H249" s="10" t="s">
        <v>2614</v>
      </c>
      <c r="I249" s="14" t="b">
        <v>1</v>
      </c>
      <c r="J249" s="10" t="s">
        <v>83</v>
      </c>
      <c r="K249" s="10"/>
      <c r="L249" s="10"/>
      <c r="M249" s="10"/>
      <c r="N249" s="10"/>
      <c r="O249" s="10"/>
      <c r="P249" s="17">
        <v>1757723.0</v>
      </c>
      <c r="Q249" s="14" t="b">
        <v>1</v>
      </c>
      <c r="R249" s="10"/>
    </row>
    <row r="250">
      <c r="A250" s="10" t="s">
        <v>2618</v>
      </c>
      <c r="B250" s="10" t="s">
        <v>65</v>
      </c>
      <c r="C250" s="11">
        <v>45954.0</v>
      </c>
      <c r="D250" s="10" t="s">
        <v>202</v>
      </c>
      <c r="E250" s="10" t="s">
        <v>2620</v>
      </c>
      <c r="F250" s="10"/>
      <c r="G250" s="10" t="s">
        <v>2622</v>
      </c>
      <c r="H250" s="10" t="s">
        <v>481</v>
      </c>
      <c r="I250" s="14" t="b">
        <v>0</v>
      </c>
      <c r="J250" s="10" t="s">
        <v>83</v>
      </c>
      <c r="K250" s="10"/>
      <c r="L250" s="10"/>
      <c r="M250" s="10"/>
      <c r="N250" s="10"/>
      <c r="O250" s="10"/>
      <c r="P250" s="10"/>
      <c r="Q250" s="14" t="b">
        <v>1</v>
      </c>
      <c r="R250" s="10"/>
    </row>
    <row r="251">
      <c r="A251" s="10" t="s">
        <v>2625</v>
      </c>
      <c r="B251" s="10" t="s">
        <v>65</v>
      </c>
      <c r="C251" s="11">
        <v>45955.0</v>
      </c>
      <c r="D251" s="10" t="s">
        <v>227</v>
      </c>
      <c r="E251" s="10" t="s">
        <v>2628</v>
      </c>
      <c r="F251" s="10"/>
      <c r="G251" s="10" t="s">
        <v>2629</v>
      </c>
      <c r="H251" s="10" t="s">
        <v>2630</v>
      </c>
      <c r="I251" s="14" t="b">
        <v>1</v>
      </c>
      <c r="J251" s="10" t="s">
        <v>83</v>
      </c>
      <c r="K251" s="10"/>
      <c r="L251" s="10"/>
      <c r="M251" s="10"/>
      <c r="N251" s="10"/>
      <c r="O251" s="10"/>
      <c r="P251" s="17">
        <v>1759733.0</v>
      </c>
      <c r="Q251" s="14" t="b">
        <v>1</v>
      </c>
      <c r="R251" s="10"/>
    </row>
    <row r="252">
      <c r="A252" s="10" t="s">
        <v>2635</v>
      </c>
      <c r="B252" s="10" t="s">
        <v>65</v>
      </c>
      <c r="C252" s="11">
        <v>45955.0</v>
      </c>
      <c r="D252" s="10" t="s">
        <v>189</v>
      </c>
      <c r="E252" s="10" t="s">
        <v>2637</v>
      </c>
      <c r="F252" s="10"/>
      <c r="G252" s="10" t="s">
        <v>2638</v>
      </c>
      <c r="H252" s="10" t="s">
        <v>195</v>
      </c>
      <c r="I252" s="14" t="b">
        <v>0</v>
      </c>
      <c r="J252" s="10" t="s">
        <v>83</v>
      </c>
      <c r="K252" s="10"/>
      <c r="L252" s="10"/>
      <c r="M252" s="10"/>
      <c r="N252" s="10"/>
      <c r="O252" s="10"/>
      <c r="P252" s="10"/>
      <c r="Q252" s="14" t="b">
        <v>1</v>
      </c>
      <c r="R252" s="10"/>
    </row>
    <row r="253">
      <c r="A253" s="10" t="s">
        <v>2641</v>
      </c>
      <c r="B253" s="10" t="s">
        <v>65</v>
      </c>
      <c r="C253" s="11">
        <v>45957.0</v>
      </c>
      <c r="D253" s="10" t="s">
        <v>434</v>
      </c>
      <c r="E253" s="10" t="s">
        <v>2644</v>
      </c>
      <c r="F253" s="10"/>
      <c r="G253" s="10" t="s">
        <v>2646</v>
      </c>
      <c r="H253" s="10" t="s">
        <v>2648</v>
      </c>
      <c r="I253" s="14" t="b">
        <v>1</v>
      </c>
      <c r="J253" s="10" t="s">
        <v>382</v>
      </c>
      <c r="K253" s="10"/>
      <c r="L253" s="10"/>
      <c r="M253" s="10"/>
      <c r="N253" s="10"/>
      <c r="O253" s="10"/>
      <c r="P253" s="17">
        <v>1764468.0</v>
      </c>
      <c r="Q253" s="14" t="b">
        <v>1</v>
      </c>
      <c r="R253" s="10"/>
    </row>
    <row r="254">
      <c r="A254" s="10" t="s">
        <v>2652</v>
      </c>
      <c r="B254" s="10" t="s">
        <v>65</v>
      </c>
      <c r="C254" s="11">
        <v>45957.0</v>
      </c>
      <c r="D254" s="10" t="s">
        <v>557</v>
      </c>
      <c r="E254" s="10" t="s">
        <v>2654</v>
      </c>
      <c r="F254" s="10"/>
      <c r="G254" s="10" t="s">
        <v>2655</v>
      </c>
      <c r="H254" s="10" t="s">
        <v>2657</v>
      </c>
      <c r="I254" s="14" t="b">
        <v>1</v>
      </c>
      <c r="J254" s="10" t="s">
        <v>83</v>
      </c>
      <c r="K254" s="10"/>
      <c r="L254" s="10"/>
      <c r="M254" s="10"/>
      <c r="N254" s="10"/>
      <c r="O254" s="10"/>
      <c r="P254" s="17">
        <v>1764083.0</v>
      </c>
      <c r="Q254" s="14" t="b">
        <v>1</v>
      </c>
      <c r="R254" s="10"/>
    </row>
    <row r="255">
      <c r="A255" s="10" t="s">
        <v>2663</v>
      </c>
      <c r="B255" s="10" t="s">
        <v>65</v>
      </c>
      <c r="C255" s="11">
        <v>45956.0</v>
      </c>
      <c r="D255" s="10" t="s">
        <v>163</v>
      </c>
      <c r="E255" s="10" t="s">
        <v>2665</v>
      </c>
      <c r="F255" s="10"/>
      <c r="G255" s="10" t="s">
        <v>2667</v>
      </c>
      <c r="H255" s="10" t="s">
        <v>195</v>
      </c>
      <c r="I255" s="14" t="b">
        <v>1</v>
      </c>
      <c r="J255" s="10" t="s">
        <v>83</v>
      </c>
      <c r="K255" s="10"/>
      <c r="L255" s="10"/>
      <c r="M255" s="10"/>
      <c r="N255" s="10"/>
      <c r="O255" s="10"/>
      <c r="P255" s="17">
        <v>1762740.0</v>
      </c>
      <c r="Q255" s="14" t="b">
        <v>1</v>
      </c>
      <c r="R255" s="10"/>
    </row>
    <row r="256">
      <c r="A256" s="10" t="s">
        <v>2673</v>
      </c>
      <c r="B256" s="10" t="s">
        <v>65</v>
      </c>
      <c r="C256" s="11">
        <v>45957.0</v>
      </c>
      <c r="D256" s="10" t="s">
        <v>2675</v>
      </c>
      <c r="E256" s="10" t="s">
        <v>2676</v>
      </c>
      <c r="F256" s="10"/>
      <c r="G256" s="10" t="s">
        <v>2677</v>
      </c>
      <c r="H256" s="10" t="s">
        <v>2680</v>
      </c>
      <c r="I256" s="14" t="b">
        <v>1</v>
      </c>
      <c r="J256" s="10" t="s">
        <v>83</v>
      </c>
      <c r="K256" s="10"/>
      <c r="L256" s="10"/>
      <c r="M256" s="10"/>
      <c r="N256" s="10"/>
      <c r="O256" s="10"/>
      <c r="P256" s="17">
        <v>1764144.0</v>
      </c>
      <c r="Q256" s="14" t="b">
        <v>1</v>
      </c>
      <c r="R256" s="10"/>
    </row>
    <row r="257">
      <c r="A257" s="10" t="s">
        <v>2685</v>
      </c>
      <c r="B257" s="10" t="s">
        <v>65</v>
      </c>
      <c r="C257" s="11">
        <v>45954.0</v>
      </c>
      <c r="D257" s="10" t="s">
        <v>670</v>
      </c>
      <c r="E257" s="10" t="s">
        <v>2688</v>
      </c>
      <c r="F257" s="10"/>
      <c r="G257" s="10" t="s">
        <v>2690</v>
      </c>
      <c r="H257" s="10" t="s">
        <v>287</v>
      </c>
      <c r="I257" s="14" t="b">
        <v>0</v>
      </c>
      <c r="J257" s="10" t="s">
        <v>83</v>
      </c>
      <c r="K257" s="10"/>
      <c r="L257" s="10" t="s">
        <v>2692</v>
      </c>
      <c r="M257" s="10"/>
      <c r="N257" s="10"/>
      <c r="O257" s="10"/>
      <c r="P257" s="10"/>
      <c r="Q257" s="14" t="b">
        <v>1</v>
      </c>
      <c r="R257" s="10"/>
    </row>
    <row r="258">
      <c r="A258" s="10" t="s">
        <v>2698</v>
      </c>
      <c r="B258" s="10" t="s">
        <v>65</v>
      </c>
      <c r="C258" s="11">
        <v>45957.0</v>
      </c>
      <c r="D258" s="10" t="s">
        <v>1038</v>
      </c>
      <c r="E258" s="10" t="s">
        <v>2700</v>
      </c>
      <c r="F258" s="10"/>
      <c r="G258" s="10" t="s">
        <v>2701</v>
      </c>
      <c r="H258" s="10" t="s">
        <v>2703</v>
      </c>
      <c r="I258" s="14" t="b">
        <v>1</v>
      </c>
      <c r="J258" s="10" t="s">
        <v>83</v>
      </c>
      <c r="K258" s="10"/>
      <c r="L258" s="10"/>
      <c r="M258" s="10"/>
      <c r="N258" s="10"/>
      <c r="O258" s="10"/>
      <c r="P258" s="17">
        <v>1764423.0</v>
      </c>
      <c r="Q258" s="14" t="b">
        <v>1</v>
      </c>
      <c r="R258" s="10"/>
    </row>
    <row r="259">
      <c r="A259" s="10" t="s">
        <v>2709</v>
      </c>
      <c r="B259" s="10" t="s">
        <v>65</v>
      </c>
      <c r="C259" s="11">
        <v>45958.0</v>
      </c>
      <c r="D259" s="10" t="s">
        <v>557</v>
      </c>
      <c r="E259" s="10" t="s">
        <v>2713</v>
      </c>
      <c r="F259" s="10"/>
      <c r="G259" s="10" t="s">
        <v>2715</v>
      </c>
      <c r="H259" s="10" t="s">
        <v>2716</v>
      </c>
      <c r="I259" s="14" t="b">
        <v>1</v>
      </c>
      <c r="J259" s="10" t="s">
        <v>83</v>
      </c>
      <c r="K259" s="10"/>
      <c r="L259" s="10"/>
      <c r="M259" s="10"/>
      <c r="N259" s="10"/>
      <c r="O259" s="10"/>
      <c r="P259" s="17">
        <v>1765667.0</v>
      </c>
      <c r="Q259" s="14" t="b">
        <v>1</v>
      </c>
      <c r="R259" s="10"/>
    </row>
    <row r="260">
      <c r="A260" s="10" t="s">
        <v>2721</v>
      </c>
      <c r="B260" s="10" t="s">
        <v>65</v>
      </c>
      <c r="C260" s="11">
        <v>45958.0</v>
      </c>
      <c r="D260" s="10" t="s">
        <v>434</v>
      </c>
      <c r="E260" s="10" t="s">
        <v>2725</v>
      </c>
      <c r="F260" s="10"/>
      <c r="G260" s="10" t="s">
        <v>2726</v>
      </c>
      <c r="H260" s="10" t="s">
        <v>2727</v>
      </c>
      <c r="I260" s="14" t="b">
        <v>1</v>
      </c>
      <c r="J260" s="10" t="s">
        <v>83</v>
      </c>
      <c r="K260" s="10"/>
      <c r="L260" s="10"/>
      <c r="M260" s="10"/>
      <c r="N260" s="10"/>
      <c r="O260" s="10"/>
      <c r="P260" s="17">
        <v>1765671.0</v>
      </c>
      <c r="Q260" s="14" t="b">
        <v>1</v>
      </c>
      <c r="R260" s="10"/>
    </row>
    <row r="261">
      <c r="A261" s="10" t="s">
        <v>2733</v>
      </c>
      <c r="B261" s="10" t="s">
        <v>65</v>
      </c>
      <c r="C261" s="11">
        <v>45959.0</v>
      </c>
      <c r="D261" s="10" t="s">
        <v>2736</v>
      </c>
      <c r="E261" s="10" t="s">
        <v>2738</v>
      </c>
      <c r="F261" s="10"/>
      <c r="G261" s="10" t="s">
        <v>2740</v>
      </c>
      <c r="H261" s="10" t="s">
        <v>2741</v>
      </c>
      <c r="I261" s="14" t="b">
        <v>0</v>
      </c>
      <c r="J261" s="10" t="s">
        <v>83</v>
      </c>
      <c r="K261" s="10"/>
      <c r="L261" s="10" t="s">
        <v>2743</v>
      </c>
      <c r="M261" s="10" t="s">
        <v>2744</v>
      </c>
      <c r="N261" s="10" t="s">
        <v>2745</v>
      </c>
      <c r="O261" s="10"/>
      <c r="P261" s="10"/>
      <c r="Q261" s="14" t="b">
        <v>1</v>
      </c>
      <c r="R261" s="10"/>
    </row>
    <row r="262">
      <c r="A262" s="10" t="s">
        <v>2748</v>
      </c>
      <c r="B262" s="10" t="s">
        <v>65</v>
      </c>
      <c r="C262" s="11">
        <v>45959.0</v>
      </c>
      <c r="D262" s="10" t="s">
        <v>163</v>
      </c>
      <c r="E262" s="10" t="s">
        <v>2751</v>
      </c>
      <c r="F262" s="10"/>
      <c r="G262" s="10" t="s">
        <v>2752</v>
      </c>
      <c r="H262" s="10" t="s">
        <v>2753</v>
      </c>
      <c r="I262" s="14" t="b">
        <v>1</v>
      </c>
      <c r="J262" s="10" t="s">
        <v>83</v>
      </c>
      <c r="K262" s="10"/>
      <c r="L262" s="10"/>
      <c r="M262" s="10"/>
      <c r="N262" s="10"/>
      <c r="O262" s="10"/>
      <c r="P262" s="17">
        <v>1766977.0</v>
      </c>
      <c r="Q262" s="14" t="b">
        <v>1</v>
      </c>
      <c r="R262" s="10"/>
    </row>
    <row r="263">
      <c r="A263" s="10" t="s">
        <v>2761</v>
      </c>
      <c r="B263" s="10" t="s">
        <v>65</v>
      </c>
      <c r="C263" s="11">
        <v>45960.0</v>
      </c>
      <c r="D263" s="10" t="s">
        <v>2736</v>
      </c>
      <c r="E263" s="10" t="s">
        <v>2763</v>
      </c>
      <c r="F263" s="10"/>
      <c r="G263" s="10" t="s">
        <v>2764</v>
      </c>
      <c r="H263" s="10" t="s">
        <v>2741</v>
      </c>
      <c r="I263" s="14" t="b">
        <v>0</v>
      </c>
      <c r="J263" s="10" t="s">
        <v>83</v>
      </c>
      <c r="K263" s="10"/>
      <c r="L263" s="10"/>
      <c r="M263" s="10"/>
      <c r="N263" s="10"/>
      <c r="O263" s="10"/>
      <c r="P263" s="10"/>
      <c r="Q263" s="14" t="b">
        <v>1</v>
      </c>
      <c r="R263" s="10"/>
    </row>
    <row r="264">
      <c r="A264" s="10" t="s">
        <v>2769</v>
      </c>
      <c r="B264" s="10" t="s">
        <v>65</v>
      </c>
      <c r="C264" s="11">
        <v>45961.0</v>
      </c>
      <c r="D264" s="10" t="s">
        <v>163</v>
      </c>
      <c r="E264" s="10" t="s">
        <v>2771</v>
      </c>
      <c r="F264" s="10"/>
      <c r="G264" s="10" t="s">
        <v>2773</v>
      </c>
      <c r="H264" s="10" t="s">
        <v>2774</v>
      </c>
      <c r="I264" s="14" t="b">
        <v>1</v>
      </c>
      <c r="J264" s="10" t="s">
        <v>83</v>
      </c>
      <c r="K264" s="10"/>
      <c r="L264" s="10"/>
      <c r="M264" s="10"/>
      <c r="N264" s="10"/>
      <c r="O264" s="10"/>
      <c r="P264" s="17">
        <v>1770099.0</v>
      </c>
      <c r="Q264" s="14" t="b">
        <v>1</v>
      </c>
      <c r="R264" s="10"/>
    </row>
    <row r="265">
      <c r="A265" s="10" t="s">
        <v>2778</v>
      </c>
      <c r="B265" s="10" t="s">
        <v>65</v>
      </c>
      <c r="C265" s="11">
        <v>45961.0</v>
      </c>
      <c r="D265" s="10" t="s">
        <v>246</v>
      </c>
      <c r="E265" s="10" t="s">
        <v>2780</v>
      </c>
      <c r="F265" s="10"/>
      <c r="G265" s="10" t="s">
        <v>2782</v>
      </c>
      <c r="H265" s="10" t="s">
        <v>2657</v>
      </c>
      <c r="I265" s="14" t="b">
        <v>1</v>
      </c>
      <c r="J265" s="10" t="s">
        <v>83</v>
      </c>
      <c r="K265" s="10"/>
      <c r="L265" s="10"/>
      <c r="M265" s="10"/>
      <c r="N265" s="10"/>
      <c r="O265" s="10"/>
      <c r="P265" s="17">
        <v>1770076.0</v>
      </c>
      <c r="Q265" s="14" t="b">
        <v>1</v>
      </c>
      <c r="R265" s="10"/>
    </row>
    <row r="266">
      <c r="A266" s="10" t="s">
        <v>2786</v>
      </c>
      <c r="B266" s="10" t="s">
        <v>65</v>
      </c>
      <c r="C266" s="11">
        <v>45961.0</v>
      </c>
      <c r="D266" s="10" t="s">
        <v>246</v>
      </c>
      <c r="E266" s="10" t="s">
        <v>2789</v>
      </c>
      <c r="F266" s="10"/>
      <c r="G266" s="10" t="s">
        <v>2791</v>
      </c>
      <c r="H266" s="10" t="s">
        <v>2792</v>
      </c>
      <c r="I266" s="14" t="b">
        <v>1</v>
      </c>
      <c r="J266" s="10" t="s">
        <v>83</v>
      </c>
      <c r="K266" s="10"/>
      <c r="L266" s="10" t="s">
        <v>2794</v>
      </c>
      <c r="M266" s="10"/>
      <c r="N266" s="10"/>
      <c r="O266" s="10"/>
      <c r="P266" s="17">
        <v>1770075.0</v>
      </c>
      <c r="Q266" s="14" t="b">
        <v>1</v>
      </c>
      <c r="R266" s="10"/>
    </row>
    <row r="267">
      <c r="A267" s="10" t="s">
        <v>2799</v>
      </c>
      <c r="B267" s="10" t="s">
        <v>65</v>
      </c>
      <c r="C267" s="11">
        <v>45958.0</v>
      </c>
      <c r="D267" s="10" t="s">
        <v>131</v>
      </c>
      <c r="E267" s="10" t="s">
        <v>2800</v>
      </c>
      <c r="F267" s="10"/>
      <c r="G267" s="10" t="s">
        <v>2801</v>
      </c>
      <c r="H267" s="10" t="s">
        <v>2803</v>
      </c>
      <c r="I267" s="14" t="b">
        <v>0</v>
      </c>
      <c r="J267" s="10" t="s">
        <v>83</v>
      </c>
      <c r="K267" s="10"/>
      <c r="L267" s="10"/>
      <c r="M267" s="10"/>
      <c r="N267" s="10"/>
      <c r="O267" s="10"/>
      <c r="P267" s="10"/>
      <c r="Q267" s="14" t="b">
        <v>1</v>
      </c>
      <c r="R267" s="10"/>
    </row>
    <row r="268">
      <c r="A268" s="10" t="s">
        <v>2809</v>
      </c>
      <c r="B268" s="10" t="s">
        <v>65</v>
      </c>
      <c r="C268" s="11">
        <v>45958.0</v>
      </c>
      <c r="D268" s="10" t="s">
        <v>131</v>
      </c>
      <c r="E268" s="10" t="s">
        <v>2812</v>
      </c>
      <c r="F268" s="10"/>
      <c r="G268" s="10" t="s">
        <v>2814</v>
      </c>
      <c r="H268" s="10" t="s">
        <v>171</v>
      </c>
      <c r="I268" s="14" t="b">
        <v>0</v>
      </c>
      <c r="J268" s="10" t="s">
        <v>83</v>
      </c>
      <c r="K268" s="10"/>
      <c r="L268" s="10" t="s">
        <v>2816</v>
      </c>
      <c r="M268" s="10"/>
      <c r="N268" s="10"/>
      <c r="O268" s="10"/>
      <c r="P268" s="10"/>
      <c r="Q268" s="14" t="b">
        <v>1</v>
      </c>
      <c r="R268" s="10"/>
    </row>
    <row r="269">
      <c r="A269" s="10" t="s">
        <v>2821</v>
      </c>
      <c r="B269" s="10" t="s">
        <v>65</v>
      </c>
      <c r="C269" s="11">
        <v>45959.0</v>
      </c>
      <c r="D269" s="10" t="s">
        <v>131</v>
      </c>
      <c r="E269" s="10" t="s">
        <v>2824</v>
      </c>
      <c r="F269" s="10"/>
      <c r="G269" s="10" t="s">
        <v>2826</v>
      </c>
      <c r="H269" s="10" t="s">
        <v>136</v>
      </c>
      <c r="I269" s="14" t="b">
        <v>0</v>
      </c>
      <c r="J269" s="10" t="s">
        <v>83</v>
      </c>
      <c r="K269" s="10"/>
      <c r="L269" s="10" t="s">
        <v>2829</v>
      </c>
      <c r="M269" s="10" t="s">
        <v>2831</v>
      </c>
      <c r="N269" s="10"/>
      <c r="O269" s="10"/>
      <c r="P269" s="10"/>
      <c r="Q269" s="14" t="b">
        <v>1</v>
      </c>
      <c r="R269" s="10"/>
    </row>
    <row r="270">
      <c r="A270" s="10" t="s">
        <v>2835</v>
      </c>
      <c r="B270" s="10" t="s">
        <v>65</v>
      </c>
      <c r="C270" s="11">
        <v>45962.0</v>
      </c>
      <c r="D270" s="10" t="s">
        <v>2839</v>
      </c>
      <c r="E270" s="10" t="s">
        <v>2842</v>
      </c>
      <c r="F270" s="10"/>
      <c r="G270" s="10" t="s">
        <v>2843</v>
      </c>
      <c r="H270" s="10" t="s">
        <v>2846</v>
      </c>
      <c r="I270" s="14" t="b">
        <v>1</v>
      </c>
      <c r="J270" s="10" t="s">
        <v>83</v>
      </c>
      <c r="K270" s="10"/>
      <c r="L270" s="10"/>
      <c r="M270" s="10"/>
      <c r="N270" s="10"/>
      <c r="O270" s="10"/>
      <c r="P270" s="17">
        <v>1771732.0</v>
      </c>
      <c r="Q270" s="14" t="b">
        <v>1</v>
      </c>
      <c r="R270" s="10"/>
    </row>
    <row r="271">
      <c r="A271" s="10" t="s">
        <v>2853</v>
      </c>
      <c r="B271" s="10" t="s">
        <v>65</v>
      </c>
      <c r="C271" s="11">
        <v>45962.0</v>
      </c>
      <c r="D271" s="10" t="s">
        <v>2856</v>
      </c>
      <c r="E271" s="10" t="s">
        <v>2858</v>
      </c>
      <c r="F271" s="10"/>
      <c r="G271" s="10" t="s">
        <v>2859</v>
      </c>
      <c r="H271" s="10" t="s">
        <v>2861</v>
      </c>
      <c r="I271" s="14" t="b">
        <v>1</v>
      </c>
      <c r="J271" s="10" t="s">
        <v>83</v>
      </c>
      <c r="K271" s="10"/>
      <c r="L271" s="10"/>
      <c r="M271" s="10"/>
      <c r="N271" s="10"/>
      <c r="O271" s="10"/>
      <c r="P271" s="17">
        <v>1771774.0</v>
      </c>
      <c r="Q271" s="14" t="b">
        <v>1</v>
      </c>
      <c r="R271" s="10"/>
    </row>
    <row r="272">
      <c r="A272" s="10" t="s">
        <v>2866</v>
      </c>
      <c r="B272" s="10" t="s">
        <v>65</v>
      </c>
      <c r="C272" s="11">
        <v>45962.0</v>
      </c>
      <c r="D272" s="10" t="s">
        <v>1888</v>
      </c>
      <c r="E272" s="10" t="s">
        <v>2868</v>
      </c>
      <c r="F272" s="10"/>
      <c r="G272" s="10" t="s">
        <v>2870</v>
      </c>
      <c r="H272" s="10" t="s">
        <v>149</v>
      </c>
      <c r="I272" s="14" t="b">
        <v>1</v>
      </c>
      <c r="J272" s="10" t="s">
        <v>83</v>
      </c>
      <c r="K272" s="10"/>
      <c r="L272" s="10"/>
      <c r="M272" s="10"/>
      <c r="N272" s="10"/>
      <c r="O272" s="10"/>
      <c r="P272" s="17">
        <v>1771094.0</v>
      </c>
      <c r="Q272" s="14" t="b">
        <v>1</v>
      </c>
      <c r="R272" s="10"/>
    </row>
    <row r="273">
      <c r="A273" s="10" t="s">
        <v>2872</v>
      </c>
      <c r="B273" s="10" t="s">
        <v>65</v>
      </c>
      <c r="C273" s="11">
        <v>45960.0</v>
      </c>
      <c r="D273" s="10" t="s">
        <v>751</v>
      </c>
      <c r="E273" s="10" t="s">
        <v>2874</v>
      </c>
      <c r="F273" s="10"/>
      <c r="G273" s="10" t="s">
        <v>2875</v>
      </c>
      <c r="H273" s="10" t="s">
        <v>481</v>
      </c>
      <c r="I273" s="14" t="b">
        <v>0</v>
      </c>
      <c r="J273" s="10" t="s">
        <v>83</v>
      </c>
      <c r="K273" s="10"/>
      <c r="L273" s="10"/>
      <c r="M273" s="10"/>
      <c r="N273" s="10"/>
      <c r="O273" s="10"/>
      <c r="P273" s="10"/>
      <c r="Q273" s="14" t="b">
        <v>1</v>
      </c>
      <c r="R273" s="10"/>
    </row>
    <row r="274">
      <c r="A274" s="10" t="s">
        <v>2879</v>
      </c>
      <c r="B274" s="10" t="s">
        <v>65</v>
      </c>
      <c r="C274" s="11">
        <v>45960.0</v>
      </c>
      <c r="D274" s="10" t="s">
        <v>202</v>
      </c>
      <c r="E274" s="10" t="s">
        <v>2882</v>
      </c>
      <c r="F274" s="10"/>
      <c r="G274" s="10" t="s">
        <v>2883</v>
      </c>
      <c r="H274" s="10" t="s">
        <v>481</v>
      </c>
      <c r="I274" s="14" t="b">
        <v>0</v>
      </c>
      <c r="J274" s="10" t="s">
        <v>83</v>
      </c>
      <c r="K274" s="10"/>
      <c r="L274" s="10"/>
      <c r="M274" s="10"/>
      <c r="N274" s="10"/>
      <c r="O274" s="10"/>
      <c r="P274" s="10"/>
      <c r="Q274" s="14" t="b">
        <v>1</v>
      </c>
      <c r="R274" s="10"/>
    </row>
    <row r="275">
      <c r="A275" s="10" t="s">
        <v>2888</v>
      </c>
      <c r="B275" s="10" t="s">
        <v>65</v>
      </c>
      <c r="C275" s="11">
        <v>45961.0</v>
      </c>
      <c r="D275" s="10" t="s">
        <v>189</v>
      </c>
      <c r="E275" s="10" t="s">
        <v>2890</v>
      </c>
      <c r="F275" s="10"/>
      <c r="G275" s="10" t="s">
        <v>2891</v>
      </c>
      <c r="H275" s="10" t="s">
        <v>195</v>
      </c>
      <c r="I275" s="14" t="b">
        <v>0</v>
      </c>
      <c r="J275" s="10" t="s">
        <v>83</v>
      </c>
      <c r="K275" s="10"/>
      <c r="L275" s="10"/>
      <c r="M275" s="10"/>
      <c r="N275" s="10"/>
      <c r="O275" s="10"/>
      <c r="P275" s="10"/>
      <c r="Q275" s="14" t="b">
        <v>1</v>
      </c>
      <c r="R275" s="10"/>
    </row>
    <row r="276">
      <c r="A276" s="10" t="s">
        <v>2894</v>
      </c>
      <c r="B276" s="10" t="s">
        <v>65</v>
      </c>
      <c r="C276" s="11">
        <v>45963.0</v>
      </c>
      <c r="D276" s="10" t="s">
        <v>2895</v>
      </c>
      <c r="E276" s="10" t="s">
        <v>2897</v>
      </c>
      <c r="F276" s="10"/>
      <c r="G276" s="10" t="s">
        <v>2899</v>
      </c>
      <c r="H276" s="10" t="s">
        <v>2901</v>
      </c>
      <c r="I276" s="14" t="b">
        <v>1</v>
      </c>
      <c r="J276" s="10" t="s">
        <v>83</v>
      </c>
      <c r="K276" s="10"/>
      <c r="L276" s="10"/>
      <c r="M276" s="10"/>
      <c r="N276" s="10"/>
      <c r="O276" s="10"/>
      <c r="P276" s="17">
        <v>1774382.0</v>
      </c>
      <c r="Q276" s="14" t="b">
        <v>1</v>
      </c>
      <c r="R276" s="10"/>
    </row>
    <row r="277">
      <c r="A277" s="10" t="s">
        <v>2904</v>
      </c>
      <c r="B277" s="10" t="s">
        <v>65</v>
      </c>
      <c r="C277" s="11">
        <v>45963.0</v>
      </c>
      <c r="D277" s="10" t="s">
        <v>2856</v>
      </c>
      <c r="E277" s="10" t="s">
        <v>2906</v>
      </c>
      <c r="F277" s="10"/>
      <c r="G277" s="10" t="s">
        <v>2909</v>
      </c>
      <c r="H277" s="10" t="s">
        <v>2910</v>
      </c>
      <c r="I277" s="14" t="b">
        <v>1</v>
      </c>
      <c r="J277" s="10" t="s">
        <v>83</v>
      </c>
      <c r="K277" s="10"/>
      <c r="L277" s="10"/>
      <c r="M277" s="10"/>
      <c r="N277" s="10"/>
      <c r="O277" s="10"/>
      <c r="P277" s="17">
        <v>1774647.0</v>
      </c>
      <c r="Q277" s="14" t="b">
        <v>1</v>
      </c>
      <c r="R277" s="10"/>
    </row>
    <row r="278">
      <c r="A278" s="10" t="s">
        <v>2914</v>
      </c>
      <c r="B278" s="10" t="s">
        <v>65</v>
      </c>
      <c r="C278" s="11">
        <v>45963.0</v>
      </c>
      <c r="D278" s="10" t="s">
        <v>1038</v>
      </c>
      <c r="E278" s="10" t="s">
        <v>2916</v>
      </c>
      <c r="F278" s="10"/>
      <c r="G278" s="10" t="s">
        <v>2917</v>
      </c>
      <c r="H278" s="10" t="s">
        <v>1992</v>
      </c>
      <c r="I278" s="14" t="b">
        <v>1</v>
      </c>
      <c r="J278" s="10" t="s">
        <v>83</v>
      </c>
      <c r="K278" s="10"/>
      <c r="L278" s="10"/>
      <c r="M278" s="10"/>
      <c r="N278" s="10"/>
      <c r="O278" s="10"/>
      <c r="P278" s="17">
        <v>1774490.0</v>
      </c>
      <c r="Q278" s="14" t="b">
        <v>1</v>
      </c>
      <c r="R278" s="10"/>
    </row>
    <row r="279">
      <c r="A279" s="10" t="s">
        <v>2922</v>
      </c>
      <c r="B279" s="10" t="s">
        <v>65</v>
      </c>
      <c r="C279" s="11">
        <v>45931.0</v>
      </c>
      <c r="D279" s="10" t="s">
        <v>775</v>
      </c>
      <c r="E279" s="10" t="s">
        <v>2925</v>
      </c>
      <c r="F279" s="10"/>
      <c r="G279" s="10" t="s">
        <v>2927</v>
      </c>
      <c r="H279" s="10" t="s">
        <v>2929</v>
      </c>
      <c r="I279" s="14" t="b">
        <v>0</v>
      </c>
      <c r="J279" s="10" t="s">
        <v>83</v>
      </c>
      <c r="K279" s="10"/>
      <c r="L279" s="10"/>
      <c r="M279" s="10"/>
      <c r="N279" s="10"/>
      <c r="O279" s="10"/>
      <c r="P279" s="10"/>
      <c r="Q279" s="14" t="b">
        <v>1</v>
      </c>
      <c r="R279" s="10"/>
    </row>
    <row r="280">
      <c r="A280" s="10" t="s">
        <v>2932</v>
      </c>
      <c r="B280" s="10" t="s">
        <v>65</v>
      </c>
      <c r="C280" s="11">
        <v>45966.0</v>
      </c>
      <c r="D280" s="10" t="s">
        <v>153</v>
      </c>
      <c r="E280" s="10" t="s">
        <v>2935</v>
      </c>
      <c r="F280" s="10"/>
      <c r="G280" s="10" t="s">
        <v>2936</v>
      </c>
      <c r="H280" s="10" t="s">
        <v>529</v>
      </c>
      <c r="I280" s="14" t="b">
        <v>1</v>
      </c>
      <c r="J280" s="10" t="s">
        <v>83</v>
      </c>
      <c r="K280" s="10"/>
      <c r="L280" s="10"/>
      <c r="M280" s="10"/>
      <c r="N280" s="10"/>
      <c r="O280" s="10"/>
      <c r="P280" s="17">
        <v>1779744.0</v>
      </c>
      <c r="Q280" s="14" t="b">
        <v>1</v>
      </c>
      <c r="R280" s="10"/>
    </row>
    <row r="281">
      <c r="A281" s="10" t="s">
        <v>2941</v>
      </c>
      <c r="B281" s="10" t="s">
        <v>65</v>
      </c>
      <c r="C281" s="11">
        <v>45966.0</v>
      </c>
      <c r="D281" s="10" t="s">
        <v>434</v>
      </c>
      <c r="E281" s="10" t="s">
        <v>2943</v>
      </c>
      <c r="F281" s="10"/>
      <c r="G281" s="10" t="s">
        <v>2944</v>
      </c>
      <c r="H281" s="10" t="s">
        <v>2946</v>
      </c>
      <c r="I281" s="14" t="b">
        <v>1</v>
      </c>
      <c r="J281" s="10" t="s">
        <v>83</v>
      </c>
      <c r="K281" s="10"/>
      <c r="L281" s="10"/>
      <c r="M281" s="10"/>
      <c r="N281" s="10"/>
      <c r="O281" s="10"/>
      <c r="P281" s="17">
        <v>1779755.0</v>
      </c>
      <c r="Q281" s="14" t="b">
        <v>1</v>
      </c>
      <c r="R281" s="10"/>
    </row>
    <row r="282">
      <c r="A282" s="10" t="s">
        <v>2953</v>
      </c>
      <c r="B282" s="10" t="s">
        <v>65</v>
      </c>
      <c r="C282" s="11">
        <v>45965.0</v>
      </c>
      <c r="D282" s="10" t="s">
        <v>1888</v>
      </c>
      <c r="E282" s="10" t="s">
        <v>2955</v>
      </c>
      <c r="F282" s="10"/>
      <c r="G282" s="10" t="s">
        <v>2956</v>
      </c>
      <c r="H282" s="10" t="s">
        <v>149</v>
      </c>
      <c r="I282" s="14" t="b">
        <v>0</v>
      </c>
      <c r="J282" s="10" t="s">
        <v>83</v>
      </c>
      <c r="K282" s="10"/>
      <c r="L282" s="10"/>
      <c r="M282" s="10"/>
      <c r="N282" s="10"/>
      <c r="O282" s="10"/>
      <c r="P282" s="10"/>
      <c r="Q282" s="14" t="b">
        <v>1</v>
      </c>
      <c r="R282" s="10"/>
    </row>
    <row r="283">
      <c r="A283" s="10" t="s">
        <v>2960</v>
      </c>
      <c r="B283" s="10" t="s">
        <v>65</v>
      </c>
      <c r="C283" s="11">
        <v>45965.0</v>
      </c>
      <c r="D283" s="10" t="s">
        <v>189</v>
      </c>
      <c r="E283" s="10" t="s">
        <v>2962</v>
      </c>
      <c r="F283" s="10"/>
      <c r="G283" s="10" t="s">
        <v>2963</v>
      </c>
      <c r="H283" s="10" t="s">
        <v>195</v>
      </c>
      <c r="I283" s="14" t="b">
        <v>0</v>
      </c>
      <c r="J283" s="10" t="s">
        <v>83</v>
      </c>
      <c r="K283" s="10"/>
      <c r="L283" s="10"/>
      <c r="M283" s="10"/>
      <c r="N283" s="10"/>
      <c r="O283" s="10"/>
      <c r="P283" s="10"/>
      <c r="Q283" s="14" t="b">
        <v>1</v>
      </c>
      <c r="R283" s="10"/>
    </row>
    <row r="284">
      <c r="A284" s="10" t="s">
        <v>2968</v>
      </c>
      <c r="B284" s="10" t="s">
        <v>65</v>
      </c>
      <c r="C284" s="11">
        <v>45967.0</v>
      </c>
      <c r="D284" s="10" t="s">
        <v>1038</v>
      </c>
      <c r="E284" s="10" t="s">
        <v>2971</v>
      </c>
      <c r="F284" s="10"/>
      <c r="G284" s="10" t="s">
        <v>2972</v>
      </c>
      <c r="H284" s="10" t="s">
        <v>1992</v>
      </c>
      <c r="I284" s="14" t="b">
        <v>1</v>
      </c>
      <c r="J284" s="10" t="s">
        <v>83</v>
      </c>
      <c r="K284" s="10"/>
      <c r="L284" s="10"/>
      <c r="M284" s="10"/>
      <c r="N284" s="10"/>
      <c r="O284" s="10"/>
      <c r="P284" s="17">
        <v>1781792.0</v>
      </c>
      <c r="Q284" s="14" t="b">
        <v>1</v>
      </c>
      <c r="R284" s="10"/>
    </row>
    <row r="285">
      <c r="A285" s="10" t="s">
        <v>2978</v>
      </c>
      <c r="B285" s="10" t="s">
        <v>65</v>
      </c>
      <c r="C285" s="11">
        <v>45965.0</v>
      </c>
      <c r="D285" s="10" t="s">
        <v>202</v>
      </c>
      <c r="E285" s="10" t="s">
        <v>2979</v>
      </c>
      <c r="F285" s="10"/>
      <c r="G285" s="10" t="s">
        <v>2981</v>
      </c>
      <c r="H285" s="10" t="s">
        <v>481</v>
      </c>
      <c r="I285" s="14" t="b">
        <v>0</v>
      </c>
      <c r="J285" s="10" t="s">
        <v>83</v>
      </c>
      <c r="K285" s="10"/>
      <c r="L285" s="10"/>
      <c r="M285" s="10"/>
      <c r="N285" s="10"/>
      <c r="O285" s="10"/>
      <c r="P285" s="192"/>
      <c r="Q285" s="14" t="b">
        <v>1</v>
      </c>
      <c r="R285" s="10"/>
    </row>
    <row r="286">
      <c r="A286" s="10" t="s">
        <v>2986</v>
      </c>
      <c r="B286" s="10" t="s">
        <v>65</v>
      </c>
      <c r="C286" s="11">
        <v>45965.0</v>
      </c>
      <c r="D286" s="10" t="s">
        <v>163</v>
      </c>
      <c r="E286" s="10" t="s">
        <v>2989</v>
      </c>
      <c r="F286" s="10"/>
      <c r="G286" s="10" t="s">
        <v>2990</v>
      </c>
      <c r="H286" s="10" t="s">
        <v>195</v>
      </c>
      <c r="I286" s="14" t="b">
        <v>1</v>
      </c>
      <c r="J286" s="10" t="s">
        <v>83</v>
      </c>
      <c r="K286" s="10"/>
      <c r="L286" s="10"/>
      <c r="M286" s="10"/>
      <c r="N286" s="10"/>
      <c r="O286" s="10"/>
      <c r="P286" s="17">
        <v>1777578.0</v>
      </c>
      <c r="Q286" s="14" t="b">
        <v>1</v>
      </c>
      <c r="R286" s="10"/>
    </row>
    <row r="287">
      <c r="A287" s="10" t="s">
        <v>2993</v>
      </c>
      <c r="B287" s="10" t="s">
        <v>65</v>
      </c>
      <c r="C287" s="11">
        <v>45967.0</v>
      </c>
      <c r="D287" s="10" t="s">
        <v>153</v>
      </c>
      <c r="E287" s="10" t="s">
        <v>2995</v>
      </c>
      <c r="F287" s="10"/>
      <c r="G287" s="10" t="s">
        <v>2997</v>
      </c>
      <c r="H287" s="10" t="s">
        <v>529</v>
      </c>
      <c r="I287" s="14" t="b">
        <v>1</v>
      </c>
      <c r="J287" s="10" t="s">
        <v>83</v>
      </c>
      <c r="K287" s="10"/>
      <c r="L287" s="10"/>
      <c r="M287" s="10"/>
      <c r="N287" s="10"/>
      <c r="O287" s="10"/>
      <c r="P287" s="17">
        <v>1781850.0</v>
      </c>
      <c r="Q287" s="14" t="b">
        <v>1</v>
      </c>
      <c r="R287" s="10"/>
    </row>
    <row r="288">
      <c r="A288" s="10" t="s">
        <v>3001</v>
      </c>
      <c r="B288" s="10" t="s">
        <v>65</v>
      </c>
      <c r="C288" s="11">
        <v>45968.0</v>
      </c>
      <c r="D288" s="10" t="s">
        <v>3004</v>
      </c>
      <c r="E288" s="10" t="s">
        <v>3005</v>
      </c>
      <c r="F288" s="10"/>
      <c r="G288" s="10" t="s">
        <v>3006</v>
      </c>
      <c r="H288" s="10" t="s">
        <v>3007</v>
      </c>
      <c r="I288" s="14" t="b">
        <v>1</v>
      </c>
      <c r="J288" s="10" t="s">
        <v>83</v>
      </c>
      <c r="K288" s="10"/>
      <c r="L288" s="10"/>
      <c r="M288" s="10"/>
      <c r="N288" s="10"/>
      <c r="O288" s="10"/>
      <c r="P288" s="17">
        <v>1782944.0</v>
      </c>
      <c r="Q288" s="14" t="b">
        <v>1</v>
      </c>
      <c r="R288" s="10"/>
    </row>
    <row r="289">
      <c r="A289" s="10" t="s">
        <v>3011</v>
      </c>
      <c r="B289" s="10" t="s">
        <v>65</v>
      </c>
      <c r="C289" s="11">
        <v>45968.0</v>
      </c>
      <c r="D289" s="10" t="s">
        <v>202</v>
      </c>
      <c r="E289" s="10" t="s">
        <v>3013</v>
      </c>
      <c r="F289" s="10"/>
      <c r="G289" s="10" t="s">
        <v>3015</v>
      </c>
      <c r="H289" s="10" t="s">
        <v>481</v>
      </c>
      <c r="I289" s="14" t="b">
        <v>0</v>
      </c>
      <c r="J289" s="10" t="s">
        <v>83</v>
      </c>
      <c r="K289" s="10"/>
      <c r="L289" s="10"/>
      <c r="M289" s="10"/>
      <c r="N289" s="10"/>
      <c r="O289" s="10"/>
      <c r="P289" s="10"/>
      <c r="Q289" s="14" t="b">
        <v>1</v>
      </c>
      <c r="R289" s="10"/>
    </row>
    <row r="290">
      <c r="A290" s="10" t="s">
        <v>3018</v>
      </c>
      <c r="B290" s="10" t="s">
        <v>65</v>
      </c>
      <c r="C290" s="11">
        <v>45968.0</v>
      </c>
      <c r="D290" s="10" t="s">
        <v>751</v>
      </c>
      <c r="E290" s="10" t="s">
        <v>3021</v>
      </c>
      <c r="F290" s="10"/>
      <c r="G290" s="10" t="s">
        <v>3022</v>
      </c>
      <c r="H290" s="10" t="s">
        <v>481</v>
      </c>
      <c r="I290" s="14" t="b">
        <v>0</v>
      </c>
      <c r="J290" s="10" t="s">
        <v>83</v>
      </c>
      <c r="K290" s="10"/>
      <c r="L290" s="10"/>
      <c r="M290" s="10"/>
      <c r="N290" s="10"/>
      <c r="O290" s="10"/>
      <c r="P290" s="10"/>
      <c r="Q290" s="14" t="b">
        <v>1</v>
      </c>
      <c r="R290" s="10"/>
    </row>
    <row r="291">
      <c r="A291" s="10" t="s">
        <v>3029</v>
      </c>
      <c r="B291" s="10" t="s">
        <v>65</v>
      </c>
      <c r="C291" s="11">
        <v>45968.0</v>
      </c>
      <c r="D291" s="10" t="s">
        <v>163</v>
      </c>
      <c r="E291" s="10" t="s">
        <v>3031</v>
      </c>
      <c r="F291" s="10"/>
      <c r="G291" s="10" t="s">
        <v>3033</v>
      </c>
      <c r="H291" s="10" t="s">
        <v>1010</v>
      </c>
      <c r="I291" s="14" t="b">
        <v>1</v>
      </c>
      <c r="J291" s="10" t="s">
        <v>83</v>
      </c>
      <c r="K291" s="10"/>
      <c r="L291" s="10"/>
      <c r="M291" s="10"/>
      <c r="N291" s="10"/>
      <c r="O291" s="10"/>
      <c r="P291" s="17">
        <v>1783017.0</v>
      </c>
      <c r="Q291" s="14" t="b">
        <v>1</v>
      </c>
      <c r="R291" s="10"/>
    </row>
    <row r="292">
      <c r="A292" s="10" t="s">
        <v>3035</v>
      </c>
      <c r="B292" s="10" t="s">
        <v>65</v>
      </c>
      <c r="C292" s="11">
        <v>45968.0</v>
      </c>
      <c r="D292" s="10" t="s">
        <v>189</v>
      </c>
      <c r="E292" s="10" t="s">
        <v>3037</v>
      </c>
      <c r="F292" s="10"/>
      <c r="G292" s="10" t="s">
        <v>3038</v>
      </c>
      <c r="H292" s="10" t="s">
        <v>460</v>
      </c>
      <c r="I292" s="14" t="b">
        <v>1</v>
      </c>
      <c r="J292" s="10" t="s">
        <v>83</v>
      </c>
      <c r="K292" s="10"/>
      <c r="L292" s="10"/>
      <c r="M292" s="10"/>
      <c r="N292" s="10"/>
      <c r="O292" s="10"/>
      <c r="P292" s="17">
        <v>1783024.0</v>
      </c>
      <c r="Q292" s="14" t="b">
        <v>1</v>
      </c>
      <c r="R292" s="10"/>
    </row>
    <row r="293">
      <c r="A293" s="10" t="s">
        <v>3040</v>
      </c>
      <c r="B293" s="10" t="s">
        <v>65</v>
      </c>
      <c r="C293" s="11">
        <v>45983.0</v>
      </c>
      <c r="D293" s="10" t="s">
        <v>983</v>
      </c>
      <c r="E293" s="10" t="s">
        <v>3043</v>
      </c>
      <c r="F293" s="10"/>
      <c r="G293" s="10" t="s">
        <v>3044</v>
      </c>
      <c r="H293" s="10" t="s">
        <v>3046</v>
      </c>
      <c r="I293" s="14" t="b">
        <v>1</v>
      </c>
      <c r="J293" s="10" t="s">
        <v>83</v>
      </c>
      <c r="K293" s="10"/>
      <c r="L293" s="10"/>
      <c r="M293" s="10"/>
      <c r="N293" s="10"/>
      <c r="O293" s="10"/>
      <c r="P293" s="17">
        <v>1790465.0</v>
      </c>
      <c r="Q293" s="14" t="b">
        <v>1</v>
      </c>
      <c r="R293" s="10"/>
    </row>
    <row r="294">
      <c r="A294" s="10" t="s">
        <v>3049</v>
      </c>
      <c r="B294" s="10" t="s">
        <v>65</v>
      </c>
      <c r="C294" s="11">
        <v>45973.0</v>
      </c>
      <c r="D294" s="10" t="s">
        <v>163</v>
      </c>
      <c r="E294" s="10" t="s">
        <v>3050</v>
      </c>
      <c r="F294" s="10"/>
      <c r="G294" s="10" t="s">
        <v>3053</v>
      </c>
      <c r="H294" s="10" t="s">
        <v>529</v>
      </c>
      <c r="I294" s="14" t="b">
        <v>1</v>
      </c>
      <c r="J294" s="10" t="s">
        <v>83</v>
      </c>
      <c r="K294" s="10"/>
      <c r="L294" s="10"/>
      <c r="M294" s="10"/>
      <c r="N294" s="10"/>
      <c r="O294" s="10"/>
      <c r="P294" s="17">
        <v>1794124.0</v>
      </c>
      <c r="Q294" s="14" t="b">
        <v>1</v>
      </c>
      <c r="R294" s="10"/>
    </row>
    <row r="295">
      <c r="A295" s="10" t="s">
        <v>3057</v>
      </c>
      <c r="B295" s="10" t="s">
        <v>65</v>
      </c>
      <c r="C295" s="11">
        <v>45972.0</v>
      </c>
      <c r="D295" s="10" t="s">
        <v>3058</v>
      </c>
      <c r="E295" s="10" t="s">
        <v>3060</v>
      </c>
      <c r="F295" s="10"/>
      <c r="G295" s="10" t="s">
        <v>3061</v>
      </c>
      <c r="H295" s="10" t="s">
        <v>3062</v>
      </c>
      <c r="I295" s="14" t="b">
        <v>1</v>
      </c>
      <c r="J295" s="10" t="s">
        <v>83</v>
      </c>
      <c r="K295" s="10"/>
      <c r="L295" s="10"/>
      <c r="M295" s="10"/>
      <c r="N295" s="10"/>
      <c r="O295" s="10"/>
      <c r="P295" s="17">
        <v>1792554.0</v>
      </c>
      <c r="Q295" s="14" t="b">
        <v>1</v>
      </c>
      <c r="R295" s="10"/>
    </row>
    <row r="296">
      <c r="A296" s="10" t="s">
        <v>3067</v>
      </c>
      <c r="B296" s="10" t="s">
        <v>65</v>
      </c>
      <c r="C296" s="11">
        <v>45975.0</v>
      </c>
      <c r="D296" s="10" t="s">
        <v>202</v>
      </c>
      <c r="E296" s="10" t="s">
        <v>3068</v>
      </c>
      <c r="F296" s="10"/>
      <c r="G296" s="10" t="s">
        <v>3070</v>
      </c>
      <c r="H296" s="10" t="s">
        <v>481</v>
      </c>
      <c r="I296" s="14" t="b">
        <v>0</v>
      </c>
      <c r="J296" s="10" t="s">
        <v>83</v>
      </c>
      <c r="K296" s="10"/>
      <c r="L296" s="10"/>
      <c r="M296" s="10"/>
      <c r="N296" s="10"/>
      <c r="O296" s="10"/>
      <c r="P296" s="10"/>
      <c r="Q296" s="14" t="b">
        <v>1</v>
      </c>
      <c r="R296" s="10"/>
    </row>
    <row r="297">
      <c r="A297" s="10" t="s">
        <v>3075</v>
      </c>
      <c r="B297" s="10" t="s">
        <v>65</v>
      </c>
      <c r="C297" s="11">
        <v>45974.0</v>
      </c>
      <c r="D297" s="10" t="s">
        <v>202</v>
      </c>
      <c r="E297" s="10" t="s">
        <v>3077</v>
      </c>
      <c r="F297" s="10"/>
      <c r="G297" s="10" t="s">
        <v>3079</v>
      </c>
      <c r="H297" s="10" t="s">
        <v>481</v>
      </c>
      <c r="I297" s="14" t="b">
        <v>0</v>
      </c>
      <c r="J297" s="10" t="s">
        <v>83</v>
      </c>
      <c r="K297" s="10"/>
      <c r="L297" s="10"/>
      <c r="M297" s="10"/>
      <c r="N297" s="10"/>
      <c r="O297" s="10"/>
      <c r="P297" s="10"/>
      <c r="Q297" s="14" t="b">
        <v>1</v>
      </c>
      <c r="R297" s="10"/>
    </row>
    <row r="298">
      <c r="A298" s="10" t="s">
        <v>3082</v>
      </c>
      <c r="B298" s="10" t="s">
        <v>65</v>
      </c>
      <c r="C298" s="11">
        <v>45974.0</v>
      </c>
      <c r="D298" s="10" t="s">
        <v>751</v>
      </c>
      <c r="E298" s="10" t="s">
        <v>3085</v>
      </c>
      <c r="F298" s="10"/>
      <c r="G298" s="10" t="s">
        <v>3087</v>
      </c>
      <c r="H298" s="10" t="s">
        <v>481</v>
      </c>
      <c r="I298" s="14" t="b">
        <v>0</v>
      </c>
      <c r="J298" s="10" t="s">
        <v>83</v>
      </c>
      <c r="K298" s="10"/>
      <c r="L298" s="10"/>
      <c r="M298" s="10"/>
      <c r="N298" s="10"/>
      <c r="O298" s="10"/>
      <c r="P298" s="10"/>
      <c r="Q298" s="14" t="b">
        <v>1</v>
      </c>
      <c r="R298" s="10"/>
    </row>
    <row r="299">
      <c r="A299" s="10" t="s">
        <v>3094</v>
      </c>
      <c r="B299" s="10" t="s">
        <v>65</v>
      </c>
      <c r="C299" s="11">
        <v>45971.0</v>
      </c>
      <c r="D299" s="10" t="s">
        <v>246</v>
      </c>
      <c r="E299" s="10" t="s">
        <v>3097</v>
      </c>
      <c r="F299" s="10"/>
      <c r="G299" s="10" t="s">
        <v>3099</v>
      </c>
      <c r="H299" s="10" t="s">
        <v>250</v>
      </c>
      <c r="I299" s="14" t="b">
        <v>0</v>
      </c>
      <c r="J299" s="10" t="s">
        <v>83</v>
      </c>
      <c r="K299" s="10"/>
      <c r="L299" s="10"/>
      <c r="M299" s="10"/>
      <c r="N299" s="10"/>
      <c r="O299" s="10"/>
      <c r="P299" s="10"/>
      <c r="Q299" s="14" t="b">
        <v>1</v>
      </c>
      <c r="R299" s="10"/>
    </row>
    <row r="300">
      <c r="A300" s="10" t="s">
        <v>3106</v>
      </c>
      <c r="B300" s="10" t="s">
        <v>65</v>
      </c>
      <c r="C300" s="11">
        <v>45971.0</v>
      </c>
      <c r="D300" s="10" t="s">
        <v>670</v>
      </c>
      <c r="E300" s="10" t="s">
        <v>3109</v>
      </c>
      <c r="F300" s="10"/>
      <c r="G300" s="10" t="s">
        <v>3110</v>
      </c>
      <c r="H300" s="10" t="s">
        <v>287</v>
      </c>
      <c r="I300" s="14" t="b">
        <v>0</v>
      </c>
      <c r="J300" s="10" t="s">
        <v>83</v>
      </c>
      <c r="K300" s="10"/>
      <c r="L300" s="10" t="s">
        <v>3114</v>
      </c>
      <c r="M300" s="10"/>
      <c r="N300" s="10"/>
      <c r="O300" s="10"/>
      <c r="P300" s="10"/>
      <c r="Q300" s="14" t="b">
        <v>1</v>
      </c>
      <c r="R300" s="10"/>
    </row>
    <row r="301">
      <c r="A301" s="10" t="s">
        <v>3119</v>
      </c>
      <c r="B301" s="10" t="s">
        <v>65</v>
      </c>
      <c r="C301" s="11">
        <v>45972.0</v>
      </c>
      <c r="D301" s="10" t="s">
        <v>131</v>
      </c>
      <c r="E301" s="10" t="s">
        <v>3121</v>
      </c>
      <c r="F301" s="10"/>
      <c r="G301" s="10" t="s">
        <v>3123</v>
      </c>
      <c r="H301" s="10" t="s">
        <v>3124</v>
      </c>
      <c r="I301" s="14" t="b">
        <v>0</v>
      </c>
      <c r="J301" s="10" t="s">
        <v>83</v>
      </c>
      <c r="K301" s="10"/>
      <c r="L301" s="10"/>
      <c r="M301" s="10"/>
      <c r="N301" s="10"/>
      <c r="O301" s="10"/>
      <c r="P301" s="10"/>
      <c r="Q301" s="14" t="b">
        <v>1</v>
      </c>
      <c r="R301" s="10"/>
    </row>
    <row r="302">
      <c r="A302" s="10" t="s">
        <v>3134</v>
      </c>
      <c r="B302" s="10" t="s">
        <v>65</v>
      </c>
      <c r="C302" s="11">
        <v>45972.0</v>
      </c>
      <c r="D302" s="10" t="s">
        <v>131</v>
      </c>
      <c r="E302" s="10" t="s">
        <v>3137</v>
      </c>
      <c r="F302" s="10"/>
      <c r="G302" s="10" t="s">
        <v>3138</v>
      </c>
      <c r="H302" s="10" t="s">
        <v>171</v>
      </c>
      <c r="I302" s="14" t="b">
        <v>0</v>
      </c>
      <c r="J302" s="10" t="s">
        <v>83</v>
      </c>
      <c r="K302" s="10"/>
      <c r="L302" s="10" t="s">
        <v>3139</v>
      </c>
      <c r="M302" s="10" t="s">
        <v>3140</v>
      </c>
      <c r="N302" s="10"/>
      <c r="O302" s="10"/>
      <c r="P302" s="10"/>
      <c r="Q302" s="14" t="b">
        <v>1</v>
      </c>
      <c r="R302" s="10"/>
    </row>
    <row r="303">
      <c r="A303" s="10" t="s">
        <v>3142</v>
      </c>
      <c r="B303" s="10" t="s">
        <v>65</v>
      </c>
      <c r="C303" s="11">
        <v>45973.0</v>
      </c>
      <c r="D303" s="10" t="s">
        <v>131</v>
      </c>
      <c r="E303" s="10" t="s">
        <v>3145</v>
      </c>
      <c r="F303" s="10"/>
      <c r="G303" s="10" t="s">
        <v>3147</v>
      </c>
      <c r="H303" s="10" t="s">
        <v>136</v>
      </c>
      <c r="I303" s="14" t="b">
        <v>0</v>
      </c>
      <c r="J303" s="10" t="s">
        <v>83</v>
      </c>
      <c r="K303" s="10"/>
      <c r="L303" s="10" t="s">
        <v>3152</v>
      </c>
      <c r="M303" s="10"/>
      <c r="N303" s="10"/>
      <c r="O303" s="10"/>
      <c r="P303" s="10"/>
      <c r="Q303" s="14" t="b">
        <v>1</v>
      </c>
      <c r="R303" s="10"/>
    </row>
    <row r="304">
      <c r="A304" s="10" t="s">
        <v>3154</v>
      </c>
      <c r="B304" s="10" t="s">
        <v>65</v>
      </c>
      <c r="C304" s="11">
        <v>45973.0</v>
      </c>
      <c r="D304" s="10" t="s">
        <v>131</v>
      </c>
      <c r="E304" s="10" t="s">
        <v>3157</v>
      </c>
      <c r="F304" s="10"/>
      <c r="G304" s="10" t="s">
        <v>3159</v>
      </c>
      <c r="H304" s="10" t="s">
        <v>3160</v>
      </c>
      <c r="I304" s="14" t="b">
        <v>0</v>
      </c>
      <c r="J304" s="10" t="s">
        <v>83</v>
      </c>
      <c r="K304" s="10"/>
      <c r="L304" s="10" t="s">
        <v>3162</v>
      </c>
      <c r="M304" s="10"/>
      <c r="N304" s="10"/>
      <c r="O304" s="10"/>
      <c r="P304" s="10"/>
      <c r="Q304" s="14" t="b">
        <v>1</v>
      </c>
      <c r="R304" s="10"/>
    </row>
    <row r="305">
      <c r="A305" s="10" t="s">
        <v>3163</v>
      </c>
      <c r="B305" s="10" t="s">
        <v>65</v>
      </c>
      <c r="C305" s="11">
        <v>45972.0</v>
      </c>
      <c r="D305" s="10" t="s">
        <v>670</v>
      </c>
      <c r="E305" s="10" t="s">
        <v>3167</v>
      </c>
      <c r="F305" s="10"/>
      <c r="G305" s="10" t="s">
        <v>3168</v>
      </c>
      <c r="H305" s="10" t="s">
        <v>3170</v>
      </c>
      <c r="I305" s="14" t="b">
        <v>0</v>
      </c>
      <c r="J305" s="10" t="s">
        <v>83</v>
      </c>
      <c r="K305" s="10"/>
      <c r="L305" s="10" t="s">
        <v>3171</v>
      </c>
      <c r="M305" s="10"/>
      <c r="N305" s="10"/>
      <c r="O305" s="10"/>
      <c r="P305" s="10"/>
      <c r="Q305" s="14" t="b">
        <v>1</v>
      </c>
      <c r="R305" s="10"/>
    </row>
    <row r="306">
      <c r="A306" s="10" t="s">
        <v>3173</v>
      </c>
      <c r="B306" s="10" t="s">
        <v>65</v>
      </c>
      <c r="C306" s="11">
        <v>45977.0</v>
      </c>
      <c r="D306" s="10" t="s">
        <v>3175</v>
      </c>
      <c r="E306" s="10" t="s">
        <v>3176</v>
      </c>
      <c r="F306" s="10"/>
      <c r="G306" s="10" t="s">
        <v>3177</v>
      </c>
      <c r="H306" s="10" t="s">
        <v>3178</v>
      </c>
      <c r="I306" s="14" t="b">
        <v>1</v>
      </c>
      <c r="J306" s="10" t="s">
        <v>83</v>
      </c>
      <c r="K306" s="10"/>
      <c r="L306" s="10"/>
      <c r="M306" s="10"/>
      <c r="N306" s="10"/>
      <c r="O306" s="10"/>
      <c r="P306" s="17">
        <v>1801144.0</v>
      </c>
      <c r="Q306" s="14" t="b">
        <v>1</v>
      </c>
      <c r="R306" s="10"/>
    </row>
    <row r="307">
      <c r="A307" s="10" t="s">
        <v>3185</v>
      </c>
      <c r="B307" s="10" t="s">
        <v>65</v>
      </c>
      <c r="C307" s="11">
        <v>45977.0</v>
      </c>
      <c r="D307" s="10" t="s">
        <v>1038</v>
      </c>
      <c r="E307" s="10" t="s">
        <v>3187</v>
      </c>
      <c r="F307" s="10"/>
      <c r="G307" s="10" t="s">
        <v>3188</v>
      </c>
      <c r="H307" s="10" t="s">
        <v>2703</v>
      </c>
      <c r="I307" s="14" t="b">
        <v>1</v>
      </c>
      <c r="J307" s="10" t="s">
        <v>83</v>
      </c>
      <c r="K307" s="10"/>
      <c r="L307" s="10"/>
      <c r="M307" s="10"/>
      <c r="N307" s="10"/>
      <c r="O307" s="10"/>
      <c r="P307" s="17">
        <v>1801502.0</v>
      </c>
      <c r="Q307" s="14" t="b">
        <v>1</v>
      </c>
      <c r="R307" s="10"/>
    </row>
    <row r="308">
      <c r="A308" s="10" t="s">
        <v>3193</v>
      </c>
      <c r="B308" s="10" t="s">
        <v>65</v>
      </c>
      <c r="C308" s="11">
        <v>45977.0</v>
      </c>
      <c r="D308" s="10" t="s">
        <v>1038</v>
      </c>
      <c r="E308" s="10" t="s">
        <v>3187</v>
      </c>
      <c r="F308" s="10"/>
      <c r="G308" s="10" t="s">
        <v>3197</v>
      </c>
      <c r="H308" s="10" t="s">
        <v>2703</v>
      </c>
      <c r="I308" s="14" t="b">
        <v>1</v>
      </c>
      <c r="J308" s="10" t="s">
        <v>83</v>
      </c>
      <c r="K308" s="10"/>
      <c r="L308" s="10"/>
      <c r="M308" s="10"/>
      <c r="N308" s="10"/>
      <c r="O308" s="10"/>
      <c r="P308" s="17">
        <v>1801449.0</v>
      </c>
      <c r="Q308" s="14" t="b">
        <v>1</v>
      </c>
      <c r="R308" s="10"/>
    </row>
    <row r="309">
      <c r="A309" s="10" t="s">
        <v>3202</v>
      </c>
      <c r="B309" s="10" t="s">
        <v>65</v>
      </c>
      <c r="C309" s="11">
        <v>45977.0</v>
      </c>
      <c r="D309" s="10" t="s">
        <v>785</v>
      </c>
      <c r="E309" s="10" t="s">
        <v>3206</v>
      </c>
      <c r="F309" s="10"/>
      <c r="G309" s="10" t="s">
        <v>3207</v>
      </c>
      <c r="H309" s="10" t="s">
        <v>3209</v>
      </c>
      <c r="I309" s="14" t="b">
        <v>1</v>
      </c>
      <c r="J309" s="10" t="s">
        <v>83</v>
      </c>
      <c r="K309" s="10"/>
      <c r="L309" s="10"/>
      <c r="M309" s="10"/>
      <c r="N309" s="10"/>
      <c r="O309" s="10"/>
      <c r="P309" s="17">
        <v>1801666.0</v>
      </c>
      <c r="Q309" s="14" t="b">
        <v>1</v>
      </c>
      <c r="R309" s="10"/>
    </row>
    <row r="310">
      <c r="A310" s="10" t="s">
        <v>3214</v>
      </c>
      <c r="B310" s="10" t="s">
        <v>65</v>
      </c>
      <c r="C310" s="11">
        <v>45977.0</v>
      </c>
      <c r="D310" s="10" t="s">
        <v>189</v>
      </c>
      <c r="E310" s="10" t="s">
        <v>3217</v>
      </c>
      <c r="F310" s="10"/>
      <c r="G310" s="10" t="s">
        <v>3219</v>
      </c>
      <c r="H310" s="10" t="s">
        <v>195</v>
      </c>
      <c r="I310" s="14" t="b">
        <v>0</v>
      </c>
      <c r="J310" s="10" t="s">
        <v>83</v>
      </c>
      <c r="K310" s="10"/>
      <c r="L310" s="10"/>
      <c r="M310" s="10"/>
      <c r="N310" s="10"/>
      <c r="O310" s="10"/>
      <c r="P310" s="10"/>
      <c r="Q310" s="14" t="b">
        <v>1</v>
      </c>
      <c r="R310" s="10"/>
    </row>
    <row r="311">
      <c r="A311" s="10" t="s">
        <v>3225</v>
      </c>
      <c r="B311" s="10" t="s">
        <v>65</v>
      </c>
      <c r="C311" s="11">
        <v>45973.0</v>
      </c>
      <c r="D311" s="10" t="s">
        <v>189</v>
      </c>
      <c r="E311" s="10" t="s">
        <v>3227</v>
      </c>
      <c r="F311" s="10"/>
      <c r="G311" s="10" t="s">
        <v>3231</v>
      </c>
      <c r="H311" s="10" t="s">
        <v>195</v>
      </c>
      <c r="I311" s="14" t="b">
        <v>0</v>
      </c>
      <c r="J311" s="10" t="s">
        <v>83</v>
      </c>
      <c r="K311" s="10"/>
      <c r="L311" s="10"/>
      <c r="M311" s="10"/>
      <c r="N311" s="10"/>
      <c r="O311" s="10"/>
      <c r="P311" s="10"/>
      <c r="Q311" s="14" t="b">
        <v>1</v>
      </c>
      <c r="R311" s="10"/>
    </row>
    <row r="312">
      <c r="A312" s="10" t="s">
        <v>3236</v>
      </c>
      <c r="B312" s="10" t="s">
        <v>65</v>
      </c>
      <c r="C312" s="11">
        <v>45978.0</v>
      </c>
      <c r="D312" s="10" t="s">
        <v>153</v>
      </c>
      <c r="E312" s="10" t="s">
        <v>3238</v>
      </c>
      <c r="F312" s="10"/>
      <c r="G312" s="10" t="s">
        <v>3239</v>
      </c>
      <c r="H312" s="10" t="s">
        <v>157</v>
      </c>
      <c r="I312" s="14" t="b">
        <v>1</v>
      </c>
      <c r="J312" s="10" t="s">
        <v>83</v>
      </c>
      <c r="K312" s="10"/>
      <c r="L312" s="10"/>
      <c r="M312" s="10"/>
      <c r="N312" s="10"/>
      <c r="O312" s="10"/>
      <c r="P312" s="17">
        <v>1804299.0</v>
      </c>
      <c r="Q312" s="14" t="b">
        <v>1</v>
      </c>
      <c r="R312" s="10"/>
    </row>
    <row r="313">
      <c r="A313" s="10" t="s">
        <v>3248</v>
      </c>
      <c r="B313" s="10" t="s">
        <v>65</v>
      </c>
      <c r="C313" s="11">
        <v>45976.0</v>
      </c>
      <c r="D313" s="10" t="s">
        <v>3249</v>
      </c>
      <c r="E313" s="10" t="s">
        <v>3251</v>
      </c>
      <c r="F313" s="10"/>
      <c r="G313" s="10" t="s">
        <v>3253</v>
      </c>
      <c r="H313" s="10" t="s">
        <v>52</v>
      </c>
      <c r="I313" s="14" t="b">
        <v>0</v>
      </c>
      <c r="J313" s="10" t="s">
        <v>83</v>
      </c>
      <c r="K313" s="10"/>
      <c r="L313" s="10"/>
      <c r="M313" s="10"/>
      <c r="N313" s="10"/>
      <c r="O313" s="10"/>
      <c r="P313" s="10"/>
      <c r="Q313" s="14" t="b">
        <v>1</v>
      </c>
      <c r="R313" s="10"/>
    </row>
    <row r="314">
      <c r="A314" s="10" t="s">
        <v>3256</v>
      </c>
      <c r="B314" s="10" t="s">
        <v>65</v>
      </c>
      <c r="C314" s="11">
        <v>45979.0</v>
      </c>
      <c r="D314" s="10" t="s">
        <v>100</v>
      </c>
      <c r="E314" s="10" t="s">
        <v>3259</v>
      </c>
      <c r="F314" s="10"/>
      <c r="G314" s="10" t="s">
        <v>3260</v>
      </c>
      <c r="H314" s="10" t="s">
        <v>3160</v>
      </c>
      <c r="I314" s="14" t="b">
        <v>1</v>
      </c>
      <c r="J314" s="10" t="s">
        <v>83</v>
      </c>
      <c r="K314" s="10"/>
      <c r="L314" s="10"/>
      <c r="M314" s="10"/>
      <c r="N314" s="10"/>
      <c r="O314" s="10"/>
      <c r="P314" s="17">
        <v>1806048.0</v>
      </c>
      <c r="Q314" s="14" t="b">
        <v>1</v>
      </c>
      <c r="R314" s="10"/>
    </row>
    <row r="315">
      <c r="A315" s="17">
        <v>8.2824857E7</v>
      </c>
      <c r="B315" s="10" t="s">
        <v>65</v>
      </c>
      <c r="C315" s="11">
        <v>45980.0</v>
      </c>
      <c r="D315" s="17">
        <v>8.627274E7</v>
      </c>
      <c r="E315" s="10" t="s">
        <v>3264</v>
      </c>
      <c r="F315" s="10"/>
      <c r="G315" s="10" t="s">
        <v>3265</v>
      </c>
      <c r="H315" s="10" t="s">
        <v>287</v>
      </c>
      <c r="I315" s="14" t="b">
        <v>1</v>
      </c>
      <c r="J315" s="10" t="s">
        <v>83</v>
      </c>
      <c r="K315" s="10"/>
      <c r="L315" s="10"/>
      <c r="M315" s="10"/>
      <c r="N315" s="10"/>
      <c r="O315" s="10"/>
      <c r="P315" s="17">
        <v>1807428.0</v>
      </c>
      <c r="Q315" s="14" t="b">
        <v>1</v>
      </c>
      <c r="R315" s="10"/>
    </row>
    <row r="316">
      <c r="A316" s="10" t="s">
        <v>3270</v>
      </c>
      <c r="B316" s="10" t="s">
        <v>65</v>
      </c>
      <c r="C316" s="11">
        <v>45981.0</v>
      </c>
      <c r="D316" s="10" t="s">
        <v>557</v>
      </c>
      <c r="E316" s="10" t="s">
        <v>3272</v>
      </c>
      <c r="F316" s="10"/>
      <c r="G316" s="10" t="s">
        <v>3273</v>
      </c>
      <c r="H316" s="10" t="s">
        <v>2727</v>
      </c>
      <c r="I316" s="14" t="b">
        <v>1</v>
      </c>
      <c r="J316" s="10" t="s">
        <v>83</v>
      </c>
      <c r="K316" s="10"/>
      <c r="L316" s="10"/>
      <c r="M316" s="10"/>
      <c r="N316" s="10"/>
      <c r="O316" s="10"/>
      <c r="P316" s="17">
        <v>1809132.0</v>
      </c>
      <c r="Q316" s="14" t="b">
        <v>1</v>
      </c>
      <c r="R316" s="10"/>
    </row>
    <row r="317">
      <c r="A317" s="10" t="s">
        <v>3277</v>
      </c>
      <c r="B317" s="10" t="s">
        <v>65</v>
      </c>
      <c r="C317" s="11">
        <v>45981.0</v>
      </c>
      <c r="D317" s="17">
        <v>8.627274E7</v>
      </c>
      <c r="E317" s="10" t="s">
        <v>3278</v>
      </c>
      <c r="F317" s="10"/>
      <c r="G317" s="10" t="s">
        <v>3279</v>
      </c>
      <c r="H317" s="10" t="s">
        <v>195</v>
      </c>
      <c r="I317" s="14" t="b">
        <v>1</v>
      </c>
      <c r="J317" s="10" t="s">
        <v>83</v>
      </c>
      <c r="K317" s="10"/>
      <c r="L317" s="10"/>
      <c r="M317" s="10"/>
      <c r="N317" s="10"/>
      <c r="O317" s="10"/>
      <c r="P317" s="17">
        <v>1809081.0</v>
      </c>
      <c r="Q317" s="14" t="b">
        <v>1</v>
      </c>
      <c r="R317" s="10"/>
    </row>
    <row r="318">
      <c r="A318" s="10" t="s">
        <v>3283</v>
      </c>
      <c r="B318" s="10" t="s">
        <v>65</v>
      </c>
      <c r="C318" s="11">
        <v>45981.0</v>
      </c>
      <c r="D318" s="10" t="s">
        <v>202</v>
      </c>
      <c r="E318" s="10" t="s">
        <v>3284</v>
      </c>
      <c r="F318" s="10"/>
      <c r="G318" s="10" t="s">
        <v>3286</v>
      </c>
      <c r="H318" s="10" t="s">
        <v>481</v>
      </c>
      <c r="I318" s="14" t="b">
        <v>0</v>
      </c>
      <c r="J318" s="10" t="s">
        <v>83</v>
      </c>
      <c r="K318" s="10"/>
      <c r="L318" s="10"/>
      <c r="M318" s="10"/>
      <c r="N318" s="10"/>
      <c r="O318" s="10"/>
      <c r="P318" s="10"/>
      <c r="Q318" s="14" t="b">
        <v>1</v>
      </c>
      <c r="R318" s="10"/>
    </row>
    <row r="319">
      <c r="A319" s="10" t="s">
        <v>3290</v>
      </c>
      <c r="B319" s="10" t="s">
        <v>65</v>
      </c>
      <c r="C319" s="11">
        <v>45981.0</v>
      </c>
      <c r="D319" s="10" t="s">
        <v>751</v>
      </c>
      <c r="E319" s="10" t="s">
        <v>3292</v>
      </c>
      <c r="F319" s="10"/>
      <c r="G319" s="10" t="s">
        <v>3294</v>
      </c>
      <c r="H319" s="10" t="s">
        <v>481</v>
      </c>
      <c r="I319" s="14" t="b">
        <v>0</v>
      </c>
      <c r="J319" s="10" t="s">
        <v>83</v>
      </c>
      <c r="K319" s="10"/>
      <c r="L319" s="10"/>
      <c r="M319" s="10"/>
      <c r="N319" s="10"/>
      <c r="O319" s="10"/>
      <c r="P319" s="10"/>
      <c r="Q319" s="14" t="b">
        <v>1</v>
      </c>
      <c r="R319" s="10"/>
    </row>
    <row r="320">
      <c r="A320" s="10" t="s">
        <v>3300</v>
      </c>
      <c r="B320" s="10" t="s">
        <v>65</v>
      </c>
      <c r="C320" s="11">
        <v>45979.0</v>
      </c>
      <c r="D320" s="10" t="s">
        <v>751</v>
      </c>
      <c r="E320" s="10" t="s">
        <v>3304</v>
      </c>
      <c r="F320" s="10"/>
      <c r="G320" s="10" t="s">
        <v>3305</v>
      </c>
      <c r="H320" s="10" t="s">
        <v>481</v>
      </c>
      <c r="I320" s="14" t="b">
        <v>0</v>
      </c>
      <c r="J320" s="10" t="s">
        <v>83</v>
      </c>
      <c r="K320" s="10"/>
      <c r="L320" s="10"/>
      <c r="M320" s="10"/>
      <c r="N320" s="10"/>
      <c r="O320" s="10"/>
      <c r="P320" s="10"/>
      <c r="Q320" s="14" t="b">
        <v>1</v>
      </c>
      <c r="R320" s="10"/>
    </row>
    <row r="321">
      <c r="A321" s="10" t="s">
        <v>3313</v>
      </c>
      <c r="B321" s="10" t="s">
        <v>65</v>
      </c>
      <c r="C321" s="11">
        <v>45981.0</v>
      </c>
      <c r="D321" s="10" t="s">
        <v>3175</v>
      </c>
      <c r="E321" s="10" t="s">
        <v>3317</v>
      </c>
      <c r="F321" s="10"/>
      <c r="G321" s="10" t="s">
        <v>3319</v>
      </c>
      <c r="H321" s="10" t="s">
        <v>3320</v>
      </c>
      <c r="I321" s="14" t="b">
        <v>1</v>
      </c>
      <c r="J321" s="10" t="s">
        <v>83</v>
      </c>
      <c r="K321" s="10"/>
      <c r="L321" s="10"/>
      <c r="M321" s="10"/>
      <c r="N321" s="10"/>
      <c r="O321" s="10"/>
      <c r="P321" s="17">
        <v>1810612.0</v>
      </c>
      <c r="Q321" s="14" t="b">
        <v>1</v>
      </c>
      <c r="R321" s="10"/>
    </row>
    <row r="322">
      <c r="A322" s="10" t="s">
        <v>3326</v>
      </c>
      <c r="B322" s="10" t="s">
        <v>65</v>
      </c>
      <c r="C322" s="11">
        <v>45980.0</v>
      </c>
      <c r="D322" s="10" t="s">
        <v>983</v>
      </c>
      <c r="E322" s="10" t="s">
        <v>3330</v>
      </c>
      <c r="F322" s="10"/>
      <c r="G322" s="10" t="s">
        <v>3332</v>
      </c>
      <c r="H322" s="10" t="s">
        <v>287</v>
      </c>
      <c r="I322" s="14" t="b">
        <v>1</v>
      </c>
      <c r="J322" s="10" t="s">
        <v>83</v>
      </c>
      <c r="K322" s="10"/>
      <c r="L322" s="10"/>
      <c r="M322" s="10"/>
      <c r="N322" s="10"/>
      <c r="O322" s="10"/>
      <c r="P322" s="17">
        <v>1807808.0</v>
      </c>
      <c r="Q322" s="14" t="b">
        <v>1</v>
      </c>
      <c r="R322" s="10"/>
    </row>
    <row r="323">
      <c r="A323" s="10" t="s">
        <v>3339</v>
      </c>
      <c r="B323" s="10" t="s">
        <v>65</v>
      </c>
      <c r="C323" s="11">
        <v>45980.0</v>
      </c>
      <c r="D323" s="10" t="s">
        <v>919</v>
      </c>
      <c r="E323" s="10" t="s">
        <v>3341</v>
      </c>
      <c r="F323" s="10"/>
      <c r="G323" s="10" t="s">
        <v>3342</v>
      </c>
      <c r="H323" s="10" t="s">
        <v>3344</v>
      </c>
      <c r="I323" s="14" t="b">
        <v>1</v>
      </c>
      <c r="J323" s="10" t="s">
        <v>382</v>
      </c>
      <c r="K323" s="10"/>
      <c r="L323" s="10"/>
      <c r="M323" s="10"/>
      <c r="N323" s="10"/>
      <c r="O323" s="10"/>
      <c r="P323" s="17">
        <v>1806046.0</v>
      </c>
      <c r="Q323" s="14" t="b">
        <v>1</v>
      </c>
      <c r="R323" s="10"/>
    </row>
    <row r="324">
      <c r="A324" s="10" t="s">
        <v>3348</v>
      </c>
      <c r="B324" s="10" t="s">
        <v>65</v>
      </c>
      <c r="C324" s="11">
        <v>45980.0</v>
      </c>
      <c r="D324" s="10" t="s">
        <v>557</v>
      </c>
      <c r="E324" s="10" t="s">
        <v>3352</v>
      </c>
      <c r="F324" s="10"/>
      <c r="G324" s="10" t="s">
        <v>3354</v>
      </c>
      <c r="H324" s="10" t="s">
        <v>3355</v>
      </c>
      <c r="I324" s="14" t="b">
        <v>1</v>
      </c>
      <c r="J324" s="10" t="s">
        <v>83</v>
      </c>
      <c r="K324" s="10"/>
      <c r="L324" s="10"/>
      <c r="M324" s="10"/>
      <c r="N324" s="10"/>
      <c r="O324" s="10"/>
      <c r="P324" s="17">
        <v>1807817.0</v>
      </c>
      <c r="Q324" s="14" t="b">
        <v>1</v>
      </c>
      <c r="R324" s="10"/>
    </row>
    <row r="325">
      <c r="A325" s="10" t="s">
        <v>3363</v>
      </c>
      <c r="B325" s="10" t="s">
        <v>65</v>
      </c>
      <c r="C325" s="11">
        <v>45980.0</v>
      </c>
      <c r="D325" s="10" t="s">
        <v>1888</v>
      </c>
      <c r="E325" s="10" t="s">
        <v>3365</v>
      </c>
      <c r="F325" s="10"/>
      <c r="G325" s="10" t="s">
        <v>3366</v>
      </c>
      <c r="H325" s="10" t="s">
        <v>149</v>
      </c>
      <c r="I325" s="14" t="b">
        <v>0</v>
      </c>
      <c r="J325" s="10" t="s">
        <v>83</v>
      </c>
      <c r="K325" s="10"/>
      <c r="L325" s="10"/>
      <c r="M325" s="10"/>
      <c r="N325" s="10"/>
      <c r="O325" s="10"/>
      <c r="P325" s="10"/>
      <c r="Q325" s="14" t="b">
        <v>1</v>
      </c>
      <c r="R325" s="10"/>
    </row>
    <row r="326">
      <c r="A326" s="10" t="s">
        <v>3370</v>
      </c>
      <c r="B326" s="10" t="s">
        <v>65</v>
      </c>
      <c r="C326" s="11">
        <v>45983.0</v>
      </c>
      <c r="D326" s="10" t="s">
        <v>3371</v>
      </c>
      <c r="E326" s="10" t="s">
        <v>3372</v>
      </c>
      <c r="F326" s="10"/>
      <c r="G326" s="10" t="s">
        <v>3374</v>
      </c>
      <c r="H326" s="10" t="s">
        <v>3375</v>
      </c>
      <c r="I326" s="14" t="b">
        <v>1</v>
      </c>
      <c r="J326" s="10" t="s">
        <v>83</v>
      </c>
      <c r="K326" s="10"/>
      <c r="L326" s="10"/>
      <c r="M326" s="10"/>
      <c r="N326" s="10"/>
      <c r="O326" s="10"/>
      <c r="P326" s="17">
        <v>1813795.0</v>
      </c>
      <c r="Q326" s="14" t="b">
        <v>1</v>
      </c>
      <c r="R326" s="10"/>
    </row>
    <row r="327">
      <c r="A327" s="10" t="s">
        <v>3377</v>
      </c>
      <c r="B327" s="10" t="s">
        <v>65</v>
      </c>
      <c r="C327" s="11">
        <v>45983.0</v>
      </c>
      <c r="D327" s="10" t="s">
        <v>3379</v>
      </c>
      <c r="E327" s="10" t="s">
        <v>3380</v>
      </c>
      <c r="F327" s="10"/>
      <c r="G327" s="10" t="s">
        <v>3381</v>
      </c>
      <c r="H327" s="10" t="s">
        <v>3178</v>
      </c>
      <c r="I327" s="14" t="b">
        <v>1</v>
      </c>
      <c r="J327" s="10" t="s">
        <v>83</v>
      </c>
      <c r="K327" s="10"/>
      <c r="L327" s="10"/>
      <c r="M327" s="10"/>
      <c r="N327" s="10"/>
      <c r="O327" s="10"/>
      <c r="P327" s="17">
        <v>1813800.0</v>
      </c>
      <c r="Q327" s="14" t="b">
        <v>1</v>
      </c>
      <c r="R327" s="10"/>
    </row>
    <row r="328">
      <c r="A328" s="10" t="s">
        <v>3387</v>
      </c>
      <c r="B328" s="10" t="s">
        <v>65</v>
      </c>
      <c r="C328" s="11">
        <v>45983.0</v>
      </c>
      <c r="D328" s="10" t="s">
        <v>2736</v>
      </c>
      <c r="E328" s="10" t="s">
        <v>3388</v>
      </c>
      <c r="F328" s="10"/>
      <c r="G328" s="10" t="s">
        <v>3390</v>
      </c>
      <c r="H328" s="10" t="s">
        <v>3391</v>
      </c>
      <c r="I328" s="14" t="b">
        <v>0</v>
      </c>
      <c r="J328" s="10" t="s">
        <v>83</v>
      </c>
      <c r="K328" s="10"/>
      <c r="L328" s="10" t="s">
        <v>3392</v>
      </c>
      <c r="M328" s="10" t="s">
        <v>3393</v>
      </c>
      <c r="N328" s="10" t="s">
        <v>3395</v>
      </c>
      <c r="O328" s="10"/>
      <c r="P328" s="10"/>
      <c r="Q328" s="14" t="b">
        <v>1</v>
      </c>
      <c r="R328" s="10"/>
    </row>
    <row r="329">
      <c r="A329" s="10" t="s">
        <v>3397</v>
      </c>
      <c r="B329" s="10" t="s">
        <v>65</v>
      </c>
      <c r="C329" s="11">
        <v>45983.0</v>
      </c>
      <c r="D329" s="10" t="s">
        <v>751</v>
      </c>
      <c r="E329" s="10" t="s">
        <v>3400</v>
      </c>
      <c r="F329" s="10"/>
      <c r="G329" s="10" t="s">
        <v>3401</v>
      </c>
      <c r="H329" s="10" t="s">
        <v>481</v>
      </c>
      <c r="I329" s="14" t="b">
        <v>0</v>
      </c>
      <c r="J329" s="10" t="s">
        <v>83</v>
      </c>
      <c r="K329" s="10"/>
      <c r="L329" s="10"/>
      <c r="M329" s="10"/>
      <c r="N329" s="10"/>
      <c r="O329" s="10"/>
      <c r="P329" s="10"/>
      <c r="Q329" s="14" t="b">
        <v>1</v>
      </c>
      <c r="R329" s="10"/>
    </row>
    <row r="330">
      <c r="A330" s="10" t="s">
        <v>3405</v>
      </c>
      <c r="B330" s="10" t="s">
        <v>65</v>
      </c>
      <c r="C330" s="11">
        <v>45980.0</v>
      </c>
      <c r="D330" s="10" t="s">
        <v>189</v>
      </c>
      <c r="E330" s="10" t="s">
        <v>3409</v>
      </c>
      <c r="F330" s="10"/>
      <c r="G330" s="10" t="s">
        <v>3410</v>
      </c>
      <c r="H330" s="10" t="s">
        <v>460</v>
      </c>
      <c r="I330" s="14" t="b">
        <v>0</v>
      </c>
      <c r="J330" s="10" t="s">
        <v>83</v>
      </c>
      <c r="K330" s="10"/>
      <c r="L330" s="10"/>
      <c r="M330" s="10"/>
      <c r="N330" s="10"/>
      <c r="O330" s="10"/>
      <c r="P330" s="10"/>
      <c r="Q330" s="14" t="b">
        <v>1</v>
      </c>
      <c r="R330" s="10"/>
    </row>
    <row r="331">
      <c r="A331" s="10" t="s">
        <v>3414</v>
      </c>
      <c r="B331" s="10" t="s">
        <v>65</v>
      </c>
      <c r="C331" s="11">
        <v>45983.0</v>
      </c>
      <c r="D331" s="10" t="s">
        <v>189</v>
      </c>
      <c r="E331" s="10" t="s">
        <v>3416</v>
      </c>
      <c r="F331" s="10"/>
      <c r="G331" s="10" t="s">
        <v>3418</v>
      </c>
      <c r="H331" s="10" t="s">
        <v>460</v>
      </c>
      <c r="I331" s="14" t="b">
        <v>0</v>
      </c>
      <c r="J331" s="10" t="s">
        <v>83</v>
      </c>
      <c r="K331" s="10"/>
      <c r="L331" s="10"/>
      <c r="M331" s="10"/>
      <c r="N331" s="10"/>
      <c r="O331" s="10"/>
      <c r="P331" s="10"/>
      <c r="Q331" s="14" t="b">
        <v>1</v>
      </c>
      <c r="R331" s="10"/>
    </row>
    <row r="332">
      <c r="A332" s="17">
        <v>2.0746303E7</v>
      </c>
      <c r="B332" s="10" t="s">
        <v>65</v>
      </c>
      <c r="C332" s="11">
        <v>45985.0</v>
      </c>
      <c r="D332" s="10" t="s">
        <v>3175</v>
      </c>
      <c r="E332" s="10" t="s">
        <v>3423</v>
      </c>
      <c r="F332" s="10"/>
      <c r="G332" s="10" t="s">
        <v>3424</v>
      </c>
      <c r="H332" s="10" t="s">
        <v>3425</v>
      </c>
      <c r="I332" s="14" t="b">
        <v>1</v>
      </c>
      <c r="J332" s="10" t="s">
        <v>83</v>
      </c>
      <c r="K332" s="10"/>
      <c r="L332" s="10"/>
      <c r="M332" s="10"/>
      <c r="N332" s="10"/>
      <c r="O332" s="10"/>
      <c r="P332" s="17">
        <v>1818834.0</v>
      </c>
      <c r="Q332" s="14" t="b">
        <v>1</v>
      </c>
      <c r="R332" s="10"/>
    </row>
    <row r="333">
      <c r="A333" s="10" t="s">
        <v>3428</v>
      </c>
      <c r="B333" s="10" t="s">
        <v>65</v>
      </c>
      <c r="C333" s="11">
        <v>45986.0</v>
      </c>
      <c r="D333" s="10" t="s">
        <v>1888</v>
      </c>
      <c r="E333" s="10" t="s">
        <v>3429</v>
      </c>
      <c r="F333" s="10"/>
      <c r="G333" s="10" t="s">
        <v>3430</v>
      </c>
      <c r="H333" s="10" t="s">
        <v>149</v>
      </c>
      <c r="I333" s="14" t="b">
        <v>0</v>
      </c>
      <c r="J333" s="10" t="s">
        <v>83</v>
      </c>
      <c r="K333" s="10"/>
      <c r="L333" s="10"/>
      <c r="M333" s="10"/>
      <c r="N333" s="10"/>
      <c r="O333" s="10"/>
      <c r="P333" s="10"/>
      <c r="Q333" s="14" t="b">
        <v>1</v>
      </c>
      <c r="R333" s="10"/>
    </row>
    <row r="334">
      <c r="A334" s="10" t="s">
        <v>3434</v>
      </c>
      <c r="B334" s="10" t="s">
        <v>65</v>
      </c>
      <c r="C334" s="11">
        <v>45986.0</v>
      </c>
      <c r="D334" s="10" t="s">
        <v>1888</v>
      </c>
      <c r="E334" s="10" t="s">
        <v>3429</v>
      </c>
      <c r="F334" s="10"/>
      <c r="G334" s="10" t="s">
        <v>3437</v>
      </c>
      <c r="H334" s="10" t="s">
        <v>149</v>
      </c>
      <c r="I334" s="14" t="b">
        <v>0</v>
      </c>
      <c r="J334" s="10" t="s">
        <v>83</v>
      </c>
      <c r="K334" s="10"/>
      <c r="L334" s="10" t="s">
        <v>3440</v>
      </c>
      <c r="M334" s="10" t="s">
        <v>3441</v>
      </c>
      <c r="N334" s="10"/>
      <c r="O334" s="10"/>
      <c r="P334" s="10"/>
      <c r="Q334" s="14" t="b">
        <v>1</v>
      </c>
      <c r="R334" s="10"/>
    </row>
    <row r="335">
      <c r="A335" s="10" t="s">
        <v>3444</v>
      </c>
      <c r="B335" s="10" t="s">
        <v>65</v>
      </c>
      <c r="C335" s="11">
        <v>45986.0</v>
      </c>
      <c r="D335" s="10" t="s">
        <v>983</v>
      </c>
      <c r="E335" s="10" t="s">
        <v>3446</v>
      </c>
      <c r="F335" s="10"/>
      <c r="G335" s="10" t="s">
        <v>3447</v>
      </c>
      <c r="H335" s="10" t="s">
        <v>965</v>
      </c>
      <c r="I335" s="14" t="b">
        <v>1</v>
      </c>
      <c r="J335" s="10" t="s">
        <v>83</v>
      </c>
      <c r="K335" s="10"/>
      <c r="L335" s="10"/>
      <c r="M335" s="10"/>
      <c r="N335" s="10"/>
      <c r="O335" s="10"/>
      <c r="P335" s="17">
        <v>1820399.0</v>
      </c>
      <c r="Q335" s="14" t="b">
        <v>1</v>
      </c>
      <c r="R335" s="10"/>
    </row>
    <row r="336">
      <c r="A336" s="10" t="s">
        <v>3455</v>
      </c>
      <c r="B336" s="10" t="s">
        <v>65</v>
      </c>
      <c r="C336" s="11">
        <v>45986.0</v>
      </c>
      <c r="D336" s="10" t="s">
        <v>973</v>
      </c>
      <c r="E336" s="10" t="s">
        <v>3458</v>
      </c>
      <c r="F336" s="10"/>
      <c r="G336" s="10" t="s">
        <v>3459</v>
      </c>
      <c r="H336" s="10" t="s">
        <v>3461</v>
      </c>
      <c r="I336" s="14" t="b">
        <v>1</v>
      </c>
      <c r="J336" s="10" t="s">
        <v>83</v>
      </c>
      <c r="K336" s="10"/>
      <c r="L336" s="10"/>
      <c r="M336" s="10"/>
      <c r="N336" s="10"/>
      <c r="O336" s="10"/>
      <c r="P336" s="17">
        <v>1820398.0</v>
      </c>
      <c r="Q336" s="14" t="b">
        <v>1</v>
      </c>
      <c r="R336" s="10"/>
    </row>
    <row r="337">
      <c r="A337" s="10" t="s">
        <v>3466</v>
      </c>
      <c r="B337" s="10" t="s">
        <v>65</v>
      </c>
      <c r="C337" s="11">
        <v>45986.0</v>
      </c>
      <c r="D337" s="10" t="s">
        <v>153</v>
      </c>
      <c r="E337" s="10" t="s">
        <v>3471</v>
      </c>
      <c r="F337" s="10"/>
      <c r="G337" s="10" t="s">
        <v>3473</v>
      </c>
      <c r="H337" s="10" t="s">
        <v>157</v>
      </c>
      <c r="I337" s="14" t="b">
        <v>1</v>
      </c>
      <c r="J337" s="10" t="s">
        <v>83</v>
      </c>
      <c r="K337" s="10"/>
      <c r="L337" s="10"/>
      <c r="M337" s="10"/>
      <c r="N337" s="10"/>
      <c r="O337" s="10"/>
      <c r="P337" s="17">
        <v>1820421.0</v>
      </c>
      <c r="Q337" s="14" t="b">
        <v>1</v>
      </c>
      <c r="R337" s="10"/>
    </row>
    <row r="338">
      <c r="A338" s="10" t="s">
        <v>3480</v>
      </c>
      <c r="B338" s="10" t="s">
        <v>65</v>
      </c>
      <c r="C338" s="11">
        <v>45984.0</v>
      </c>
      <c r="D338" s="10" t="s">
        <v>434</v>
      </c>
      <c r="E338" s="10" t="s">
        <v>3483</v>
      </c>
      <c r="F338" s="10"/>
      <c r="G338" s="10" t="s">
        <v>3484</v>
      </c>
      <c r="H338" s="10" t="s">
        <v>2727</v>
      </c>
      <c r="I338" s="14" t="b">
        <v>1</v>
      </c>
      <c r="J338" s="10" t="s">
        <v>83</v>
      </c>
      <c r="K338" s="10"/>
      <c r="L338" s="10"/>
      <c r="M338" s="10"/>
      <c r="N338" s="10"/>
      <c r="O338" s="10"/>
      <c r="P338" s="17">
        <v>1817237.0</v>
      </c>
      <c r="Q338" s="14" t="b">
        <v>1</v>
      </c>
      <c r="R338" s="10"/>
    </row>
    <row r="339">
      <c r="A339" s="10" t="s">
        <v>3489</v>
      </c>
      <c r="B339" s="10" t="s">
        <v>65</v>
      </c>
      <c r="C339" s="11">
        <v>45987.0</v>
      </c>
      <c r="D339" s="10" t="s">
        <v>246</v>
      </c>
      <c r="E339" s="10" t="s">
        <v>3490</v>
      </c>
      <c r="F339" s="10"/>
      <c r="G339" s="10" t="s">
        <v>3492</v>
      </c>
      <c r="H339" s="10" t="s">
        <v>250</v>
      </c>
      <c r="I339" s="14" t="b">
        <v>0</v>
      </c>
      <c r="J339" s="10" t="s">
        <v>83</v>
      </c>
      <c r="K339" s="10"/>
      <c r="L339" s="10"/>
      <c r="M339" s="10"/>
      <c r="N339" s="10"/>
      <c r="O339" s="10"/>
      <c r="P339" s="10"/>
      <c r="Q339" s="14" t="b">
        <v>1</v>
      </c>
      <c r="R339" s="10"/>
    </row>
    <row r="340">
      <c r="A340" s="10" t="s">
        <v>3495</v>
      </c>
      <c r="B340" s="10" t="s">
        <v>65</v>
      </c>
      <c r="C340" s="11">
        <v>45982.0</v>
      </c>
      <c r="D340" s="10" t="s">
        <v>131</v>
      </c>
      <c r="E340" s="10" t="s">
        <v>3498</v>
      </c>
      <c r="F340" s="10"/>
      <c r="G340" s="10" t="s">
        <v>3501</v>
      </c>
      <c r="H340" s="10" t="s">
        <v>3502</v>
      </c>
      <c r="I340" s="14" t="b">
        <v>0</v>
      </c>
      <c r="J340" s="10" t="s">
        <v>83</v>
      </c>
      <c r="K340" s="10"/>
      <c r="L340" s="10" t="s">
        <v>3504</v>
      </c>
      <c r="M340" s="10" t="s">
        <v>3505</v>
      </c>
      <c r="N340" s="10"/>
      <c r="O340" s="10"/>
      <c r="P340" s="10"/>
      <c r="Q340" s="14" t="b">
        <v>1</v>
      </c>
      <c r="R340" s="10"/>
    </row>
    <row r="341">
      <c r="A341" s="17">
        <v>8.5746667E7</v>
      </c>
      <c r="B341" s="10" t="s">
        <v>65</v>
      </c>
      <c r="C341" s="11">
        <v>45987.0</v>
      </c>
      <c r="D341" s="10" t="s">
        <v>962</v>
      </c>
      <c r="E341" s="10" t="s">
        <v>3507</v>
      </c>
      <c r="F341" s="10"/>
      <c r="G341" s="10" t="s">
        <v>3508</v>
      </c>
      <c r="H341" s="10" t="s">
        <v>3509</v>
      </c>
      <c r="I341" s="14" t="b">
        <v>1</v>
      </c>
      <c r="J341" s="10" t="s">
        <v>83</v>
      </c>
      <c r="K341" s="10"/>
      <c r="L341" s="10"/>
      <c r="M341" s="10"/>
      <c r="N341" s="10"/>
      <c r="O341" s="10"/>
      <c r="P341" s="17">
        <v>1822155.0</v>
      </c>
      <c r="Q341" s="14" t="b">
        <v>1</v>
      </c>
      <c r="R341" s="10"/>
    </row>
    <row r="342">
      <c r="A342" s="10" t="s">
        <v>3513</v>
      </c>
      <c r="B342" s="10" t="s">
        <v>65</v>
      </c>
      <c r="C342" s="11">
        <v>45987.0</v>
      </c>
      <c r="D342" s="10" t="s">
        <v>962</v>
      </c>
      <c r="E342" s="10" t="s">
        <v>3507</v>
      </c>
      <c r="F342" s="10"/>
      <c r="G342" s="10" t="s">
        <v>3517</v>
      </c>
      <c r="H342" s="10" t="s">
        <v>3509</v>
      </c>
      <c r="I342" s="14" t="b">
        <v>1</v>
      </c>
      <c r="J342" s="10" t="s">
        <v>83</v>
      </c>
      <c r="K342" s="10"/>
      <c r="L342" s="10"/>
      <c r="M342" s="10"/>
      <c r="N342" s="10"/>
      <c r="O342" s="10"/>
      <c r="P342" s="17">
        <v>1822138.0</v>
      </c>
      <c r="Q342" s="14" t="b">
        <v>1</v>
      </c>
      <c r="R342" s="10"/>
    </row>
    <row r="343">
      <c r="A343" s="10" t="s">
        <v>3522</v>
      </c>
      <c r="B343" s="10" t="s">
        <v>65</v>
      </c>
      <c r="C343" s="11">
        <v>45987.0</v>
      </c>
      <c r="D343" s="10" t="s">
        <v>163</v>
      </c>
      <c r="E343" s="10" t="s">
        <v>3524</v>
      </c>
      <c r="F343" s="10"/>
      <c r="G343" s="10" t="s">
        <v>3525</v>
      </c>
      <c r="H343" s="10" t="s">
        <v>2774</v>
      </c>
      <c r="I343" s="14" t="b">
        <v>1</v>
      </c>
      <c r="J343" s="10" t="s">
        <v>83</v>
      </c>
      <c r="K343" s="10"/>
      <c r="L343" s="10"/>
      <c r="M343" s="10"/>
      <c r="N343" s="10"/>
      <c r="O343" s="10"/>
      <c r="P343" s="17">
        <v>1822151.0</v>
      </c>
      <c r="Q343" s="14" t="b">
        <v>1</v>
      </c>
      <c r="R343" s="10"/>
    </row>
    <row r="344">
      <c r="A344" s="10" t="s">
        <v>3528</v>
      </c>
      <c r="B344" s="10" t="s">
        <v>65</v>
      </c>
      <c r="C344" s="11">
        <v>45988.0</v>
      </c>
      <c r="D344" s="10" t="s">
        <v>163</v>
      </c>
      <c r="E344" s="10" t="s">
        <v>3530</v>
      </c>
      <c r="F344" s="10"/>
      <c r="G344" s="10" t="s">
        <v>3531</v>
      </c>
      <c r="H344" s="10" t="s">
        <v>529</v>
      </c>
      <c r="I344" s="14" t="b">
        <v>1</v>
      </c>
      <c r="J344" s="10" t="s">
        <v>83</v>
      </c>
      <c r="K344" s="10"/>
      <c r="L344" s="10"/>
      <c r="M344" s="10"/>
      <c r="N344" s="10"/>
      <c r="O344" s="10"/>
      <c r="P344" s="17">
        <v>1824597.0</v>
      </c>
      <c r="Q344" s="14" t="b">
        <v>1</v>
      </c>
      <c r="R344" s="10"/>
    </row>
    <row r="345">
      <c r="A345" s="10" t="s">
        <v>3535</v>
      </c>
      <c r="B345" s="10" t="s">
        <v>65</v>
      </c>
      <c r="C345" s="11">
        <v>45988.0</v>
      </c>
      <c r="D345" s="10" t="s">
        <v>202</v>
      </c>
      <c r="E345" s="10" t="s">
        <v>3539</v>
      </c>
      <c r="F345" s="10"/>
      <c r="G345" s="10" t="s">
        <v>3540</v>
      </c>
      <c r="H345" s="10" t="s">
        <v>481</v>
      </c>
      <c r="I345" s="14" t="b">
        <v>0</v>
      </c>
      <c r="J345" s="10" t="s">
        <v>83</v>
      </c>
      <c r="K345" s="10"/>
      <c r="L345" s="10"/>
      <c r="M345" s="10"/>
      <c r="N345" s="10"/>
      <c r="O345" s="10"/>
      <c r="P345" s="10"/>
      <c r="Q345" s="14" t="b">
        <v>1</v>
      </c>
      <c r="R345" s="10"/>
    </row>
    <row r="346">
      <c r="A346" s="10" t="s">
        <v>3542</v>
      </c>
      <c r="B346" s="10" t="s">
        <v>65</v>
      </c>
      <c r="C346" s="11">
        <v>45988.0</v>
      </c>
      <c r="D346" s="10" t="s">
        <v>751</v>
      </c>
      <c r="E346" s="10" t="s">
        <v>3544</v>
      </c>
      <c r="F346" s="10"/>
      <c r="G346" s="10" t="s">
        <v>3545</v>
      </c>
      <c r="H346" s="10" t="s">
        <v>481</v>
      </c>
      <c r="I346" s="14" t="b">
        <v>0</v>
      </c>
      <c r="J346" s="10" t="s">
        <v>83</v>
      </c>
      <c r="K346" s="10"/>
      <c r="L346" s="10"/>
      <c r="M346" s="10"/>
      <c r="N346" s="10"/>
      <c r="O346" s="10"/>
      <c r="P346" s="10"/>
      <c r="Q346" s="14" t="b">
        <v>1</v>
      </c>
      <c r="R346" s="10"/>
    </row>
    <row r="347">
      <c r="A347" s="17">
        <v>8.5418504E7</v>
      </c>
      <c r="B347" s="10" t="s">
        <v>65</v>
      </c>
      <c r="C347" s="11">
        <v>45987.0</v>
      </c>
      <c r="D347" s="200" t="s">
        <v>131</v>
      </c>
      <c r="E347" s="10" t="s">
        <v>3551</v>
      </c>
      <c r="F347" s="10"/>
      <c r="G347" s="10" t="s">
        <v>3553</v>
      </c>
      <c r="H347" s="10" t="s">
        <v>136</v>
      </c>
      <c r="I347" s="14" t="b">
        <v>0</v>
      </c>
      <c r="J347" s="10" t="s">
        <v>83</v>
      </c>
      <c r="K347" s="10"/>
      <c r="L347" s="10" t="s">
        <v>3554</v>
      </c>
      <c r="M347" s="10" t="s">
        <v>3556</v>
      </c>
      <c r="N347" s="10" t="s">
        <v>3558</v>
      </c>
      <c r="O347" s="10"/>
      <c r="P347" s="10"/>
      <c r="Q347" s="14" t="b">
        <v>1</v>
      </c>
      <c r="R347" s="10"/>
    </row>
    <row r="348">
      <c r="A348" s="10" t="s">
        <v>3561</v>
      </c>
      <c r="B348" s="10" t="s">
        <v>65</v>
      </c>
      <c r="C348" s="11">
        <v>45986.0</v>
      </c>
      <c r="D348" s="200" t="s">
        <v>131</v>
      </c>
      <c r="E348" s="10" t="s">
        <v>3564</v>
      </c>
      <c r="F348" s="10"/>
      <c r="G348" s="10" t="s">
        <v>3566</v>
      </c>
      <c r="H348" s="10" t="s">
        <v>3568</v>
      </c>
      <c r="I348" s="14" t="b">
        <v>0</v>
      </c>
      <c r="J348" s="10" t="s">
        <v>83</v>
      </c>
      <c r="K348" s="10"/>
      <c r="L348" s="10"/>
      <c r="M348" s="10"/>
      <c r="N348" s="10"/>
      <c r="O348" s="10"/>
      <c r="P348" s="10"/>
      <c r="Q348" s="14" t="b">
        <v>1</v>
      </c>
      <c r="R348" s="10"/>
    </row>
    <row r="349">
      <c r="A349" s="10" t="s">
        <v>3575</v>
      </c>
      <c r="B349" s="10" t="s">
        <v>65</v>
      </c>
      <c r="C349" s="11">
        <v>45991.0</v>
      </c>
      <c r="D349" s="10" t="s">
        <v>785</v>
      </c>
      <c r="E349" s="10" t="s">
        <v>3578</v>
      </c>
      <c r="F349" s="10"/>
      <c r="G349" s="10" t="s">
        <v>3581</v>
      </c>
      <c r="H349" s="10" t="s">
        <v>3582</v>
      </c>
      <c r="I349" s="14" t="b">
        <v>1</v>
      </c>
      <c r="J349" s="10" t="s">
        <v>83</v>
      </c>
      <c r="K349" s="10"/>
      <c r="L349" s="10"/>
      <c r="M349" s="10"/>
      <c r="N349" s="10"/>
      <c r="O349" s="10"/>
      <c r="P349" s="17">
        <v>1832515.0</v>
      </c>
      <c r="Q349" s="14" t="b">
        <v>1</v>
      </c>
      <c r="R349" s="10"/>
    </row>
    <row r="350">
      <c r="A350" s="10" t="s">
        <v>3588</v>
      </c>
      <c r="B350" s="10" t="s">
        <v>65</v>
      </c>
      <c r="C350" s="11">
        <v>45991.0</v>
      </c>
      <c r="D350" s="10" t="s">
        <v>3175</v>
      </c>
      <c r="E350" s="10" t="s">
        <v>3590</v>
      </c>
      <c r="F350" s="10"/>
      <c r="G350" s="10" t="s">
        <v>3592</v>
      </c>
      <c r="H350" s="10" t="s">
        <v>3593</v>
      </c>
      <c r="I350" s="14" t="b">
        <v>1</v>
      </c>
      <c r="J350" s="10" t="s">
        <v>83</v>
      </c>
      <c r="K350" s="10"/>
      <c r="L350" s="10"/>
      <c r="M350" s="10"/>
      <c r="N350" s="10"/>
      <c r="O350" s="10"/>
      <c r="P350" s="17">
        <v>1832513.0</v>
      </c>
      <c r="Q350" s="14" t="b">
        <v>1</v>
      </c>
      <c r="R350" s="10"/>
    </row>
    <row r="351">
      <c r="A351" s="17">
        <v>2.1301857E7</v>
      </c>
      <c r="B351" s="10" t="s">
        <v>65</v>
      </c>
      <c r="C351" s="11">
        <v>45991.0</v>
      </c>
      <c r="D351" s="10" t="s">
        <v>1038</v>
      </c>
      <c r="E351" s="10" t="s">
        <v>3598</v>
      </c>
      <c r="F351" s="10"/>
      <c r="G351" s="10" t="s">
        <v>3601</v>
      </c>
      <c r="H351" s="10" t="s">
        <v>2703</v>
      </c>
      <c r="I351" s="14" t="b">
        <v>1</v>
      </c>
      <c r="J351" s="10" t="s">
        <v>83</v>
      </c>
      <c r="K351" s="10"/>
      <c r="L351" s="10"/>
      <c r="M351" s="10"/>
      <c r="N351" s="10"/>
      <c r="O351" s="10"/>
      <c r="P351" s="17">
        <v>1832512.0</v>
      </c>
      <c r="Q351" s="14" t="b">
        <v>1</v>
      </c>
      <c r="R351" s="10"/>
    </row>
    <row r="352">
      <c r="A352" s="10" t="s">
        <v>3608</v>
      </c>
      <c r="B352" s="10" t="s">
        <v>65</v>
      </c>
      <c r="C352" s="11">
        <v>45987.0</v>
      </c>
      <c r="D352" s="10" t="s">
        <v>189</v>
      </c>
      <c r="E352" s="10" t="s">
        <v>3611</v>
      </c>
      <c r="F352" s="10"/>
      <c r="G352" s="10" t="s">
        <v>3612</v>
      </c>
      <c r="H352" s="10" t="s">
        <v>114</v>
      </c>
      <c r="I352" s="14" t="b">
        <v>0</v>
      </c>
      <c r="J352" s="10" t="s">
        <v>83</v>
      </c>
      <c r="K352" s="10"/>
      <c r="L352" s="10"/>
      <c r="M352" s="10"/>
      <c r="N352" s="10"/>
      <c r="O352" s="10"/>
      <c r="P352" s="10"/>
      <c r="Q352" s="14" t="b">
        <v>1</v>
      </c>
      <c r="R352" s="10"/>
    </row>
    <row r="353">
      <c r="A353" s="10" t="s">
        <v>3618</v>
      </c>
      <c r="B353" s="10" t="s">
        <v>65</v>
      </c>
      <c r="C353" s="11">
        <v>45990.0</v>
      </c>
      <c r="D353" s="10" t="s">
        <v>189</v>
      </c>
      <c r="E353" s="10" t="s">
        <v>3623</v>
      </c>
      <c r="F353" s="10"/>
      <c r="G353" s="10" t="s">
        <v>3626</v>
      </c>
      <c r="H353" s="10" t="s">
        <v>114</v>
      </c>
      <c r="I353" s="14" t="b">
        <v>0</v>
      </c>
      <c r="J353" s="10" t="s">
        <v>83</v>
      </c>
      <c r="K353" s="10"/>
      <c r="L353" s="10"/>
      <c r="M353" s="10"/>
      <c r="N353" s="10"/>
      <c r="O353" s="10"/>
      <c r="P353" s="10"/>
      <c r="Q353" s="14" t="b">
        <v>1</v>
      </c>
      <c r="R353" s="10"/>
    </row>
    <row r="354">
      <c r="A354" s="10" t="s">
        <v>3632</v>
      </c>
      <c r="B354" s="10" t="s">
        <v>65</v>
      </c>
      <c r="C354" s="11">
        <v>45991.0</v>
      </c>
      <c r="D354" s="10" t="s">
        <v>189</v>
      </c>
      <c r="E354" s="10" t="s">
        <v>3634</v>
      </c>
      <c r="F354" s="10"/>
      <c r="G354" s="10" t="s">
        <v>3636</v>
      </c>
      <c r="H354" s="10" t="s">
        <v>114</v>
      </c>
      <c r="I354" s="14" t="b">
        <v>0</v>
      </c>
      <c r="J354" s="10" t="s">
        <v>83</v>
      </c>
      <c r="K354" s="10"/>
      <c r="L354" s="10"/>
      <c r="M354" s="10"/>
      <c r="N354" s="10"/>
      <c r="O354" s="10"/>
      <c r="P354" s="10"/>
      <c r="Q354" s="14" t="b">
        <v>1</v>
      </c>
      <c r="R354" s="10"/>
    </row>
    <row r="355">
      <c r="A355" s="10" t="s">
        <v>3644</v>
      </c>
      <c r="B355" s="10" t="s">
        <v>65</v>
      </c>
      <c r="C355" s="11">
        <v>45986.0</v>
      </c>
      <c r="D355" s="200" t="s">
        <v>131</v>
      </c>
      <c r="E355" s="10" t="s">
        <v>3646</v>
      </c>
      <c r="F355" s="10"/>
      <c r="G355" s="10" t="s">
        <v>3648</v>
      </c>
      <c r="H355" s="10" t="s">
        <v>171</v>
      </c>
      <c r="I355" s="14" t="b">
        <v>0</v>
      </c>
      <c r="J355" s="10" t="s">
        <v>83</v>
      </c>
      <c r="K355" s="10"/>
      <c r="L355" s="10" t="s">
        <v>3650</v>
      </c>
      <c r="M355" s="10" t="s">
        <v>3652</v>
      </c>
      <c r="N355" s="10"/>
      <c r="O355" s="10"/>
      <c r="P355" s="10"/>
      <c r="Q355" s="14" t="b">
        <v>1</v>
      </c>
      <c r="R355" s="10"/>
    </row>
    <row r="356">
      <c r="A356" s="10" t="s">
        <v>3655</v>
      </c>
      <c r="B356" s="10" t="s">
        <v>65</v>
      </c>
      <c r="C356" s="11">
        <v>45992.0</v>
      </c>
      <c r="D356" s="10" t="s">
        <v>153</v>
      </c>
      <c r="E356" s="10" t="s">
        <v>3661</v>
      </c>
      <c r="F356" s="10"/>
      <c r="G356" s="10" t="s">
        <v>3663</v>
      </c>
      <c r="H356" s="10" t="s">
        <v>529</v>
      </c>
      <c r="I356" s="14" t="b">
        <v>1</v>
      </c>
      <c r="J356" s="10" t="s">
        <v>83</v>
      </c>
      <c r="K356" s="10"/>
      <c r="L356" s="10"/>
      <c r="M356" s="10"/>
      <c r="N356" s="10"/>
      <c r="O356" s="10"/>
      <c r="P356" s="17">
        <v>1834411.0</v>
      </c>
      <c r="Q356" s="14" t="b">
        <v>1</v>
      </c>
      <c r="R356" s="10"/>
    </row>
    <row r="357">
      <c r="A357" s="10" t="s">
        <v>3670</v>
      </c>
      <c r="B357" s="10" t="s">
        <v>65</v>
      </c>
      <c r="C357" s="11">
        <v>45992.0</v>
      </c>
      <c r="D357" s="10" t="s">
        <v>163</v>
      </c>
      <c r="E357" s="10" t="s">
        <v>3673</v>
      </c>
      <c r="F357" s="10"/>
      <c r="G357" s="10" t="s">
        <v>3674</v>
      </c>
      <c r="H357" s="10" t="s">
        <v>157</v>
      </c>
      <c r="I357" s="14" t="b">
        <v>1</v>
      </c>
      <c r="J357" s="10" t="s">
        <v>83</v>
      </c>
      <c r="K357" s="10"/>
      <c r="L357" s="10"/>
      <c r="M357" s="10"/>
      <c r="N357" s="10"/>
      <c r="O357" s="10"/>
      <c r="P357" s="17">
        <v>1834409.0</v>
      </c>
      <c r="Q357" s="14" t="b">
        <v>1</v>
      </c>
      <c r="R357" s="10"/>
    </row>
    <row r="358">
      <c r="A358" s="10" t="s">
        <v>3679</v>
      </c>
      <c r="B358" s="10" t="s">
        <v>65</v>
      </c>
      <c r="C358" s="11">
        <v>45992.0</v>
      </c>
      <c r="D358" s="10" t="s">
        <v>775</v>
      </c>
      <c r="E358" s="10" t="s">
        <v>3682</v>
      </c>
      <c r="F358" s="10"/>
      <c r="G358" s="10" t="s">
        <v>3683</v>
      </c>
      <c r="H358" s="10" t="s">
        <v>781</v>
      </c>
      <c r="I358" s="14" t="b">
        <v>0</v>
      </c>
      <c r="J358" s="10" t="s">
        <v>83</v>
      </c>
      <c r="K358" s="10"/>
      <c r="L358" s="10"/>
      <c r="M358" s="10"/>
      <c r="N358" s="10"/>
      <c r="O358" s="10"/>
      <c r="P358" s="10"/>
      <c r="Q358" s="14" t="b">
        <v>1</v>
      </c>
      <c r="R358" s="10"/>
    </row>
    <row r="359">
      <c r="A359" s="17">
        <v>2.9539255E7</v>
      </c>
      <c r="B359" s="10" t="s">
        <v>65</v>
      </c>
      <c r="C359" s="11">
        <v>45992.0</v>
      </c>
      <c r="D359" s="10" t="s">
        <v>246</v>
      </c>
      <c r="E359" s="10" t="s">
        <v>3692</v>
      </c>
      <c r="F359" s="10"/>
      <c r="G359" s="10" t="s">
        <v>3693</v>
      </c>
      <c r="H359" s="10" t="s">
        <v>250</v>
      </c>
      <c r="I359" s="14" t="b">
        <v>0</v>
      </c>
      <c r="J359" s="10" t="s">
        <v>83</v>
      </c>
      <c r="K359" s="10"/>
      <c r="L359" s="10"/>
      <c r="M359" s="10"/>
      <c r="N359" s="10"/>
      <c r="O359" s="10"/>
      <c r="P359" s="10"/>
      <c r="Q359" s="14" t="b">
        <v>1</v>
      </c>
      <c r="R359" s="10"/>
    </row>
    <row r="360">
      <c r="A360" s="10" t="s">
        <v>3699</v>
      </c>
      <c r="B360" s="10" t="s">
        <v>65</v>
      </c>
      <c r="C360" s="11">
        <v>45993.0</v>
      </c>
      <c r="D360" s="10" t="s">
        <v>2736</v>
      </c>
      <c r="E360" s="10" t="s">
        <v>3701</v>
      </c>
      <c r="F360" s="10"/>
      <c r="G360" s="10" t="s">
        <v>3702</v>
      </c>
      <c r="H360" s="10" t="s">
        <v>3703</v>
      </c>
      <c r="I360" s="14" t="b">
        <v>0</v>
      </c>
      <c r="J360" s="10" t="s">
        <v>83</v>
      </c>
      <c r="K360" s="10"/>
      <c r="L360" s="10"/>
      <c r="M360" s="10"/>
      <c r="N360" s="10"/>
      <c r="O360" s="10"/>
      <c r="P360" s="10"/>
      <c r="Q360" s="14" t="b">
        <v>1</v>
      </c>
      <c r="R360" s="10"/>
    </row>
    <row r="361">
      <c r="A361" s="10" t="s">
        <v>3710</v>
      </c>
      <c r="B361" s="10" t="s">
        <v>65</v>
      </c>
      <c r="C361" s="11">
        <v>45993.0</v>
      </c>
      <c r="D361" s="10" t="s">
        <v>153</v>
      </c>
      <c r="E361" s="10" t="s">
        <v>3714</v>
      </c>
      <c r="F361" s="10"/>
      <c r="G361" s="10" t="s">
        <v>3716</v>
      </c>
      <c r="H361" s="10" t="s">
        <v>157</v>
      </c>
      <c r="I361" s="14" t="b">
        <v>1</v>
      </c>
      <c r="J361" s="10" t="s">
        <v>83</v>
      </c>
      <c r="K361" s="10"/>
      <c r="L361" s="10"/>
      <c r="M361" s="10"/>
      <c r="N361" s="10"/>
      <c r="O361" s="10"/>
      <c r="P361" s="17">
        <v>1835518.0</v>
      </c>
      <c r="Q361" s="14" t="b">
        <v>1</v>
      </c>
      <c r="R361" s="10"/>
    </row>
    <row r="362">
      <c r="A362" s="10" t="s">
        <v>3720</v>
      </c>
      <c r="B362" s="10" t="s">
        <v>65</v>
      </c>
      <c r="C362" s="11">
        <v>45993.0</v>
      </c>
      <c r="D362" s="10" t="s">
        <v>1888</v>
      </c>
      <c r="E362" s="10" t="s">
        <v>3722</v>
      </c>
      <c r="F362" s="10"/>
      <c r="G362" s="10" t="s">
        <v>3725</v>
      </c>
      <c r="H362" s="10" t="s">
        <v>149</v>
      </c>
      <c r="I362" s="14" t="b">
        <v>0</v>
      </c>
      <c r="J362" s="10" t="s">
        <v>83</v>
      </c>
      <c r="K362" s="10"/>
      <c r="L362" s="10"/>
      <c r="M362" s="10"/>
      <c r="N362" s="10"/>
      <c r="O362" s="10"/>
      <c r="P362" s="10"/>
      <c r="Q362" s="14" t="b">
        <v>1</v>
      </c>
      <c r="R362" s="10"/>
    </row>
    <row r="363">
      <c r="A363" s="10" t="s">
        <v>3729</v>
      </c>
      <c r="B363" s="10" t="s">
        <v>65</v>
      </c>
      <c r="C363" s="11">
        <v>45982.0</v>
      </c>
      <c r="D363" s="10" t="s">
        <v>2736</v>
      </c>
      <c r="E363" s="10" t="s">
        <v>3733</v>
      </c>
      <c r="F363" s="10"/>
      <c r="G363" s="10" t="s">
        <v>3735</v>
      </c>
      <c r="H363" s="10" t="s">
        <v>290</v>
      </c>
      <c r="I363" s="14" t="b">
        <v>0</v>
      </c>
      <c r="J363" s="10" t="s">
        <v>83</v>
      </c>
      <c r="K363" s="10"/>
      <c r="L363" s="10"/>
      <c r="M363" s="10"/>
      <c r="N363" s="10"/>
      <c r="O363" s="10"/>
      <c r="P363" s="10"/>
      <c r="Q363" s="14" t="b">
        <v>1</v>
      </c>
      <c r="R363" s="10"/>
    </row>
    <row r="364">
      <c r="A364" s="10" t="s">
        <v>3742</v>
      </c>
      <c r="B364" s="10" t="s">
        <v>65</v>
      </c>
      <c r="C364" s="11">
        <v>45993.0</v>
      </c>
      <c r="D364" s="10" t="s">
        <v>2675</v>
      </c>
      <c r="E364" s="10" t="s">
        <v>3746</v>
      </c>
      <c r="F364" s="10"/>
      <c r="G364" s="10" t="s">
        <v>3748</v>
      </c>
      <c r="H364" s="10" t="s">
        <v>3749</v>
      </c>
      <c r="I364" s="14" t="b">
        <v>1</v>
      </c>
      <c r="J364" s="10" t="s">
        <v>83</v>
      </c>
      <c r="K364" s="10"/>
      <c r="L364" s="10"/>
      <c r="M364" s="10"/>
      <c r="N364" s="10"/>
      <c r="O364" s="10"/>
      <c r="P364" s="17">
        <v>1835945.0</v>
      </c>
      <c r="Q364" s="14" t="b">
        <v>1</v>
      </c>
      <c r="R364" s="10"/>
    </row>
    <row r="365">
      <c r="A365" s="10" t="s">
        <v>3756</v>
      </c>
      <c r="B365" s="10" t="s">
        <v>65</v>
      </c>
      <c r="C365" s="11">
        <v>45992.0</v>
      </c>
      <c r="D365" s="10" t="s">
        <v>751</v>
      </c>
      <c r="E365" s="10" t="s">
        <v>3759</v>
      </c>
      <c r="F365" s="10"/>
      <c r="G365" s="10" t="s">
        <v>3761</v>
      </c>
      <c r="H365" s="10" t="s">
        <v>481</v>
      </c>
      <c r="I365" s="14" t="b">
        <v>0</v>
      </c>
      <c r="J365" s="10" t="s">
        <v>83</v>
      </c>
      <c r="K365" s="10"/>
      <c r="L365" s="10"/>
      <c r="M365" s="10"/>
      <c r="N365" s="10"/>
      <c r="O365" s="10"/>
      <c r="P365" s="10"/>
      <c r="Q365" s="14" t="b">
        <v>1</v>
      </c>
      <c r="R365" s="10"/>
    </row>
    <row r="366">
      <c r="A366" s="10" t="s">
        <v>3768</v>
      </c>
      <c r="B366" s="10" t="s">
        <v>65</v>
      </c>
      <c r="C366" s="11">
        <v>45989.0</v>
      </c>
      <c r="D366" s="200" t="s">
        <v>131</v>
      </c>
      <c r="E366" s="10" t="s">
        <v>3771</v>
      </c>
      <c r="F366" s="10"/>
      <c r="G366" s="10" t="s">
        <v>3774</v>
      </c>
      <c r="H366" s="10" t="s">
        <v>3775</v>
      </c>
      <c r="I366" s="14" t="b">
        <v>0</v>
      </c>
      <c r="J366" s="10" t="s">
        <v>83</v>
      </c>
      <c r="K366" s="10"/>
      <c r="L366" s="10"/>
      <c r="M366" s="10"/>
      <c r="N366" s="10"/>
      <c r="O366" s="10"/>
      <c r="P366" s="10"/>
      <c r="Q366" s="14" t="b">
        <v>1</v>
      </c>
      <c r="R366" s="10"/>
    </row>
    <row r="367">
      <c r="A367" s="10" t="s">
        <v>3779</v>
      </c>
      <c r="B367" s="10" t="s">
        <v>65</v>
      </c>
      <c r="C367" s="11">
        <v>45994.0</v>
      </c>
      <c r="D367" s="10" t="s">
        <v>163</v>
      </c>
      <c r="E367" s="10" t="s">
        <v>3783</v>
      </c>
      <c r="F367" s="10"/>
      <c r="G367" s="10" t="s">
        <v>3786</v>
      </c>
      <c r="H367" s="10" t="s">
        <v>1010</v>
      </c>
      <c r="I367" s="14" t="b">
        <v>1</v>
      </c>
      <c r="J367" s="10" t="s">
        <v>83</v>
      </c>
      <c r="K367" s="10"/>
      <c r="L367" s="10"/>
      <c r="M367" s="10"/>
      <c r="N367" s="10"/>
      <c r="O367" s="10"/>
      <c r="P367" s="17">
        <v>1837242.0</v>
      </c>
      <c r="Q367" s="14" t="b">
        <v>1</v>
      </c>
      <c r="R367" s="10"/>
    </row>
    <row r="368">
      <c r="A368" s="10" t="s">
        <v>3791</v>
      </c>
      <c r="B368" s="10" t="s">
        <v>65</v>
      </c>
      <c r="C368" s="11">
        <v>45994.0</v>
      </c>
      <c r="D368" s="10" t="s">
        <v>2736</v>
      </c>
      <c r="E368" s="10" t="s">
        <v>3795</v>
      </c>
      <c r="F368" s="10"/>
      <c r="G368" s="10" t="s">
        <v>3797</v>
      </c>
      <c r="H368" s="10" t="s">
        <v>287</v>
      </c>
      <c r="I368" s="14" t="b">
        <v>0</v>
      </c>
      <c r="J368" s="10" t="s">
        <v>83</v>
      </c>
      <c r="K368" s="10"/>
      <c r="L368" s="10"/>
      <c r="M368" s="10"/>
      <c r="N368" s="10"/>
      <c r="O368" s="10"/>
      <c r="P368" s="10"/>
      <c r="Q368" s="14" t="b">
        <v>1</v>
      </c>
      <c r="R368" s="10"/>
    </row>
    <row r="369">
      <c r="A369" s="10" t="s">
        <v>3805</v>
      </c>
      <c r="B369" s="10" t="s">
        <v>65</v>
      </c>
      <c r="C369" s="11">
        <v>45994.0</v>
      </c>
      <c r="D369" s="10" t="s">
        <v>3807</v>
      </c>
      <c r="E369" s="10" t="s">
        <v>3808</v>
      </c>
      <c r="F369" s="10"/>
      <c r="G369" s="10" t="s">
        <v>3811</v>
      </c>
      <c r="H369" s="10" t="s">
        <v>3812</v>
      </c>
      <c r="I369" s="14" t="b">
        <v>1</v>
      </c>
      <c r="J369" s="10" t="s">
        <v>83</v>
      </c>
      <c r="K369" s="10"/>
      <c r="L369" s="10"/>
      <c r="M369" s="10"/>
      <c r="N369" s="10"/>
      <c r="O369" s="10"/>
      <c r="P369" s="17">
        <v>1837369.0</v>
      </c>
      <c r="Q369" s="14" t="b">
        <v>1</v>
      </c>
      <c r="R369" s="10"/>
    </row>
    <row r="370">
      <c r="A370" s="10" t="s">
        <v>3815</v>
      </c>
      <c r="B370" s="10" t="s">
        <v>65</v>
      </c>
      <c r="C370" s="11">
        <v>45994.0</v>
      </c>
      <c r="D370" s="10" t="s">
        <v>3807</v>
      </c>
      <c r="E370" s="10" t="s">
        <v>3817</v>
      </c>
      <c r="F370" s="10"/>
      <c r="G370" s="10" t="s">
        <v>3818</v>
      </c>
      <c r="H370" s="10" t="s">
        <v>3819</v>
      </c>
      <c r="I370" s="14" t="b">
        <v>1</v>
      </c>
      <c r="J370" s="10" t="s">
        <v>83</v>
      </c>
      <c r="K370" s="10"/>
      <c r="L370" s="10"/>
      <c r="M370" s="10"/>
      <c r="N370" s="10"/>
      <c r="O370" s="10"/>
      <c r="P370" s="17">
        <v>1837366.0</v>
      </c>
      <c r="Q370" s="14" t="b">
        <v>1</v>
      </c>
      <c r="R370" s="10"/>
    </row>
    <row r="371">
      <c r="A371" s="10" t="s">
        <v>3821</v>
      </c>
      <c r="B371" s="10" t="s">
        <v>65</v>
      </c>
      <c r="C371" s="11">
        <v>45993.0</v>
      </c>
      <c r="D371" s="10" t="s">
        <v>670</v>
      </c>
      <c r="E371" s="10" t="s">
        <v>3823</v>
      </c>
      <c r="F371" s="10"/>
      <c r="G371" s="10" t="s">
        <v>3824</v>
      </c>
      <c r="H371" s="10" t="s">
        <v>287</v>
      </c>
      <c r="I371" s="14" t="b">
        <v>0</v>
      </c>
      <c r="J371" s="10" t="s">
        <v>83</v>
      </c>
      <c r="K371" s="10"/>
      <c r="L371" s="10"/>
      <c r="M371" s="10"/>
      <c r="N371" s="10"/>
      <c r="O371" s="10"/>
      <c r="P371" s="10"/>
      <c r="Q371" s="14" t="b">
        <v>1</v>
      </c>
      <c r="R371" s="10"/>
    </row>
    <row r="372">
      <c r="A372" s="10" t="s">
        <v>3828</v>
      </c>
      <c r="B372" s="10" t="s">
        <v>65</v>
      </c>
      <c r="C372" s="11">
        <v>45995.0</v>
      </c>
      <c r="D372" s="10" t="s">
        <v>973</v>
      </c>
      <c r="E372" s="10" t="s">
        <v>3831</v>
      </c>
      <c r="F372" s="10"/>
      <c r="G372" s="10" t="s">
        <v>3832</v>
      </c>
      <c r="H372" s="10" t="s">
        <v>3834</v>
      </c>
      <c r="I372" s="14" t="b">
        <v>1</v>
      </c>
      <c r="J372" s="10" t="s">
        <v>83</v>
      </c>
      <c r="K372" s="10"/>
      <c r="L372" s="10"/>
      <c r="M372" s="10"/>
      <c r="N372" s="10"/>
      <c r="O372" s="10"/>
      <c r="P372" s="17">
        <v>1840316.0</v>
      </c>
      <c r="Q372" s="14" t="b">
        <v>1</v>
      </c>
      <c r="R372" s="10"/>
    </row>
    <row r="373">
      <c r="A373" s="10" t="s">
        <v>3841</v>
      </c>
      <c r="B373" s="10" t="s">
        <v>65</v>
      </c>
      <c r="C373" s="11">
        <v>45995.0</v>
      </c>
      <c r="D373" s="10" t="s">
        <v>3845</v>
      </c>
      <c r="E373" s="10" t="s">
        <v>3846</v>
      </c>
      <c r="F373" s="10"/>
      <c r="G373" s="10" t="s">
        <v>3848</v>
      </c>
      <c r="H373" s="10" t="s">
        <v>3851</v>
      </c>
      <c r="I373" s="14" t="b">
        <v>1</v>
      </c>
      <c r="J373" s="10" t="s">
        <v>83</v>
      </c>
      <c r="K373" s="10"/>
      <c r="L373" s="10"/>
      <c r="M373" s="10"/>
      <c r="N373" s="10"/>
      <c r="O373" s="10"/>
      <c r="P373" s="17">
        <v>1840391.0</v>
      </c>
      <c r="Q373" s="14" t="b">
        <v>1</v>
      </c>
      <c r="R373" s="10"/>
    </row>
    <row r="374">
      <c r="A374" s="10" t="s">
        <v>3857</v>
      </c>
      <c r="B374" s="10" t="s">
        <v>65</v>
      </c>
      <c r="C374" s="11">
        <v>45995.0</v>
      </c>
      <c r="D374" s="10" t="s">
        <v>751</v>
      </c>
      <c r="E374" s="10" t="s">
        <v>3860</v>
      </c>
      <c r="F374" s="10"/>
      <c r="G374" s="10" t="s">
        <v>3861</v>
      </c>
      <c r="H374" s="10" t="s">
        <v>481</v>
      </c>
      <c r="I374" s="14" t="b">
        <v>0</v>
      </c>
      <c r="J374" s="10" t="s">
        <v>83</v>
      </c>
      <c r="K374" s="10"/>
      <c r="L374" s="10"/>
      <c r="M374" s="10"/>
      <c r="N374" s="10"/>
      <c r="O374" s="10"/>
      <c r="P374" s="10"/>
      <c r="Q374" s="14" t="b">
        <v>1</v>
      </c>
      <c r="R374" s="10"/>
    </row>
    <row r="375">
      <c r="A375" s="10" t="s">
        <v>3867</v>
      </c>
      <c r="B375" s="10" t="s">
        <v>65</v>
      </c>
      <c r="C375" s="11">
        <v>45995.0</v>
      </c>
      <c r="D375" s="10" t="s">
        <v>751</v>
      </c>
      <c r="E375" s="10" t="s">
        <v>3860</v>
      </c>
      <c r="F375" s="10"/>
      <c r="G375" s="10" t="s">
        <v>3869</v>
      </c>
      <c r="H375" s="10" t="s">
        <v>481</v>
      </c>
      <c r="I375" s="14" t="b">
        <v>0</v>
      </c>
      <c r="J375" s="10" t="s">
        <v>83</v>
      </c>
      <c r="K375" s="10"/>
      <c r="L375" s="10"/>
      <c r="M375" s="10"/>
      <c r="N375" s="10"/>
      <c r="O375" s="10"/>
      <c r="P375" s="10"/>
      <c r="Q375" s="14" t="b">
        <v>1</v>
      </c>
      <c r="R375" s="10"/>
    </row>
    <row r="376">
      <c r="A376" s="10" t="s">
        <v>3876</v>
      </c>
      <c r="B376" s="10" t="s">
        <v>65</v>
      </c>
      <c r="C376" s="11">
        <v>45994.0</v>
      </c>
      <c r="D376" s="10" t="s">
        <v>3878</v>
      </c>
      <c r="E376" s="10" t="s">
        <v>3880</v>
      </c>
      <c r="F376" s="10"/>
      <c r="G376" s="10" t="s">
        <v>3881</v>
      </c>
      <c r="H376" s="10" t="s">
        <v>3883</v>
      </c>
      <c r="I376" s="14" t="b">
        <v>0</v>
      </c>
      <c r="J376" s="10" t="s">
        <v>83</v>
      </c>
      <c r="K376" s="10"/>
      <c r="L376" s="10" t="s">
        <v>3885</v>
      </c>
      <c r="M376" s="10"/>
      <c r="N376" s="10"/>
      <c r="O376" s="10"/>
      <c r="P376" s="10"/>
      <c r="Q376" s="14" t="b">
        <v>1</v>
      </c>
      <c r="R376" s="10"/>
    </row>
    <row r="377">
      <c r="A377" s="10" t="s">
        <v>3889</v>
      </c>
      <c r="B377" s="10" t="s">
        <v>65</v>
      </c>
      <c r="C377" s="11">
        <v>45996.0</v>
      </c>
      <c r="D377" s="10" t="s">
        <v>557</v>
      </c>
      <c r="E377" s="10" t="s">
        <v>3891</v>
      </c>
      <c r="F377" s="10"/>
      <c r="G377" s="10" t="s">
        <v>3892</v>
      </c>
      <c r="H377" s="10" t="s">
        <v>1441</v>
      </c>
      <c r="I377" s="14" t="b">
        <v>1</v>
      </c>
      <c r="J377" s="10" t="s">
        <v>83</v>
      </c>
      <c r="K377" s="10"/>
      <c r="L377" s="10"/>
      <c r="M377" s="10"/>
      <c r="N377" s="10"/>
      <c r="O377" s="10"/>
      <c r="P377" s="17">
        <v>1841806.0</v>
      </c>
      <c r="Q377" s="14" t="b">
        <v>1</v>
      </c>
      <c r="R377" s="10"/>
    </row>
    <row r="378">
      <c r="A378" s="10" t="s">
        <v>3896</v>
      </c>
      <c r="B378" s="10" t="s">
        <v>65</v>
      </c>
      <c r="C378" s="11">
        <v>45996.0</v>
      </c>
      <c r="D378" s="10" t="s">
        <v>1484</v>
      </c>
      <c r="E378" s="10" t="s">
        <v>3899</v>
      </c>
      <c r="F378" s="10"/>
      <c r="G378" s="10" t="s">
        <v>3900</v>
      </c>
      <c r="H378" s="10" t="s">
        <v>3901</v>
      </c>
      <c r="I378" s="14" t="b">
        <v>1</v>
      </c>
      <c r="J378" s="10" t="s">
        <v>83</v>
      </c>
      <c r="K378" s="10"/>
      <c r="L378" s="10"/>
      <c r="M378" s="10"/>
      <c r="N378" s="10"/>
      <c r="O378" s="10"/>
      <c r="P378" s="17">
        <v>1841846.0</v>
      </c>
      <c r="Q378" s="14" t="b">
        <v>1</v>
      </c>
      <c r="R378" s="10"/>
    </row>
    <row r="379">
      <c r="A379" s="10" t="s">
        <v>3906</v>
      </c>
      <c r="B379" s="10" t="s">
        <v>65</v>
      </c>
      <c r="C379" s="11">
        <v>45996.0</v>
      </c>
      <c r="D379" s="10" t="s">
        <v>3908</v>
      </c>
      <c r="E379" s="10" t="s">
        <v>3910</v>
      </c>
      <c r="F379" s="10"/>
      <c r="G379" s="10" t="s">
        <v>3911</v>
      </c>
      <c r="H379" s="10" t="s">
        <v>195</v>
      </c>
      <c r="I379" s="14" t="b">
        <v>1</v>
      </c>
      <c r="J379" s="10" t="s">
        <v>83</v>
      </c>
      <c r="K379" s="10"/>
      <c r="L379" s="10"/>
      <c r="M379" s="10"/>
      <c r="N379" s="10"/>
      <c r="O379" s="10"/>
      <c r="P379" s="17">
        <v>1841901.0</v>
      </c>
      <c r="Q379" s="14" t="b">
        <v>1</v>
      </c>
      <c r="R379" s="10"/>
    </row>
    <row r="380">
      <c r="A380" s="10" t="s">
        <v>3914</v>
      </c>
      <c r="B380" s="10" t="s">
        <v>65</v>
      </c>
      <c r="C380" s="11">
        <v>45997.0</v>
      </c>
      <c r="D380" s="10" t="s">
        <v>751</v>
      </c>
      <c r="E380" s="10" t="s">
        <v>3917</v>
      </c>
      <c r="F380" s="10"/>
      <c r="G380" s="10" t="s">
        <v>3918</v>
      </c>
      <c r="H380" s="10" t="s">
        <v>481</v>
      </c>
      <c r="I380" s="14" t="b">
        <v>0</v>
      </c>
      <c r="J380" s="10" t="s">
        <v>83</v>
      </c>
      <c r="K380" s="10"/>
      <c r="L380" s="10"/>
      <c r="M380" s="10"/>
      <c r="N380" s="10"/>
      <c r="O380" s="10"/>
      <c r="P380" s="10"/>
      <c r="Q380" s="14" t="b">
        <v>1</v>
      </c>
      <c r="R380" s="10"/>
    </row>
    <row r="381">
      <c r="A381" s="10" t="s">
        <v>3921</v>
      </c>
      <c r="B381" s="10" t="s">
        <v>65</v>
      </c>
      <c r="C381" s="11">
        <v>45998.0</v>
      </c>
      <c r="D381" s="17">
        <v>8.627274E7</v>
      </c>
      <c r="E381" s="10" t="s">
        <v>3924</v>
      </c>
      <c r="F381" s="10"/>
      <c r="G381" s="10" t="s">
        <v>3925</v>
      </c>
      <c r="H381" s="10" t="s">
        <v>3926</v>
      </c>
      <c r="I381" s="14" t="b">
        <v>1</v>
      </c>
      <c r="J381" s="10" t="s">
        <v>83</v>
      </c>
      <c r="K381" s="10"/>
      <c r="L381" s="10"/>
      <c r="M381" s="10"/>
      <c r="N381" s="10"/>
      <c r="O381" s="10"/>
      <c r="P381" s="17">
        <v>1847942.0</v>
      </c>
      <c r="Q381" s="14" t="b">
        <v>1</v>
      </c>
      <c r="R381" s="10"/>
    </row>
    <row r="382">
      <c r="A382" s="10" t="s">
        <v>3930</v>
      </c>
      <c r="B382" s="10" t="s">
        <v>65</v>
      </c>
      <c r="C382" s="11">
        <v>45997.0</v>
      </c>
      <c r="D382" s="10" t="s">
        <v>189</v>
      </c>
      <c r="E382" s="10" t="s">
        <v>3931</v>
      </c>
      <c r="F382" s="10"/>
      <c r="G382" s="10" t="s">
        <v>3933</v>
      </c>
      <c r="H382" s="10" t="s">
        <v>195</v>
      </c>
      <c r="I382" s="14" t="b">
        <v>0</v>
      </c>
      <c r="J382" s="10" t="s">
        <v>83</v>
      </c>
      <c r="K382" s="10"/>
      <c r="L382" s="10"/>
      <c r="M382" s="10"/>
      <c r="N382" s="10"/>
      <c r="O382" s="10"/>
      <c r="P382" s="10"/>
      <c r="Q382" s="14" t="b">
        <v>1</v>
      </c>
      <c r="R382" s="10"/>
    </row>
    <row r="383">
      <c r="A383" s="10" t="s">
        <v>3938</v>
      </c>
      <c r="B383" s="10" t="s">
        <v>65</v>
      </c>
      <c r="C383" s="11">
        <v>45998.0</v>
      </c>
      <c r="D383" s="10" t="s">
        <v>3175</v>
      </c>
      <c r="E383" s="10" t="s">
        <v>3941</v>
      </c>
      <c r="F383" s="10"/>
      <c r="G383" s="10" t="s">
        <v>3942</v>
      </c>
      <c r="H383" s="10" t="s">
        <v>3943</v>
      </c>
      <c r="I383" s="14" t="b">
        <v>1</v>
      </c>
      <c r="J383" s="10" t="s">
        <v>83</v>
      </c>
      <c r="K383" s="10"/>
      <c r="L383" s="10"/>
      <c r="M383" s="10"/>
      <c r="N383" s="10"/>
      <c r="O383" s="10"/>
      <c r="P383" s="17">
        <v>1848896.0</v>
      </c>
      <c r="Q383" s="14" t="b">
        <v>1</v>
      </c>
      <c r="R383" s="10"/>
    </row>
    <row r="384">
      <c r="A384" s="10" t="s">
        <v>3947</v>
      </c>
      <c r="B384" s="10" t="s">
        <v>65</v>
      </c>
      <c r="C384" s="11">
        <v>45998.0</v>
      </c>
      <c r="D384" s="10" t="s">
        <v>3371</v>
      </c>
      <c r="E384" s="10" t="s">
        <v>3949</v>
      </c>
      <c r="F384" s="10"/>
      <c r="G384" s="10" t="s">
        <v>3950</v>
      </c>
      <c r="H384" s="10" t="s">
        <v>3375</v>
      </c>
      <c r="I384" s="14" t="b">
        <v>1</v>
      </c>
      <c r="J384" s="10" t="s">
        <v>83</v>
      </c>
      <c r="K384" s="10"/>
      <c r="L384" s="10"/>
      <c r="M384" s="10"/>
      <c r="N384" s="10"/>
      <c r="O384" s="10"/>
      <c r="P384" s="17">
        <v>1847426.0</v>
      </c>
      <c r="Q384" s="14" t="b">
        <v>1</v>
      </c>
      <c r="R384" s="10"/>
    </row>
    <row r="385">
      <c r="A385" s="10" t="s">
        <v>3955</v>
      </c>
      <c r="B385" s="10" t="s">
        <v>65</v>
      </c>
      <c r="C385" s="11">
        <v>45999.0</v>
      </c>
      <c r="D385" s="10" t="s">
        <v>1888</v>
      </c>
      <c r="E385" s="10" t="s">
        <v>3956</v>
      </c>
      <c r="F385" s="10"/>
      <c r="G385" s="10" t="s">
        <v>3958</v>
      </c>
      <c r="H385" s="10" t="s">
        <v>149</v>
      </c>
      <c r="I385" s="14" t="b">
        <v>0</v>
      </c>
      <c r="J385" s="10" t="s">
        <v>83</v>
      </c>
      <c r="K385" s="10"/>
      <c r="L385" s="10"/>
      <c r="M385" s="10"/>
      <c r="N385" s="10"/>
      <c r="O385" s="10"/>
      <c r="P385" s="10"/>
      <c r="Q385" s="14" t="b">
        <v>1</v>
      </c>
      <c r="R385" s="10"/>
    </row>
    <row r="386">
      <c r="A386" s="10" t="s">
        <v>3962</v>
      </c>
      <c r="B386" s="10" t="s">
        <v>65</v>
      </c>
      <c r="C386" s="11">
        <v>46000.0</v>
      </c>
      <c r="D386" s="200" t="s">
        <v>131</v>
      </c>
      <c r="E386" s="10" t="s">
        <v>3965</v>
      </c>
      <c r="F386" s="10"/>
      <c r="G386" s="10" t="s">
        <v>3967</v>
      </c>
      <c r="H386" s="10" t="s">
        <v>171</v>
      </c>
      <c r="I386" s="14" t="b">
        <v>0</v>
      </c>
      <c r="J386" s="10" t="s">
        <v>83</v>
      </c>
      <c r="K386" s="10"/>
      <c r="L386" s="10" t="s">
        <v>3970</v>
      </c>
      <c r="M386" s="10"/>
      <c r="N386" s="10"/>
      <c r="O386" s="10"/>
      <c r="P386" s="10"/>
      <c r="Q386" s="14" t="b">
        <v>1</v>
      </c>
      <c r="R386" s="10"/>
    </row>
    <row r="387">
      <c r="A387" s="10" t="s">
        <v>3972</v>
      </c>
      <c r="B387" s="10" t="s">
        <v>65</v>
      </c>
      <c r="C387" s="11">
        <v>45999.0</v>
      </c>
      <c r="D387" s="10" t="s">
        <v>163</v>
      </c>
      <c r="E387" s="10" t="s">
        <v>3976</v>
      </c>
      <c r="F387" s="10"/>
      <c r="G387" s="10" t="s">
        <v>3977</v>
      </c>
      <c r="H387" s="10" t="s">
        <v>529</v>
      </c>
      <c r="I387" s="14" t="b">
        <v>1</v>
      </c>
      <c r="J387" s="10" t="s">
        <v>83</v>
      </c>
      <c r="K387" s="10"/>
      <c r="L387" s="10"/>
      <c r="M387" s="10"/>
      <c r="N387" s="10"/>
      <c r="O387" s="10"/>
      <c r="P387" s="17">
        <v>1849929.0</v>
      </c>
      <c r="Q387" s="14" t="b">
        <v>1</v>
      </c>
      <c r="R387" s="10"/>
    </row>
    <row r="388">
      <c r="A388" s="10" t="s">
        <v>3980</v>
      </c>
      <c r="B388" s="10" t="s">
        <v>65</v>
      </c>
      <c r="C388" s="11">
        <v>46000.0</v>
      </c>
      <c r="D388" s="17">
        <v>8.627274E7</v>
      </c>
      <c r="E388" s="10" t="s">
        <v>3981</v>
      </c>
      <c r="F388" s="10"/>
      <c r="G388" s="10" t="s">
        <v>3983</v>
      </c>
      <c r="H388" s="10" t="s">
        <v>3984</v>
      </c>
      <c r="I388" s="14" t="b">
        <v>1</v>
      </c>
      <c r="J388" s="10" t="s">
        <v>83</v>
      </c>
      <c r="K388" s="10"/>
      <c r="L388" s="10"/>
      <c r="M388" s="10"/>
      <c r="N388" s="10"/>
      <c r="O388" s="10"/>
      <c r="P388" s="17">
        <v>1851662.0</v>
      </c>
      <c r="Q388" s="14" t="b">
        <v>1</v>
      </c>
      <c r="R388" s="10"/>
    </row>
    <row r="389">
      <c r="A389" s="10" t="s">
        <v>3989</v>
      </c>
      <c r="B389" s="10" t="s">
        <v>65</v>
      </c>
      <c r="C389" s="11">
        <v>46000.0</v>
      </c>
      <c r="D389" s="17">
        <v>8.627274E7</v>
      </c>
      <c r="E389" s="10" t="s">
        <v>3994</v>
      </c>
      <c r="F389" s="10"/>
      <c r="G389" s="10" t="s">
        <v>3995</v>
      </c>
      <c r="H389" s="10" t="s">
        <v>3996</v>
      </c>
      <c r="I389" s="14" t="b">
        <v>1</v>
      </c>
      <c r="J389" s="10" t="s">
        <v>83</v>
      </c>
      <c r="K389" s="10"/>
      <c r="L389" s="10"/>
      <c r="M389" s="10"/>
      <c r="N389" s="10"/>
      <c r="O389" s="10"/>
      <c r="P389" s="17">
        <v>1851661.0</v>
      </c>
      <c r="Q389" s="14" t="b">
        <v>1</v>
      </c>
      <c r="R389" s="10"/>
    </row>
    <row r="390">
      <c r="A390" s="10" t="s">
        <v>4002</v>
      </c>
      <c r="B390" s="10" t="s">
        <v>65</v>
      </c>
      <c r="C390" s="11">
        <v>46000.0</v>
      </c>
      <c r="D390" s="10" t="s">
        <v>227</v>
      </c>
      <c r="E390" s="10" t="s">
        <v>4004</v>
      </c>
      <c r="F390" s="10"/>
      <c r="G390" s="10" t="s">
        <v>4006</v>
      </c>
      <c r="H390" s="10" t="s">
        <v>4007</v>
      </c>
      <c r="I390" s="14" t="b">
        <v>1</v>
      </c>
      <c r="J390" s="10" t="s">
        <v>83</v>
      </c>
      <c r="K390" s="10"/>
      <c r="L390" s="10"/>
      <c r="M390" s="10"/>
      <c r="N390" s="10"/>
      <c r="O390" s="10"/>
      <c r="P390" s="17">
        <v>1851663.0</v>
      </c>
      <c r="Q390" s="14" t="b">
        <v>1</v>
      </c>
      <c r="R390" s="10"/>
    </row>
    <row r="391">
      <c r="A391" s="10" t="s">
        <v>4013</v>
      </c>
      <c r="B391" s="10" t="s">
        <v>65</v>
      </c>
      <c r="C391" s="11">
        <v>46003.0</v>
      </c>
      <c r="D391" s="10" t="s">
        <v>3058</v>
      </c>
      <c r="E391" s="10" t="s">
        <v>4016</v>
      </c>
      <c r="F391" s="10"/>
      <c r="G391" s="10" t="s">
        <v>4018</v>
      </c>
      <c r="H391" s="10" t="s">
        <v>4019</v>
      </c>
      <c r="I391" s="14" t="b">
        <v>1</v>
      </c>
      <c r="J391" s="10" t="s">
        <v>83</v>
      </c>
      <c r="K391" s="10"/>
      <c r="L391" s="10"/>
      <c r="M391" s="10"/>
      <c r="N391" s="10"/>
      <c r="O391" s="10"/>
      <c r="P391" s="17">
        <v>1857570.0</v>
      </c>
      <c r="Q391" s="14" t="b">
        <v>1</v>
      </c>
      <c r="R391" s="10"/>
    </row>
    <row r="392">
      <c r="A392" s="10" t="s">
        <v>4023</v>
      </c>
      <c r="B392" s="10" t="s">
        <v>65</v>
      </c>
      <c r="C392" s="11">
        <v>46003.0</v>
      </c>
      <c r="D392" s="10" t="s">
        <v>163</v>
      </c>
      <c r="E392" s="10" t="s">
        <v>4025</v>
      </c>
      <c r="F392" s="10"/>
      <c r="G392" s="10" t="s">
        <v>4027</v>
      </c>
      <c r="H392" s="10" t="s">
        <v>4028</v>
      </c>
      <c r="I392" s="14" t="b">
        <v>1</v>
      </c>
      <c r="J392" s="10" t="s">
        <v>83</v>
      </c>
      <c r="K392" s="10"/>
      <c r="L392" s="10"/>
      <c r="M392" s="10"/>
      <c r="N392" s="10"/>
      <c r="O392" s="10"/>
      <c r="P392" s="17">
        <v>1857606.0</v>
      </c>
      <c r="Q392" s="14" t="b">
        <v>1</v>
      </c>
      <c r="R392" s="10"/>
    </row>
    <row r="393">
      <c r="A393" s="10" t="s">
        <v>4034</v>
      </c>
      <c r="B393" s="10" t="s">
        <v>65</v>
      </c>
      <c r="C393" s="11">
        <v>46003.0</v>
      </c>
      <c r="D393" s="10" t="s">
        <v>153</v>
      </c>
      <c r="E393" s="10" t="s">
        <v>4037</v>
      </c>
      <c r="F393" s="10"/>
      <c r="G393" s="10" t="s">
        <v>4040</v>
      </c>
      <c r="H393" s="10" t="s">
        <v>4041</v>
      </c>
      <c r="I393" s="14" t="b">
        <v>1</v>
      </c>
      <c r="J393" s="10" t="s">
        <v>83</v>
      </c>
      <c r="K393" s="10"/>
      <c r="L393" s="10"/>
      <c r="M393" s="10"/>
      <c r="N393" s="10"/>
      <c r="O393" s="10"/>
      <c r="P393" s="17">
        <v>1857617.0</v>
      </c>
      <c r="Q393" s="14" t="b">
        <v>1</v>
      </c>
      <c r="R393" s="10"/>
    </row>
    <row r="394">
      <c r="A394" s="10" t="s">
        <v>4046</v>
      </c>
      <c r="B394" s="10" t="s">
        <v>65</v>
      </c>
      <c r="C394" s="11">
        <v>46002.0</v>
      </c>
      <c r="D394" s="10" t="s">
        <v>202</v>
      </c>
      <c r="E394" s="10" t="s">
        <v>4050</v>
      </c>
      <c r="F394" s="10"/>
      <c r="G394" s="10" t="s">
        <v>4053</v>
      </c>
      <c r="H394" s="10" t="s">
        <v>481</v>
      </c>
      <c r="I394" s="14" t="b">
        <v>0</v>
      </c>
      <c r="J394" s="10" t="s">
        <v>83</v>
      </c>
      <c r="K394" s="10"/>
      <c r="L394" s="10"/>
      <c r="M394" s="10"/>
      <c r="N394" s="10"/>
      <c r="O394" s="10"/>
      <c r="P394" s="10"/>
      <c r="Q394" s="14" t="b">
        <v>1</v>
      </c>
      <c r="R394" s="10"/>
    </row>
    <row r="395">
      <c r="A395" s="10" t="s">
        <v>4060</v>
      </c>
      <c r="B395" s="10" t="s">
        <v>65</v>
      </c>
      <c r="C395" s="11">
        <v>46002.0</v>
      </c>
      <c r="D395" s="10" t="s">
        <v>751</v>
      </c>
      <c r="E395" s="10" t="s">
        <v>4064</v>
      </c>
      <c r="F395" s="10"/>
      <c r="G395" s="10" t="s">
        <v>4066</v>
      </c>
      <c r="H395" s="10" t="s">
        <v>481</v>
      </c>
      <c r="I395" s="14" t="b">
        <v>0</v>
      </c>
      <c r="J395" s="10" t="s">
        <v>83</v>
      </c>
      <c r="K395" s="10"/>
      <c r="L395" s="10"/>
      <c r="M395" s="10"/>
      <c r="N395" s="10"/>
      <c r="O395" s="10"/>
      <c r="P395" s="10"/>
      <c r="Q395" s="14" t="b">
        <v>1</v>
      </c>
      <c r="R395" s="10"/>
    </row>
    <row r="396">
      <c r="A396" s="10" t="s">
        <v>4070</v>
      </c>
      <c r="B396" s="10" t="s">
        <v>65</v>
      </c>
      <c r="C396" s="11">
        <v>45999.0</v>
      </c>
      <c r="D396" s="10" t="s">
        <v>297</v>
      </c>
      <c r="E396" s="10" t="s">
        <v>4075</v>
      </c>
      <c r="F396" s="10"/>
      <c r="G396" s="10" t="s">
        <v>4077</v>
      </c>
      <c r="H396" s="10" t="s">
        <v>4079</v>
      </c>
      <c r="I396" s="14" t="b">
        <v>0</v>
      </c>
      <c r="J396" s="10" t="s">
        <v>83</v>
      </c>
      <c r="K396" s="10"/>
      <c r="L396" s="10" t="s">
        <v>4082</v>
      </c>
      <c r="M396" s="10" t="s">
        <v>4083</v>
      </c>
      <c r="N396" s="10"/>
      <c r="O396" s="10"/>
      <c r="P396" s="10"/>
      <c r="Q396" s="14" t="b">
        <v>1</v>
      </c>
      <c r="R396" s="10"/>
    </row>
    <row r="397">
      <c r="A397" s="10" t="s">
        <v>4086</v>
      </c>
      <c r="B397" s="10" t="s">
        <v>65</v>
      </c>
      <c r="C397" s="11">
        <v>46000.0</v>
      </c>
      <c r="D397" s="10" t="s">
        <v>189</v>
      </c>
      <c r="E397" s="10" t="s">
        <v>4089</v>
      </c>
      <c r="F397" s="10"/>
      <c r="G397" s="10" t="s">
        <v>4091</v>
      </c>
      <c r="H397" s="10" t="s">
        <v>460</v>
      </c>
      <c r="I397" s="14" t="b">
        <v>0</v>
      </c>
      <c r="J397" s="10" t="s">
        <v>83</v>
      </c>
      <c r="K397" s="10"/>
      <c r="L397" s="10"/>
      <c r="M397" s="10"/>
      <c r="N397" s="10"/>
      <c r="O397" s="10"/>
      <c r="P397" s="10"/>
      <c r="Q397" s="14" t="b">
        <v>1</v>
      </c>
      <c r="R397" s="10"/>
    </row>
    <row r="398">
      <c r="A398" s="10" t="s">
        <v>4096</v>
      </c>
      <c r="B398" s="10" t="s">
        <v>65</v>
      </c>
      <c r="C398" s="11">
        <v>45996.0</v>
      </c>
      <c r="D398" s="17">
        <v>1.5832353E7</v>
      </c>
      <c r="E398" s="10" t="s">
        <v>4098</v>
      </c>
      <c r="F398" s="10"/>
      <c r="G398" s="10" t="s">
        <v>4100</v>
      </c>
      <c r="H398" s="10" t="s">
        <v>4101</v>
      </c>
      <c r="I398" s="14" t="b">
        <v>1</v>
      </c>
      <c r="J398" s="10" t="s">
        <v>83</v>
      </c>
      <c r="K398" s="10"/>
      <c r="L398" s="10"/>
      <c r="M398" s="10"/>
      <c r="N398" s="10"/>
      <c r="O398" s="10"/>
      <c r="P398" s="17">
        <v>1842588.0</v>
      </c>
      <c r="Q398" s="14" t="b">
        <v>1</v>
      </c>
      <c r="R398" s="10"/>
    </row>
    <row r="399">
      <c r="A399" s="10" t="s">
        <v>4104</v>
      </c>
      <c r="B399" s="10" t="s">
        <v>65</v>
      </c>
      <c r="C399" s="11">
        <v>46004.0</v>
      </c>
      <c r="D399" s="10" t="s">
        <v>434</v>
      </c>
      <c r="E399" s="10" t="s">
        <v>4109</v>
      </c>
      <c r="F399" s="10"/>
      <c r="G399" s="10" t="s">
        <v>4110</v>
      </c>
      <c r="H399" s="10" t="s">
        <v>4111</v>
      </c>
      <c r="I399" s="14" t="b">
        <v>1</v>
      </c>
      <c r="J399" s="10" t="s">
        <v>83</v>
      </c>
      <c r="K399" s="10"/>
      <c r="L399" s="10"/>
      <c r="M399" s="10"/>
      <c r="N399" s="10"/>
      <c r="O399" s="10"/>
      <c r="P399" s="17">
        <v>1858983.0</v>
      </c>
      <c r="Q399" s="14" t="b">
        <v>1</v>
      </c>
      <c r="R399" s="10"/>
    </row>
    <row r="400">
      <c r="A400" s="10" t="s">
        <v>4116</v>
      </c>
      <c r="B400" s="10" t="s">
        <v>65</v>
      </c>
      <c r="C400" s="11">
        <v>46004.0</v>
      </c>
      <c r="D400" s="10" t="s">
        <v>3175</v>
      </c>
      <c r="E400" s="10" t="s">
        <v>4119</v>
      </c>
      <c r="F400" s="10"/>
      <c r="G400" s="10" t="s">
        <v>4120</v>
      </c>
      <c r="H400" s="10" t="s">
        <v>3425</v>
      </c>
      <c r="I400" s="14" t="b">
        <v>1</v>
      </c>
      <c r="J400" s="10" t="s">
        <v>83</v>
      </c>
      <c r="K400" s="10"/>
      <c r="L400" s="10"/>
      <c r="M400" s="10"/>
      <c r="N400" s="10"/>
      <c r="O400" s="10"/>
      <c r="P400" s="17">
        <v>1860134.0</v>
      </c>
      <c r="Q400" s="14" t="b">
        <v>1</v>
      </c>
      <c r="R400" s="10"/>
    </row>
    <row r="401">
      <c r="A401" s="17">
        <v>9.8316648E7</v>
      </c>
      <c r="B401" s="10" t="s">
        <v>65</v>
      </c>
      <c r="C401" s="11">
        <v>46005.0</v>
      </c>
      <c r="D401" s="10" t="s">
        <v>3175</v>
      </c>
      <c r="E401" s="10" t="s">
        <v>4126</v>
      </c>
      <c r="F401" s="10"/>
      <c r="G401" s="10" t="s">
        <v>4128</v>
      </c>
      <c r="H401" s="10" t="s">
        <v>506</v>
      </c>
      <c r="I401" s="14" t="b">
        <v>1</v>
      </c>
      <c r="J401" s="10" t="s">
        <v>83</v>
      </c>
      <c r="K401" s="10"/>
      <c r="L401" s="10"/>
      <c r="M401" s="10"/>
      <c r="N401" s="10"/>
      <c r="O401" s="10"/>
      <c r="P401" s="17">
        <v>1863113.0</v>
      </c>
      <c r="Q401" s="14" t="b">
        <v>1</v>
      </c>
      <c r="R401" s="10"/>
    </row>
    <row r="402">
      <c r="A402" s="10" t="s">
        <v>4130</v>
      </c>
      <c r="B402" s="10" t="s">
        <v>65</v>
      </c>
      <c r="C402" s="11">
        <v>46005.0</v>
      </c>
      <c r="D402" s="10" t="s">
        <v>189</v>
      </c>
      <c r="E402" s="10" t="s">
        <v>4134</v>
      </c>
      <c r="F402" s="10"/>
      <c r="G402" s="10" t="s">
        <v>4135</v>
      </c>
      <c r="H402" s="10" t="s">
        <v>460</v>
      </c>
      <c r="I402" s="14" t="b">
        <v>0</v>
      </c>
      <c r="J402" s="10" t="s">
        <v>83</v>
      </c>
      <c r="K402" s="10"/>
      <c r="L402" s="10"/>
      <c r="M402" s="10"/>
      <c r="N402" s="10"/>
      <c r="O402" s="10"/>
      <c r="P402" s="10"/>
      <c r="Q402" s="14" t="b">
        <v>1</v>
      </c>
      <c r="R402" s="10"/>
    </row>
    <row r="403">
      <c r="A403" s="10" t="s">
        <v>4141</v>
      </c>
      <c r="B403" s="10" t="s">
        <v>65</v>
      </c>
      <c r="C403" s="11">
        <v>46006.0</v>
      </c>
      <c r="D403" s="10" t="s">
        <v>751</v>
      </c>
      <c r="E403" s="10" t="s">
        <v>4144</v>
      </c>
      <c r="F403" s="10"/>
      <c r="G403" s="10" t="s">
        <v>4145</v>
      </c>
      <c r="H403" s="10" t="s">
        <v>481</v>
      </c>
      <c r="I403" s="14" t="b">
        <v>0</v>
      </c>
      <c r="J403" s="10" t="s">
        <v>83</v>
      </c>
      <c r="K403" s="10"/>
      <c r="L403" s="10"/>
      <c r="M403" s="10"/>
      <c r="N403" s="10"/>
      <c r="O403" s="10"/>
      <c r="P403" s="10"/>
      <c r="Q403" s="14" t="b">
        <v>1</v>
      </c>
      <c r="R403" s="10"/>
    </row>
    <row r="404">
      <c r="A404" s="10" t="s">
        <v>4148</v>
      </c>
      <c r="B404" s="10" t="s">
        <v>65</v>
      </c>
      <c r="C404" s="11">
        <v>46006.0</v>
      </c>
      <c r="D404" s="10" t="s">
        <v>163</v>
      </c>
      <c r="E404" s="10" t="s">
        <v>4150</v>
      </c>
      <c r="F404" s="10"/>
      <c r="G404" s="10" t="s">
        <v>4151</v>
      </c>
      <c r="H404" s="10" t="s">
        <v>4154</v>
      </c>
      <c r="I404" s="14" t="b">
        <v>1</v>
      </c>
      <c r="J404" s="10" t="s">
        <v>83</v>
      </c>
      <c r="K404" s="10"/>
      <c r="L404" s="10"/>
      <c r="M404" s="10"/>
      <c r="N404" s="10"/>
      <c r="O404" s="10"/>
      <c r="P404" s="17">
        <v>1863346.0</v>
      </c>
      <c r="Q404" s="14" t="b">
        <v>1</v>
      </c>
      <c r="R404" s="10"/>
    </row>
    <row r="405">
      <c r="A405" s="10" t="s">
        <v>4157</v>
      </c>
      <c r="B405" s="10" t="s">
        <v>65</v>
      </c>
      <c r="C405" s="11">
        <v>46006.0</v>
      </c>
      <c r="D405" s="10" t="s">
        <v>2736</v>
      </c>
      <c r="E405" s="10" t="s">
        <v>4159</v>
      </c>
      <c r="F405" s="10"/>
      <c r="G405" s="10" t="s">
        <v>4160</v>
      </c>
      <c r="H405" s="10" t="s">
        <v>4161</v>
      </c>
      <c r="I405" s="14" t="b">
        <v>0</v>
      </c>
      <c r="J405" s="10" t="s">
        <v>83</v>
      </c>
      <c r="K405" s="10"/>
      <c r="L405" s="10"/>
      <c r="M405" s="10"/>
      <c r="N405" s="10"/>
      <c r="O405" s="10"/>
      <c r="P405" s="10"/>
      <c r="Q405" s="14" t="b">
        <v>1</v>
      </c>
      <c r="R405" s="10"/>
    </row>
    <row r="406">
      <c r="A406" s="10" t="s">
        <v>4164</v>
      </c>
      <c r="B406" s="10" t="s">
        <v>65</v>
      </c>
      <c r="C406" s="11">
        <v>46007.0</v>
      </c>
      <c r="D406" s="10" t="s">
        <v>163</v>
      </c>
      <c r="E406" s="10" t="s">
        <v>4166</v>
      </c>
      <c r="F406" s="10"/>
      <c r="G406" s="10" t="s">
        <v>4167</v>
      </c>
      <c r="H406" s="10" t="s">
        <v>4041</v>
      </c>
      <c r="I406" s="14" t="b">
        <v>1</v>
      </c>
      <c r="J406" s="10" t="s">
        <v>83</v>
      </c>
      <c r="K406" s="10"/>
      <c r="L406" s="10"/>
      <c r="M406" s="10"/>
      <c r="N406" s="10"/>
      <c r="O406" s="10"/>
      <c r="P406" s="17">
        <v>1866989.0</v>
      </c>
      <c r="Q406" s="14" t="b">
        <v>1</v>
      </c>
      <c r="R406" s="10"/>
    </row>
    <row r="407">
      <c r="A407" s="10" t="s">
        <v>4172</v>
      </c>
      <c r="B407" s="10" t="s">
        <v>65</v>
      </c>
      <c r="C407" s="11">
        <v>46009.0</v>
      </c>
      <c r="D407" s="10" t="s">
        <v>751</v>
      </c>
      <c r="E407" s="10" t="s">
        <v>4175</v>
      </c>
      <c r="F407" s="10"/>
      <c r="G407" s="10" t="s">
        <v>4176</v>
      </c>
      <c r="H407" s="10" t="s">
        <v>481</v>
      </c>
      <c r="I407" s="14" t="b">
        <v>0</v>
      </c>
      <c r="J407" s="10" t="s">
        <v>83</v>
      </c>
      <c r="K407" s="10"/>
      <c r="L407" s="10"/>
      <c r="M407" s="10"/>
      <c r="N407" s="10"/>
      <c r="O407" s="10"/>
      <c r="P407" s="10"/>
      <c r="Q407" s="14" t="b">
        <v>1</v>
      </c>
      <c r="R407" s="10"/>
    </row>
    <row r="408">
      <c r="A408" s="10" t="s">
        <v>4181</v>
      </c>
      <c r="B408" s="10" t="s">
        <v>65</v>
      </c>
      <c r="C408" s="11">
        <v>46009.0</v>
      </c>
      <c r="D408" s="10" t="s">
        <v>202</v>
      </c>
      <c r="E408" s="10" t="s">
        <v>4184</v>
      </c>
      <c r="F408" s="10"/>
      <c r="G408" s="10" t="s">
        <v>4186</v>
      </c>
      <c r="H408" s="10" t="s">
        <v>481</v>
      </c>
      <c r="I408" s="14" t="b">
        <v>0</v>
      </c>
      <c r="J408" s="10" t="s">
        <v>83</v>
      </c>
      <c r="K408" s="10"/>
      <c r="L408" s="10"/>
      <c r="M408" s="10"/>
      <c r="N408" s="10"/>
      <c r="O408" s="10"/>
      <c r="P408" s="10"/>
      <c r="Q408" s="14" t="b">
        <v>1</v>
      </c>
      <c r="R408" s="10"/>
    </row>
    <row r="409">
      <c r="A409" s="10" t="s">
        <v>4193</v>
      </c>
      <c r="B409" s="10" t="s">
        <v>65</v>
      </c>
      <c r="C409" s="11">
        <v>46007.0</v>
      </c>
      <c r="D409" s="10" t="s">
        <v>202</v>
      </c>
      <c r="E409" s="10" t="s">
        <v>4196</v>
      </c>
      <c r="F409" s="10"/>
      <c r="G409" s="10" t="s">
        <v>4198</v>
      </c>
      <c r="H409" s="10" t="s">
        <v>481</v>
      </c>
      <c r="I409" s="14" t="b">
        <v>0</v>
      </c>
      <c r="J409" s="10" t="s">
        <v>83</v>
      </c>
      <c r="K409" s="10"/>
      <c r="L409" s="10"/>
      <c r="M409" s="10"/>
      <c r="N409" s="10"/>
      <c r="O409" s="10"/>
      <c r="P409" s="10"/>
      <c r="Q409" s="14" t="b">
        <v>1</v>
      </c>
      <c r="R409" s="10"/>
    </row>
    <row r="410">
      <c r="A410" s="10" t="s">
        <v>4206</v>
      </c>
      <c r="B410" s="10" t="s">
        <v>65</v>
      </c>
      <c r="C410" s="11">
        <v>46009.0</v>
      </c>
      <c r="D410" s="10" t="s">
        <v>163</v>
      </c>
      <c r="E410" s="10" t="s">
        <v>4210</v>
      </c>
      <c r="F410" s="10"/>
      <c r="G410" s="10" t="s">
        <v>4211</v>
      </c>
      <c r="H410" s="10" t="s">
        <v>195</v>
      </c>
      <c r="I410" s="14" t="b">
        <v>1</v>
      </c>
      <c r="J410" s="10" t="s">
        <v>83</v>
      </c>
      <c r="K410" s="10"/>
      <c r="L410" s="10"/>
      <c r="M410" s="10"/>
      <c r="N410" s="10"/>
      <c r="O410" s="10"/>
      <c r="P410" s="17">
        <v>1870727.0</v>
      </c>
      <c r="Q410" s="14" t="b">
        <v>1</v>
      </c>
      <c r="R410" s="10"/>
    </row>
    <row r="411">
      <c r="A411" s="10" t="s">
        <v>4221</v>
      </c>
      <c r="B411" s="10" t="s">
        <v>65</v>
      </c>
      <c r="C411" s="11">
        <v>46007.0</v>
      </c>
      <c r="D411" s="10" t="s">
        <v>246</v>
      </c>
      <c r="E411" s="10" t="s">
        <v>4223</v>
      </c>
      <c r="F411" s="10"/>
      <c r="G411" s="10" t="s">
        <v>4224</v>
      </c>
      <c r="H411" s="10" t="s">
        <v>250</v>
      </c>
      <c r="I411" s="14" t="b">
        <v>0</v>
      </c>
      <c r="J411" s="10" t="s">
        <v>83</v>
      </c>
      <c r="K411" s="10"/>
      <c r="L411" s="10"/>
      <c r="M411" s="10"/>
      <c r="N411" s="10"/>
      <c r="O411" s="10"/>
      <c r="P411" s="10"/>
      <c r="Q411" s="14" t="b">
        <v>1</v>
      </c>
      <c r="R411" s="10"/>
    </row>
    <row r="412">
      <c r="A412" s="10" t="s">
        <v>4228</v>
      </c>
      <c r="B412" s="10" t="s">
        <v>65</v>
      </c>
      <c r="C412" s="11">
        <v>46008.0</v>
      </c>
      <c r="D412" s="10" t="s">
        <v>1888</v>
      </c>
      <c r="E412" s="10" t="s">
        <v>4230</v>
      </c>
      <c r="F412" s="10"/>
      <c r="G412" s="10" t="s">
        <v>4232</v>
      </c>
      <c r="H412" s="10" t="s">
        <v>149</v>
      </c>
      <c r="I412" s="14" t="b">
        <v>0</v>
      </c>
      <c r="J412" s="10" t="s">
        <v>83</v>
      </c>
      <c r="K412" s="10"/>
      <c r="L412" s="10" t="s">
        <v>4235</v>
      </c>
      <c r="M412" s="10"/>
      <c r="N412" s="10"/>
      <c r="O412" s="10"/>
      <c r="P412" s="10"/>
      <c r="Q412" s="14" t="b">
        <v>1</v>
      </c>
      <c r="R412" s="10"/>
    </row>
    <row r="413">
      <c r="A413" s="10" t="s">
        <v>4239</v>
      </c>
      <c r="B413" s="10" t="s">
        <v>65</v>
      </c>
      <c r="C413" s="11">
        <v>46006.0</v>
      </c>
      <c r="D413" s="200" t="s">
        <v>131</v>
      </c>
      <c r="E413" s="10" t="s">
        <v>4241</v>
      </c>
      <c r="F413" s="10"/>
      <c r="G413" s="10" t="s">
        <v>4242</v>
      </c>
      <c r="H413" s="10" t="s">
        <v>136</v>
      </c>
      <c r="I413" s="14" t="b">
        <v>0</v>
      </c>
      <c r="J413" s="10" t="s">
        <v>83</v>
      </c>
      <c r="K413" s="10"/>
      <c r="L413" s="10" t="s">
        <v>4245</v>
      </c>
      <c r="M413" s="10" t="s">
        <v>4247</v>
      </c>
      <c r="N413" s="10" t="s">
        <v>4248</v>
      </c>
      <c r="O413" s="10"/>
      <c r="P413" s="10"/>
      <c r="Q413" s="14" t="b">
        <v>1</v>
      </c>
      <c r="R413" s="10"/>
    </row>
    <row r="414">
      <c r="A414" s="10" t="s">
        <v>4250</v>
      </c>
      <c r="B414" s="10" t="s">
        <v>65</v>
      </c>
      <c r="C414" s="11">
        <v>46010.0</v>
      </c>
      <c r="D414" s="10" t="s">
        <v>189</v>
      </c>
      <c r="E414" s="10" t="s">
        <v>4252</v>
      </c>
      <c r="F414" s="10"/>
      <c r="G414" s="10" t="s">
        <v>4254</v>
      </c>
      <c r="H414" s="10" t="s">
        <v>195</v>
      </c>
      <c r="I414" s="14" t="b">
        <v>0</v>
      </c>
      <c r="J414" s="10" t="s">
        <v>83</v>
      </c>
      <c r="K414" s="10"/>
      <c r="L414" s="10"/>
      <c r="M414" s="10"/>
      <c r="N414" s="10"/>
      <c r="O414" s="10"/>
      <c r="P414" s="10"/>
      <c r="Q414" s="14" t="b">
        <v>1</v>
      </c>
      <c r="R414" s="10"/>
    </row>
    <row r="415">
      <c r="A415" s="10" t="s">
        <v>4259</v>
      </c>
      <c r="B415" s="10" t="s">
        <v>65</v>
      </c>
      <c r="C415" s="11">
        <v>46009.0</v>
      </c>
      <c r="D415" s="10" t="s">
        <v>670</v>
      </c>
      <c r="E415" s="10" t="s">
        <v>4262</v>
      </c>
      <c r="F415" s="10"/>
      <c r="G415" s="10" t="s">
        <v>4264</v>
      </c>
      <c r="H415" s="10" t="s">
        <v>4265</v>
      </c>
      <c r="I415" s="14" t="b">
        <v>0</v>
      </c>
      <c r="J415" s="10" t="s">
        <v>83</v>
      </c>
      <c r="K415" s="10"/>
      <c r="L415" s="10"/>
      <c r="M415" s="10"/>
      <c r="N415" s="10"/>
      <c r="O415" s="10"/>
      <c r="P415" s="10"/>
      <c r="Q415" s="14" t="b">
        <v>1</v>
      </c>
      <c r="R415" s="10"/>
    </row>
    <row r="416">
      <c r="A416" s="10" t="s">
        <v>4267</v>
      </c>
      <c r="B416" s="10" t="s">
        <v>65</v>
      </c>
      <c r="C416" s="11">
        <v>46012.0</v>
      </c>
      <c r="D416" s="17">
        <v>8.627274E7</v>
      </c>
      <c r="E416" s="10" t="s">
        <v>4269</v>
      </c>
      <c r="F416" s="10"/>
      <c r="G416" s="10" t="s">
        <v>4270</v>
      </c>
      <c r="H416" s="10" t="s">
        <v>4271</v>
      </c>
      <c r="I416" s="14" t="b">
        <v>1</v>
      </c>
      <c r="J416" s="10" t="s">
        <v>83</v>
      </c>
      <c r="K416" s="10"/>
      <c r="L416" s="10"/>
      <c r="M416" s="10"/>
      <c r="N416" s="10"/>
      <c r="O416" s="10"/>
      <c r="P416" s="17">
        <v>1878472.0</v>
      </c>
      <c r="Q416" s="14" t="b">
        <v>1</v>
      </c>
      <c r="R416" s="10"/>
    </row>
    <row r="417">
      <c r="A417" s="10" t="s">
        <v>4275</v>
      </c>
      <c r="B417" s="10" t="s">
        <v>65</v>
      </c>
      <c r="C417" s="11">
        <v>46012.0</v>
      </c>
      <c r="D417" s="10" t="s">
        <v>3908</v>
      </c>
      <c r="E417" s="10" t="s">
        <v>4279</v>
      </c>
      <c r="F417" s="10"/>
      <c r="G417" s="10" t="s">
        <v>4280</v>
      </c>
      <c r="H417" s="10" t="s">
        <v>529</v>
      </c>
      <c r="I417" s="14" t="b">
        <v>1</v>
      </c>
      <c r="J417" s="10" t="s">
        <v>83</v>
      </c>
      <c r="K417" s="10"/>
      <c r="L417" s="10"/>
      <c r="M417" s="10"/>
      <c r="N417" s="10"/>
      <c r="O417" s="10"/>
      <c r="P417" s="17">
        <v>1878476.0</v>
      </c>
      <c r="Q417" s="14" t="b">
        <v>1</v>
      </c>
      <c r="R417" s="10"/>
    </row>
    <row r="418">
      <c r="A418" s="10" t="s">
        <v>4288</v>
      </c>
      <c r="B418" s="10" t="s">
        <v>65</v>
      </c>
      <c r="C418" s="11">
        <v>46011.0</v>
      </c>
      <c r="D418" s="10" t="s">
        <v>189</v>
      </c>
      <c r="E418" s="10" t="s">
        <v>4292</v>
      </c>
      <c r="F418" s="10"/>
      <c r="G418" s="10" t="s">
        <v>4296</v>
      </c>
      <c r="H418" s="10" t="s">
        <v>460</v>
      </c>
      <c r="I418" s="14" t="b">
        <v>0</v>
      </c>
      <c r="J418" s="10" t="s">
        <v>83</v>
      </c>
      <c r="K418" s="10"/>
      <c r="L418" s="10"/>
      <c r="M418" s="10"/>
      <c r="N418" s="10"/>
      <c r="O418" s="10"/>
      <c r="P418" s="10"/>
      <c r="Q418" s="14" t="b">
        <v>1</v>
      </c>
      <c r="R418" s="10"/>
    </row>
    <row r="419">
      <c r="A419" s="10" t="s">
        <v>4300</v>
      </c>
      <c r="B419" s="10" t="s">
        <v>65</v>
      </c>
      <c r="C419" s="11">
        <v>46009.0</v>
      </c>
      <c r="D419" s="17">
        <v>1.5832353E7</v>
      </c>
      <c r="E419" s="10" t="s">
        <v>4302</v>
      </c>
      <c r="F419" s="10"/>
      <c r="G419" s="10" t="s">
        <v>4303</v>
      </c>
      <c r="H419" s="10" t="s">
        <v>4305</v>
      </c>
      <c r="I419" s="14" t="b">
        <v>1</v>
      </c>
      <c r="J419" s="10" t="s">
        <v>83</v>
      </c>
      <c r="K419" s="10"/>
      <c r="L419" s="10"/>
      <c r="M419" s="10"/>
      <c r="N419" s="10"/>
      <c r="O419" s="10"/>
      <c r="P419" s="17">
        <v>1870741.0</v>
      </c>
      <c r="Q419" s="14" t="b">
        <v>1</v>
      </c>
      <c r="R419" s="10"/>
    </row>
    <row r="420">
      <c r="A420" s="10" t="s">
        <v>4307</v>
      </c>
      <c r="B420" s="10" t="s">
        <v>65</v>
      </c>
      <c r="C420" s="11">
        <v>46012.0</v>
      </c>
      <c r="D420" s="10" t="s">
        <v>3175</v>
      </c>
      <c r="E420" s="10" t="s">
        <v>4312</v>
      </c>
      <c r="F420" s="10"/>
      <c r="G420" s="10" t="s">
        <v>4313</v>
      </c>
      <c r="H420" s="10" t="s">
        <v>3593</v>
      </c>
      <c r="I420" s="14" t="b">
        <v>1</v>
      </c>
      <c r="J420" s="10" t="s">
        <v>83</v>
      </c>
      <c r="K420" s="10"/>
      <c r="L420" s="10"/>
      <c r="M420" s="10"/>
      <c r="N420" s="10"/>
      <c r="O420" s="10"/>
      <c r="P420" s="17">
        <v>1878798.0</v>
      </c>
      <c r="Q420" s="14" t="b">
        <v>1</v>
      </c>
      <c r="R420" s="10"/>
    </row>
    <row r="421">
      <c r="A421" s="10" t="s">
        <v>4316</v>
      </c>
      <c r="B421" s="10" t="s">
        <v>65</v>
      </c>
      <c r="C421" s="11">
        <v>46013.0</v>
      </c>
      <c r="D421" s="10" t="s">
        <v>189</v>
      </c>
      <c r="E421" s="10" t="s">
        <v>4319</v>
      </c>
      <c r="F421" s="10"/>
      <c r="G421" s="10" t="s">
        <v>4321</v>
      </c>
      <c r="H421" s="10" t="s">
        <v>195</v>
      </c>
      <c r="I421" s="14" t="b">
        <v>0</v>
      </c>
      <c r="J421" s="10" t="s">
        <v>83</v>
      </c>
      <c r="K421" s="10"/>
      <c r="L421" s="10"/>
      <c r="M421" s="10"/>
      <c r="N421" s="10"/>
      <c r="O421" s="10"/>
      <c r="P421" s="10"/>
      <c r="Q421" s="14" t="b">
        <v>1</v>
      </c>
      <c r="R421" s="10"/>
    </row>
    <row r="422">
      <c r="A422" s="10" t="s">
        <v>4326</v>
      </c>
      <c r="B422" s="10" t="s">
        <v>65</v>
      </c>
      <c r="C422" s="11">
        <v>46013.0</v>
      </c>
      <c r="D422" s="10" t="s">
        <v>751</v>
      </c>
      <c r="E422" s="10" t="s">
        <v>4328</v>
      </c>
      <c r="F422" s="10"/>
      <c r="G422" s="10" t="s">
        <v>4331</v>
      </c>
      <c r="H422" s="10" t="s">
        <v>481</v>
      </c>
      <c r="I422" s="14" t="b">
        <v>0</v>
      </c>
      <c r="J422" s="10" t="s">
        <v>83</v>
      </c>
      <c r="K422" s="10"/>
      <c r="L422" s="10"/>
      <c r="M422" s="10"/>
      <c r="N422" s="10"/>
      <c r="O422" s="10"/>
      <c r="P422" s="10"/>
      <c r="Q422" s="14" t="b">
        <v>1</v>
      </c>
      <c r="R422" s="10"/>
    </row>
    <row r="423">
      <c r="A423" s="10" t="s">
        <v>4337</v>
      </c>
      <c r="B423" s="10" t="s">
        <v>65</v>
      </c>
      <c r="C423" s="11">
        <v>46013.0</v>
      </c>
      <c r="D423" s="10" t="s">
        <v>1888</v>
      </c>
      <c r="E423" s="10" t="s">
        <v>4340</v>
      </c>
      <c r="F423" s="10"/>
      <c r="G423" s="10" t="s">
        <v>4343</v>
      </c>
      <c r="H423" s="10" t="s">
        <v>149</v>
      </c>
      <c r="I423" s="14" t="b">
        <v>0</v>
      </c>
      <c r="J423" s="10" t="s">
        <v>83</v>
      </c>
      <c r="K423" s="10"/>
      <c r="L423" s="10"/>
      <c r="M423" s="10"/>
      <c r="N423" s="10"/>
      <c r="O423" s="10"/>
      <c r="P423" s="10"/>
      <c r="Q423" s="14" t="b">
        <v>1</v>
      </c>
      <c r="R423" s="10"/>
    </row>
    <row r="424">
      <c r="A424" s="10" t="s">
        <v>4352</v>
      </c>
      <c r="B424" s="10" t="s">
        <v>65</v>
      </c>
      <c r="C424" s="11">
        <v>46013.0</v>
      </c>
      <c r="D424" s="10" t="s">
        <v>1888</v>
      </c>
      <c r="E424" s="10" t="s">
        <v>4340</v>
      </c>
      <c r="F424" s="10"/>
      <c r="G424" s="10" t="s">
        <v>4356</v>
      </c>
      <c r="H424" s="10" t="s">
        <v>149</v>
      </c>
      <c r="I424" s="14" t="b">
        <v>0</v>
      </c>
      <c r="J424" s="10" t="s">
        <v>83</v>
      </c>
      <c r="K424" s="10"/>
      <c r="L424" s="10" t="s">
        <v>4358</v>
      </c>
      <c r="M424" s="10"/>
      <c r="N424" s="10"/>
      <c r="O424" s="10"/>
      <c r="P424" s="10"/>
      <c r="Q424" s="14" t="b">
        <v>1</v>
      </c>
      <c r="R424" s="10"/>
    </row>
    <row r="425">
      <c r="A425" s="10" t="s">
        <v>4363</v>
      </c>
      <c r="B425" s="10" t="s">
        <v>65</v>
      </c>
      <c r="C425" s="11">
        <v>46017.0</v>
      </c>
      <c r="D425" s="10" t="s">
        <v>202</v>
      </c>
      <c r="E425" s="10" t="s">
        <v>4366</v>
      </c>
      <c r="F425" s="10"/>
      <c r="G425" s="10" t="s">
        <v>4369</v>
      </c>
      <c r="H425" s="10" t="s">
        <v>481</v>
      </c>
      <c r="I425" s="14" t="b">
        <v>0</v>
      </c>
      <c r="J425" s="10" t="s">
        <v>83</v>
      </c>
      <c r="K425" s="10"/>
      <c r="L425" s="10"/>
      <c r="M425" s="10"/>
      <c r="N425" s="10"/>
      <c r="O425" s="10"/>
      <c r="P425" s="10"/>
      <c r="Q425" s="14" t="b">
        <v>1</v>
      </c>
      <c r="R425" s="10"/>
    </row>
    <row r="426">
      <c r="A426" s="10" t="s">
        <v>4374</v>
      </c>
      <c r="B426" s="10" t="s">
        <v>65</v>
      </c>
      <c r="C426" s="11">
        <v>46017.0</v>
      </c>
      <c r="D426" s="10" t="s">
        <v>202</v>
      </c>
      <c r="E426" s="10" t="s">
        <v>4377</v>
      </c>
      <c r="F426" s="10"/>
      <c r="G426" s="10" t="s">
        <v>4378</v>
      </c>
      <c r="H426" s="10" t="s">
        <v>4379</v>
      </c>
      <c r="I426" s="14" t="b">
        <v>0</v>
      </c>
      <c r="J426" s="10" t="s">
        <v>83</v>
      </c>
      <c r="K426" s="10"/>
      <c r="L426" s="10"/>
      <c r="M426" s="10"/>
      <c r="N426" s="10"/>
      <c r="O426" s="10"/>
      <c r="P426" s="10"/>
      <c r="Q426" s="14" t="b">
        <v>1</v>
      </c>
      <c r="R426" s="10"/>
    </row>
    <row r="427">
      <c r="A427" s="10" t="s">
        <v>4383</v>
      </c>
      <c r="B427" s="10" t="s">
        <v>65</v>
      </c>
      <c r="C427" s="11">
        <v>46017.0</v>
      </c>
      <c r="D427" s="10" t="s">
        <v>163</v>
      </c>
      <c r="E427" s="10" t="s">
        <v>4386</v>
      </c>
      <c r="F427" s="10"/>
      <c r="G427" s="10" t="s">
        <v>4388</v>
      </c>
      <c r="H427" s="10" t="s">
        <v>529</v>
      </c>
      <c r="I427" s="14" t="b">
        <v>1</v>
      </c>
      <c r="J427" s="10" t="s">
        <v>83</v>
      </c>
      <c r="K427" s="10"/>
      <c r="L427" s="10"/>
      <c r="M427" s="10"/>
      <c r="N427" s="10"/>
      <c r="O427" s="10"/>
      <c r="P427" s="17">
        <v>1886637.0</v>
      </c>
      <c r="Q427" s="14" t="b">
        <v>1</v>
      </c>
      <c r="R427" s="10"/>
    </row>
    <row r="428">
      <c r="A428" s="10" t="s">
        <v>4393</v>
      </c>
      <c r="B428" s="10" t="s">
        <v>65</v>
      </c>
      <c r="C428" s="11">
        <v>46017.0</v>
      </c>
      <c r="D428" s="10" t="s">
        <v>189</v>
      </c>
      <c r="E428" s="10" t="s">
        <v>4396</v>
      </c>
      <c r="F428" s="10"/>
      <c r="G428" s="10" t="s">
        <v>4397</v>
      </c>
      <c r="H428" s="10" t="s">
        <v>195</v>
      </c>
      <c r="I428" s="14" t="b">
        <v>0</v>
      </c>
      <c r="J428" s="10" t="s">
        <v>83</v>
      </c>
      <c r="K428" s="10"/>
      <c r="L428" s="10"/>
      <c r="M428" s="10"/>
      <c r="N428" s="10"/>
      <c r="O428" s="10"/>
      <c r="P428" s="10"/>
      <c r="Q428" s="14" t="b">
        <v>1</v>
      </c>
      <c r="R428" s="10"/>
    </row>
    <row r="429">
      <c r="A429" s="10" t="s">
        <v>4401</v>
      </c>
      <c r="B429" s="10" t="s">
        <v>65</v>
      </c>
      <c r="C429" s="11">
        <v>46018.0</v>
      </c>
      <c r="D429" s="17">
        <v>8.627274E7</v>
      </c>
      <c r="E429" s="10" t="s">
        <v>4404</v>
      </c>
      <c r="F429" s="10"/>
      <c r="G429" s="10" t="s">
        <v>4405</v>
      </c>
      <c r="H429" s="10" t="s">
        <v>4271</v>
      </c>
      <c r="I429" s="14" t="b">
        <v>1</v>
      </c>
      <c r="J429" s="10" t="s">
        <v>83</v>
      </c>
      <c r="K429" s="10"/>
      <c r="L429" s="10"/>
      <c r="M429" s="10"/>
      <c r="N429" s="10"/>
      <c r="O429" s="10"/>
      <c r="P429" s="17">
        <v>1890851.0</v>
      </c>
      <c r="Q429" s="14" t="b">
        <v>1</v>
      </c>
      <c r="R429" s="10"/>
    </row>
    <row r="430">
      <c r="A430" s="10" t="s">
        <v>4413</v>
      </c>
      <c r="B430" s="10" t="s">
        <v>65</v>
      </c>
      <c r="C430" s="11">
        <v>46018.0</v>
      </c>
      <c r="D430" s="10" t="s">
        <v>557</v>
      </c>
      <c r="E430" s="10" t="s">
        <v>4416</v>
      </c>
      <c r="F430" s="10"/>
      <c r="G430" s="10" t="s">
        <v>4419</v>
      </c>
      <c r="H430" s="10" t="s">
        <v>3160</v>
      </c>
      <c r="I430" s="14" t="b">
        <v>1</v>
      </c>
      <c r="J430" s="10" t="s">
        <v>83</v>
      </c>
      <c r="K430" s="10"/>
      <c r="L430" s="10"/>
      <c r="M430" s="10"/>
      <c r="N430" s="10"/>
      <c r="O430" s="10"/>
      <c r="P430" s="17">
        <v>1890885.0</v>
      </c>
      <c r="Q430" s="14" t="b">
        <v>1</v>
      </c>
      <c r="R430" s="10"/>
    </row>
    <row r="431">
      <c r="A431" s="10" t="s">
        <v>4425</v>
      </c>
      <c r="B431" s="10" t="s">
        <v>65</v>
      </c>
      <c r="C431" s="11">
        <v>46018.0</v>
      </c>
      <c r="D431" s="10" t="s">
        <v>557</v>
      </c>
      <c r="E431" s="10" t="s">
        <v>4427</v>
      </c>
      <c r="F431" s="10"/>
      <c r="G431" s="10" t="s">
        <v>4429</v>
      </c>
      <c r="H431" s="10" t="s">
        <v>287</v>
      </c>
      <c r="I431" s="14" t="b">
        <v>1</v>
      </c>
      <c r="J431" s="10" t="s">
        <v>83</v>
      </c>
      <c r="K431" s="10"/>
      <c r="L431" s="10"/>
      <c r="M431" s="10"/>
      <c r="N431" s="10"/>
      <c r="O431" s="10"/>
      <c r="P431" s="17">
        <v>1890874.0</v>
      </c>
      <c r="Q431" s="14" t="b">
        <v>1</v>
      </c>
      <c r="R431" s="10"/>
    </row>
    <row r="432">
      <c r="A432" s="10" t="s">
        <v>4434</v>
      </c>
      <c r="B432" s="10" t="s">
        <v>65</v>
      </c>
      <c r="C432" s="11">
        <v>46018.0</v>
      </c>
      <c r="D432" s="10" t="s">
        <v>2736</v>
      </c>
      <c r="E432" s="10" t="s">
        <v>4436</v>
      </c>
      <c r="F432" s="10"/>
      <c r="G432" s="10" t="s">
        <v>4437</v>
      </c>
      <c r="H432" s="10" t="s">
        <v>4439</v>
      </c>
      <c r="I432" s="14" t="b">
        <v>0</v>
      </c>
      <c r="J432" s="10" t="s">
        <v>83</v>
      </c>
      <c r="K432" s="10"/>
      <c r="L432" s="10"/>
      <c r="M432" s="10"/>
      <c r="N432" s="10"/>
      <c r="O432" s="10"/>
      <c r="P432" s="10"/>
      <c r="Q432" s="14" t="b">
        <v>1</v>
      </c>
      <c r="R432" s="10"/>
    </row>
    <row r="433">
      <c r="A433" s="10" t="s">
        <v>4443</v>
      </c>
      <c r="B433" s="10" t="s">
        <v>65</v>
      </c>
      <c r="C433" s="11">
        <v>46019.0</v>
      </c>
      <c r="D433" s="10" t="s">
        <v>3175</v>
      </c>
      <c r="E433" s="10" t="s">
        <v>4445</v>
      </c>
      <c r="F433" s="10"/>
      <c r="G433" s="10" t="s">
        <v>4447</v>
      </c>
      <c r="H433" s="10" t="s">
        <v>3593</v>
      </c>
      <c r="I433" s="14" t="b">
        <v>1</v>
      </c>
      <c r="J433" s="10" t="s">
        <v>83</v>
      </c>
      <c r="K433" s="10"/>
      <c r="L433" s="10"/>
      <c r="M433" s="10"/>
      <c r="N433" s="10"/>
      <c r="O433" s="10"/>
      <c r="P433" s="17">
        <v>1894290.0</v>
      </c>
      <c r="Q433" s="14" t="b">
        <v>1</v>
      </c>
      <c r="R433" s="10"/>
    </row>
    <row r="434">
      <c r="A434" s="10" t="s">
        <v>4451</v>
      </c>
      <c r="B434" s="10" t="s">
        <v>65</v>
      </c>
      <c r="C434" s="11">
        <v>46013.0</v>
      </c>
      <c r="D434" s="10" t="s">
        <v>131</v>
      </c>
      <c r="E434" s="10" t="s">
        <v>4453</v>
      </c>
      <c r="F434" s="10"/>
      <c r="G434" s="10" t="s">
        <v>4455</v>
      </c>
      <c r="H434" s="10" t="s">
        <v>171</v>
      </c>
      <c r="I434" s="14" t="b">
        <v>0</v>
      </c>
      <c r="J434" s="10" t="s">
        <v>83</v>
      </c>
      <c r="K434" s="10"/>
      <c r="L434" s="10" t="s">
        <v>4458</v>
      </c>
      <c r="M434" s="10" t="s">
        <v>4460</v>
      </c>
      <c r="N434" s="10"/>
      <c r="O434" s="10"/>
      <c r="P434" s="10"/>
      <c r="Q434" s="14" t="b">
        <v>1</v>
      </c>
      <c r="R434" s="10"/>
    </row>
    <row r="435">
      <c r="A435" s="10" t="s">
        <v>4462</v>
      </c>
      <c r="B435" s="10" t="s">
        <v>65</v>
      </c>
      <c r="C435" s="11">
        <v>46020.0</v>
      </c>
      <c r="D435" s="10" t="s">
        <v>751</v>
      </c>
      <c r="E435" s="10" t="s">
        <v>4465</v>
      </c>
      <c r="F435" s="10"/>
      <c r="G435" s="10" t="s">
        <v>4466</v>
      </c>
      <c r="H435" s="10" t="s">
        <v>481</v>
      </c>
      <c r="I435" s="14" t="b">
        <v>0</v>
      </c>
      <c r="J435" s="10" t="s">
        <v>83</v>
      </c>
      <c r="K435" s="10"/>
      <c r="L435" s="10"/>
      <c r="M435" s="10"/>
      <c r="N435" s="10"/>
      <c r="O435" s="10"/>
      <c r="P435" s="10"/>
      <c r="Q435" s="14" t="b">
        <v>1</v>
      </c>
      <c r="R435" s="10"/>
    </row>
    <row r="436">
      <c r="A436" s="10" t="s">
        <v>4470</v>
      </c>
      <c r="B436" s="10" t="s">
        <v>65</v>
      </c>
      <c r="C436" s="11">
        <v>46021.0</v>
      </c>
      <c r="D436" s="10" t="s">
        <v>163</v>
      </c>
      <c r="E436" s="10" t="s">
        <v>4473</v>
      </c>
      <c r="F436" s="10"/>
      <c r="G436" s="10" t="s">
        <v>4475</v>
      </c>
      <c r="H436" s="10" t="s">
        <v>1010</v>
      </c>
      <c r="I436" s="14" t="b">
        <v>1</v>
      </c>
      <c r="J436" s="10" t="s">
        <v>83</v>
      </c>
      <c r="K436" s="10"/>
      <c r="L436" s="10"/>
      <c r="M436" s="10"/>
      <c r="N436" s="10"/>
      <c r="O436" s="10"/>
      <c r="P436" s="17">
        <v>1898056.0</v>
      </c>
      <c r="Q436" s="14" t="b">
        <v>1</v>
      </c>
      <c r="R436" s="10"/>
    </row>
    <row r="437">
      <c r="A437" s="10" t="s">
        <v>4480</v>
      </c>
      <c r="B437" s="10" t="s">
        <v>65</v>
      </c>
      <c r="C437" s="11">
        <v>46021.0</v>
      </c>
      <c r="D437" s="10" t="s">
        <v>557</v>
      </c>
      <c r="E437" s="10" t="s">
        <v>4482</v>
      </c>
      <c r="F437" s="10"/>
      <c r="G437" s="10" t="s">
        <v>4484</v>
      </c>
      <c r="H437" s="10" t="s">
        <v>4486</v>
      </c>
      <c r="I437" s="14" t="b">
        <v>1</v>
      </c>
      <c r="J437" s="10" t="s">
        <v>83</v>
      </c>
      <c r="K437" s="10"/>
      <c r="L437" s="10"/>
      <c r="M437" s="10"/>
      <c r="N437" s="10"/>
      <c r="O437" s="10"/>
      <c r="P437" s="17">
        <v>1898063.0</v>
      </c>
      <c r="Q437" s="14" t="b">
        <v>1</v>
      </c>
      <c r="R437" s="10"/>
    </row>
    <row r="438">
      <c r="A438" s="10" t="s">
        <v>4492</v>
      </c>
      <c r="B438" s="10" t="s">
        <v>65</v>
      </c>
      <c r="C438" s="11">
        <v>46021.0</v>
      </c>
      <c r="D438" s="10" t="s">
        <v>4493</v>
      </c>
      <c r="E438" s="10" t="s">
        <v>4495</v>
      </c>
      <c r="F438" s="10"/>
      <c r="G438" s="10" t="s">
        <v>4496</v>
      </c>
      <c r="H438" s="10" t="s">
        <v>4497</v>
      </c>
      <c r="I438" s="14" t="b">
        <v>1</v>
      </c>
      <c r="J438" s="10" t="s">
        <v>83</v>
      </c>
      <c r="K438" s="10"/>
      <c r="L438" s="10"/>
      <c r="M438" s="10"/>
      <c r="N438" s="10"/>
      <c r="O438" s="10"/>
      <c r="P438" s="17">
        <v>1898073.0</v>
      </c>
      <c r="Q438" s="14" t="b">
        <v>1</v>
      </c>
      <c r="R438" s="10"/>
    </row>
    <row r="439">
      <c r="A439" s="10" t="s">
        <v>4499</v>
      </c>
      <c r="B439" s="10" t="s">
        <v>65</v>
      </c>
      <c r="C439" s="11">
        <v>46021.0</v>
      </c>
      <c r="D439" s="10" t="s">
        <v>4501</v>
      </c>
      <c r="E439" s="10" t="s">
        <v>4503</v>
      </c>
      <c r="F439" s="10"/>
      <c r="G439" s="10" t="s">
        <v>4505</v>
      </c>
      <c r="H439" s="10" t="s">
        <v>4507</v>
      </c>
      <c r="I439" s="14" t="b">
        <v>1</v>
      </c>
      <c r="J439" s="10" t="s">
        <v>83</v>
      </c>
      <c r="K439" s="10"/>
      <c r="L439" s="10"/>
      <c r="M439" s="10"/>
      <c r="N439" s="10"/>
      <c r="O439" s="10"/>
      <c r="P439" s="17">
        <v>1898079.0</v>
      </c>
      <c r="Q439" s="14" t="b">
        <v>1</v>
      </c>
      <c r="R439" s="10"/>
    </row>
    <row r="440">
      <c r="A440" s="10" t="s">
        <v>1474</v>
      </c>
      <c r="B440" s="10" t="s">
        <v>65</v>
      </c>
      <c r="C440" s="11">
        <v>46024.0</v>
      </c>
      <c r="D440" s="10" t="s">
        <v>751</v>
      </c>
      <c r="E440" s="10" t="s">
        <v>4512</v>
      </c>
      <c r="F440" s="10"/>
      <c r="G440" s="200" t="s">
        <v>4513</v>
      </c>
      <c r="H440" s="10" t="s">
        <v>481</v>
      </c>
      <c r="I440" s="14" t="b">
        <v>0</v>
      </c>
      <c r="J440" s="200" t="s">
        <v>382</v>
      </c>
      <c r="K440" s="10"/>
      <c r="L440" s="10"/>
      <c r="M440" s="10"/>
      <c r="N440" s="10"/>
      <c r="O440" s="200">
        <v>345.0</v>
      </c>
      <c r="P440" s="10"/>
      <c r="Q440" s="234" t="b">
        <v>1</v>
      </c>
      <c r="R440" s="10"/>
    </row>
    <row r="441">
      <c r="A441" s="10" t="s">
        <v>1477</v>
      </c>
      <c r="B441" s="10" t="s">
        <v>65</v>
      </c>
      <c r="C441" s="11">
        <v>46024.0</v>
      </c>
      <c r="D441" s="10" t="s">
        <v>202</v>
      </c>
      <c r="E441" s="10" t="s">
        <v>4519</v>
      </c>
      <c r="F441" s="10"/>
      <c r="G441" s="200" t="s">
        <v>4521</v>
      </c>
      <c r="H441" s="10" t="s">
        <v>481</v>
      </c>
      <c r="I441" s="14" t="b">
        <v>0</v>
      </c>
      <c r="J441" s="200" t="s">
        <v>382</v>
      </c>
      <c r="K441" s="10"/>
      <c r="L441" s="10"/>
      <c r="M441" s="10"/>
      <c r="N441" s="10"/>
      <c r="O441" s="200">
        <v>253.0</v>
      </c>
      <c r="P441" s="10"/>
      <c r="Q441" s="234" t="b">
        <v>1</v>
      </c>
      <c r="R441" s="10"/>
    </row>
    <row r="442">
      <c r="A442" s="10" t="s">
        <v>1481</v>
      </c>
      <c r="B442" s="10" t="s">
        <v>65</v>
      </c>
      <c r="C442" s="11">
        <v>46024.0</v>
      </c>
      <c r="D442" s="10" t="s">
        <v>189</v>
      </c>
      <c r="E442" s="10" t="s">
        <v>4527</v>
      </c>
      <c r="F442" s="10"/>
      <c r="G442" s="200" t="s">
        <v>4529</v>
      </c>
      <c r="H442" s="10" t="s">
        <v>195</v>
      </c>
      <c r="I442" s="14" t="b">
        <v>0</v>
      </c>
      <c r="J442" s="200" t="s">
        <v>382</v>
      </c>
      <c r="K442" s="10"/>
      <c r="L442" s="10"/>
      <c r="M442" s="10"/>
      <c r="N442" s="10"/>
      <c r="O442" s="200">
        <v>369.03</v>
      </c>
      <c r="P442" s="10"/>
      <c r="Q442" s="234" t="b">
        <v>1</v>
      </c>
      <c r="R442" s="10"/>
    </row>
    <row r="443">
      <c r="A443" s="10"/>
      <c r="B443" s="10"/>
      <c r="C443" s="11"/>
      <c r="D443" s="10"/>
      <c r="E443" s="10"/>
      <c r="F443" s="10"/>
      <c r="G443" s="10"/>
      <c r="H443" s="10"/>
      <c r="I443" s="14"/>
      <c r="J443" s="10"/>
      <c r="K443" s="10"/>
      <c r="L443" s="10"/>
      <c r="M443" s="10"/>
      <c r="N443" s="10"/>
      <c r="O443" s="10"/>
      <c r="P443" s="10"/>
      <c r="Q443" s="14"/>
      <c r="R443" s="10"/>
    </row>
    <row r="444">
      <c r="A444" s="10" t="s">
        <v>1532</v>
      </c>
      <c r="B444" s="10" t="s">
        <v>65</v>
      </c>
      <c r="C444" s="11">
        <v>46028.0</v>
      </c>
      <c r="D444" s="10" t="s">
        <v>557</v>
      </c>
      <c r="E444" s="10" t="s">
        <v>4538</v>
      </c>
      <c r="F444" s="10"/>
      <c r="G444" s="200" t="s">
        <v>4539</v>
      </c>
      <c r="H444" s="10" t="s">
        <v>4540</v>
      </c>
      <c r="I444" s="14" t="b">
        <v>1</v>
      </c>
      <c r="J444" s="200" t="s">
        <v>382</v>
      </c>
      <c r="K444" s="10"/>
      <c r="L444" s="10"/>
      <c r="M444" s="10"/>
      <c r="N444" s="10"/>
      <c r="O444" s="200">
        <v>51.96</v>
      </c>
      <c r="P444" s="17">
        <v>1913080.0</v>
      </c>
      <c r="Q444" s="234" t="b">
        <v>1</v>
      </c>
      <c r="R444" s="10"/>
    </row>
    <row r="445">
      <c r="A445" s="10" t="s">
        <v>1535</v>
      </c>
      <c r="B445" s="10" t="s">
        <v>65</v>
      </c>
      <c r="C445" s="11">
        <v>46028.0</v>
      </c>
      <c r="D445" s="10" t="s">
        <v>189</v>
      </c>
      <c r="E445" s="10" t="s">
        <v>4543</v>
      </c>
      <c r="F445" s="10"/>
      <c r="G445" s="200" t="s">
        <v>4544</v>
      </c>
      <c r="H445" s="10" t="s">
        <v>195</v>
      </c>
      <c r="I445" s="14" t="b">
        <v>0</v>
      </c>
      <c r="J445" s="200" t="s">
        <v>382</v>
      </c>
      <c r="K445" s="10"/>
      <c r="L445" s="10"/>
      <c r="M445" s="10"/>
      <c r="N445" s="10"/>
      <c r="O445" s="200">
        <v>396.57</v>
      </c>
      <c r="P445" s="10"/>
      <c r="Q445" s="234" t="b">
        <v>1</v>
      </c>
      <c r="R445" s="10"/>
    </row>
    <row r="446">
      <c r="A446" s="10" t="s">
        <v>1527</v>
      </c>
      <c r="B446" s="10" t="s">
        <v>65</v>
      </c>
      <c r="C446" s="11">
        <v>46027.0</v>
      </c>
      <c r="D446" s="10" t="s">
        <v>1888</v>
      </c>
      <c r="E446" s="10" t="s">
        <v>4548</v>
      </c>
      <c r="F446" s="10"/>
      <c r="G446" s="200" t="s">
        <v>4549</v>
      </c>
      <c r="H446" s="10" t="s">
        <v>149</v>
      </c>
      <c r="I446" s="14" t="b">
        <v>0</v>
      </c>
      <c r="J446" s="200" t="s">
        <v>382</v>
      </c>
      <c r="K446" s="10"/>
      <c r="L446" s="10"/>
      <c r="M446" s="10"/>
      <c r="N446" s="10"/>
      <c r="O446" s="200">
        <v>201.96</v>
      </c>
      <c r="P446" s="10"/>
      <c r="Q446" s="234" t="b">
        <v>1</v>
      </c>
      <c r="R446" s="10"/>
    </row>
    <row r="447">
      <c r="A447" s="10" t="s">
        <v>1501</v>
      </c>
      <c r="B447" s="10" t="s">
        <v>65</v>
      </c>
      <c r="C447" s="11">
        <v>46026.0</v>
      </c>
      <c r="D447" s="10" t="s">
        <v>163</v>
      </c>
      <c r="E447" s="10" t="s">
        <v>4553</v>
      </c>
      <c r="F447" s="10"/>
      <c r="G447" s="200" t="s">
        <v>4554</v>
      </c>
      <c r="H447" s="10" t="s">
        <v>529</v>
      </c>
      <c r="I447" s="14" t="b">
        <v>1</v>
      </c>
      <c r="J447" s="200" t="s">
        <v>382</v>
      </c>
      <c r="K447" s="10"/>
      <c r="L447" s="10"/>
      <c r="M447" s="10"/>
      <c r="N447" s="10"/>
      <c r="O447" s="200">
        <v>34.96</v>
      </c>
      <c r="P447" s="17">
        <v>1908976.0</v>
      </c>
      <c r="Q447" s="234" t="b">
        <v>1</v>
      </c>
      <c r="R447" s="10"/>
    </row>
    <row r="448">
      <c r="A448" s="10" t="s">
        <v>1509</v>
      </c>
      <c r="B448" s="10" t="s">
        <v>65</v>
      </c>
      <c r="C448" s="11">
        <v>46026.0</v>
      </c>
      <c r="D448" s="17">
        <v>8.627274E7</v>
      </c>
      <c r="E448" s="10" t="s">
        <v>4560</v>
      </c>
      <c r="F448" s="10"/>
      <c r="G448" s="200" t="s">
        <v>4561</v>
      </c>
      <c r="H448" s="10" t="s">
        <v>149</v>
      </c>
      <c r="I448" s="14" t="b">
        <v>1</v>
      </c>
      <c r="J448" s="200" t="s">
        <v>382</v>
      </c>
      <c r="K448" s="10"/>
      <c r="L448" s="10"/>
      <c r="M448" s="10"/>
      <c r="N448" s="10"/>
      <c r="O448" s="200">
        <v>71.4</v>
      </c>
      <c r="P448" s="17">
        <v>1908984.0</v>
      </c>
      <c r="Q448" s="234" t="b">
        <v>1</v>
      </c>
      <c r="R448" s="10"/>
    </row>
    <row r="449">
      <c r="A449" s="10" t="s">
        <v>1516</v>
      </c>
      <c r="B449" s="10" t="s">
        <v>65</v>
      </c>
      <c r="C449" s="11">
        <v>46026.0</v>
      </c>
      <c r="D449" s="17">
        <v>8.627274E7</v>
      </c>
      <c r="E449" s="10" t="s">
        <v>4560</v>
      </c>
      <c r="F449" s="10"/>
      <c r="G449" s="200" t="s">
        <v>4567</v>
      </c>
      <c r="H449" s="10" t="s">
        <v>149</v>
      </c>
      <c r="I449" s="14" t="b">
        <v>1</v>
      </c>
      <c r="J449" s="200" t="s">
        <v>382</v>
      </c>
      <c r="K449" s="10"/>
      <c r="L449" s="10"/>
      <c r="M449" s="10"/>
      <c r="N449" s="10"/>
      <c r="O449" s="200">
        <v>32.04</v>
      </c>
      <c r="P449" s="17">
        <v>1908993.0</v>
      </c>
      <c r="Q449" s="234" t="b">
        <v>1</v>
      </c>
      <c r="R449" s="10"/>
    </row>
    <row r="450">
      <c r="A450" s="10" t="s">
        <v>1519</v>
      </c>
      <c r="B450" s="10" t="s">
        <v>65</v>
      </c>
      <c r="C450" s="11">
        <v>46026.0</v>
      </c>
      <c r="D450" s="10" t="s">
        <v>3175</v>
      </c>
      <c r="E450" s="10" t="s">
        <v>4572</v>
      </c>
      <c r="F450" s="10"/>
      <c r="G450" s="200" t="s">
        <v>4574</v>
      </c>
      <c r="H450" s="10" t="s">
        <v>3320</v>
      </c>
      <c r="I450" s="14" t="b">
        <v>1</v>
      </c>
      <c r="J450" s="200" t="s">
        <v>382</v>
      </c>
      <c r="K450" s="10"/>
      <c r="L450" s="10"/>
      <c r="M450" s="10"/>
      <c r="N450" s="10"/>
      <c r="O450" s="200">
        <v>58.5</v>
      </c>
      <c r="P450" s="17">
        <v>1909240.0</v>
      </c>
      <c r="Q450" s="234" t="b">
        <v>1</v>
      </c>
      <c r="R450" s="10"/>
    </row>
    <row r="451">
      <c r="A451" s="10" t="s">
        <v>1521</v>
      </c>
      <c r="B451" s="10" t="s">
        <v>65</v>
      </c>
      <c r="C451" s="11">
        <v>46026.0</v>
      </c>
      <c r="D451" s="10" t="s">
        <v>3175</v>
      </c>
      <c r="E451" s="10" t="s">
        <v>4572</v>
      </c>
      <c r="F451" s="10"/>
      <c r="G451" s="200" t="s">
        <v>4580</v>
      </c>
      <c r="H451" s="10" t="s">
        <v>3320</v>
      </c>
      <c r="I451" s="14" t="b">
        <v>1</v>
      </c>
      <c r="J451" s="200" t="s">
        <v>382</v>
      </c>
      <c r="K451" s="10"/>
      <c r="L451" s="10"/>
      <c r="M451" s="10"/>
      <c r="N451" s="10"/>
      <c r="O451" s="200">
        <v>216.1</v>
      </c>
      <c r="P451" s="17">
        <v>1909181.0</v>
      </c>
      <c r="Q451" s="234" t="b">
        <v>1</v>
      </c>
      <c r="R451" s="10"/>
    </row>
    <row r="452">
      <c r="A452" s="10" t="s">
        <v>1524</v>
      </c>
      <c r="B452" s="10" t="s">
        <v>65</v>
      </c>
      <c r="C452" s="11">
        <v>46026.0</v>
      </c>
      <c r="D452" s="10" t="s">
        <v>785</v>
      </c>
      <c r="E452" s="10" t="s">
        <v>4586</v>
      </c>
      <c r="F452" s="10"/>
      <c r="G452" s="200" t="s">
        <v>4588</v>
      </c>
      <c r="H452" s="10" t="s">
        <v>2153</v>
      </c>
      <c r="I452" s="14" t="b">
        <v>1</v>
      </c>
      <c r="J452" s="200" t="s">
        <v>382</v>
      </c>
      <c r="K452" s="10"/>
      <c r="L452" s="10"/>
      <c r="M452" s="10"/>
      <c r="N452" s="10"/>
      <c r="O452" s="200">
        <v>110.5</v>
      </c>
      <c r="P452" s="17">
        <v>1909176.0</v>
      </c>
      <c r="Q452" s="234" t="b">
        <v>1</v>
      </c>
      <c r="R452" s="10"/>
    </row>
    <row r="453">
      <c r="A453" s="10" t="s">
        <v>1469</v>
      </c>
      <c r="B453" s="10" t="s">
        <v>65</v>
      </c>
      <c r="C453" s="11">
        <v>46023.0</v>
      </c>
      <c r="D453" s="10" t="s">
        <v>775</v>
      </c>
      <c r="E453" s="10" t="s">
        <v>4595</v>
      </c>
      <c r="F453" s="10"/>
      <c r="G453" s="200" t="s">
        <v>4597</v>
      </c>
      <c r="H453" s="10" t="s">
        <v>4598</v>
      </c>
      <c r="I453" s="14" t="b">
        <v>0</v>
      </c>
      <c r="J453" s="200" t="s">
        <v>382</v>
      </c>
      <c r="K453" s="10"/>
      <c r="L453" s="10"/>
      <c r="M453" s="10"/>
      <c r="N453" s="10"/>
      <c r="O453" s="200">
        <v>394.72</v>
      </c>
      <c r="P453" s="10"/>
      <c r="Q453" s="234" t="b">
        <v>1</v>
      </c>
      <c r="R453" s="10"/>
    </row>
    <row r="454">
      <c r="A454" s="10" t="s">
        <v>1554</v>
      </c>
      <c r="B454" s="10" t="s">
        <v>65</v>
      </c>
      <c r="C454" s="11">
        <v>46029.0</v>
      </c>
      <c r="D454" s="10" t="s">
        <v>557</v>
      </c>
      <c r="E454" s="10" t="s">
        <v>4604</v>
      </c>
      <c r="F454" s="10"/>
      <c r="G454" s="200" t="s">
        <v>4606</v>
      </c>
      <c r="H454" s="10" t="s">
        <v>4540</v>
      </c>
      <c r="I454" s="14" t="b">
        <v>1</v>
      </c>
      <c r="J454" s="200" t="s">
        <v>382</v>
      </c>
      <c r="K454" s="10"/>
      <c r="L454" s="10"/>
      <c r="M454" s="10"/>
      <c r="N454" s="10"/>
      <c r="O454" s="200">
        <v>39.98</v>
      </c>
      <c r="P454" s="17">
        <v>1914254.0</v>
      </c>
      <c r="Q454" s="234" t="b">
        <v>1</v>
      </c>
      <c r="R454" s="10"/>
    </row>
    <row r="455">
      <c r="A455" s="10" t="s">
        <v>1558</v>
      </c>
      <c r="B455" s="10" t="s">
        <v>65</v>
      </c>
      <c r="C455" s="11">
        <v>46029.0</v>
      </c>
      <c r="D455" s="10" t="s">
        <v>751</v>
      </c>
      <c r="E455" s="10" t="s">
        <v>4613</v>
      </c>
      <c r="F455" s="10"/>
      <c r="G455" s="200" t="s">
        <v>4614</v>
      </c>
      <c r="H455" s="10" t="s">
        <v>481</v>
      </c>
      <c r="I455" s="14" t="b">
        <v>0</v>
      </c>
      <c r="J455" s="200" t="s">
        <v>382</v>
      </c>
      <c r="K455" s="10"/>
      <c r="L455" s="10"/>
      <c r="M455" s="10"/>
      <c r="N455" s="10"/>
      <c r="O455" s="200">
        <v>230.0</v>
      </c>
      <c r="P455" s="10"/>
      <c r="Q455" s="234" t="b">
        <v>1</v>
      </c>
      <c r="R455" s="10"/>
    </row>
    <row r="456">
      <c r="A456" s="10" t="s">
        <v>1562</v>
      </c>
      <c r="B456" s="10" t="s">
        <v>65</v>
      </c>
      <c r="C456" s="11">
        <v>46029.0</v>
      </c>
      <c r="D456" s="10" t="s">
        <v>163</v>
      </c>
      <c r="E456" s="10" t="s">
        <v>4622</v>
      </c>
      <c r="F456" s="10"/>
      <c r="G456" s="200" t="s">
        <v>4623</v>
      </c>
      <c r="H456" s="10" t="s">
        <v>529</v>
      </c>
      <c r="I456" s="14" t="b">
        <v>1</v>
      </c>
      <c r="J456" s="200" t="s">
        <v>382</v>
      </c>
      <c r="K456" s="10"/>
      <c r="L456" s="10"/>
      <c r="M456" s="10"/>
      <c r="N456" s="10"/>
      <c r="O456" s="200">
        <v>118.52</v>
      </c>
      <c r="P456" s="17">
        <v>1915406.0</v>
      </c>
      <c r="Q456" s="234" t="b">
        <v>1</v>
      </c>
      <c r="R456" s="10"/>
    </row>
    <row r="457">
      <c r="A457" s="10"/>
      <c r="B457" s="10"/>
      <c r="C457" s="11"/>
      <c r="D457" s="10"/>
      <c r="E457" s="10"/>
      <c r="F457" s="10"/>
      <c r="G457" s="10"/>
      <c r="H457" s="10"/>
      <c r="I457" s="14"/>
      <c r="J457" s="10"/>
      <c r="K457" s="10"/>
      <c r="L457" s="10"/>
      <c r="M457" s="10"/>
      <c r="N457" s="10"/>
      <c r="O457" s="10"/>
      <c r="P457" s="10"/>
      <c r="Q457" s="14"/>
      <c r="R457" s="10"/>
    </row>
    <row r="458">
      <c r="A458" s="10" t="s">
        <v>1586</v>
      </c>
      <c r="B458" s="10" t="s">
        <v>65</v>
      </c>
      <c r="C458" s="11">
        <v>46030.0</v>
      </c>
      <c r="D458" s="10" t="s">
        <v>246</v>
      </c>
      <c r="E458" s="10" t="s">
        <v>4641</v>
      </c>
      <c r="F458" s="10"/>
      <c r="G458" s="200" t="s">
        <v>4644</v>
      </c>
      <c r="H458" s="10" t="s">
        <v>250</v>
      </c>
      <c r="I458" s="14" t="b">
        <v>0</v>
      </c>
      <c r="J458" s="200" t="s">
        <v>382</v>
      </c>
      <c r="K458" s="10"/>
      <c r="L458" s="10"/>
      <c r="M458" s="10"/>
      <c r="N458" s="10"/>
      <c r="O458" s="200">
        <v>252.0</v>
      </c>
      <c r="P458" s="10"/>
      <c r="Q458" s="234" t="b">
        <v>1</v>
      </c>
      <c r="R458" s="10"/>
      <c r="S458" s="16">
        <v>5.14</v>
      </c>
    </row>
    <row r="459">
      <c r="A459" s="10"/>
      <c r="B459" s="10"/>
      <c r="C459" s="11"/>
      <c r="D459" s="10"/>
      <c r="E459" s="10"/>
      <c r="F459" s="10"/>
      <c r="G459" s="10"/>
      <c r="H459" s="10"/>
      <c r="I459" s="14"/>
      <c r="J459" s="10"/>
      <c r="K459" s="10"/>
      <c r="L459" s="10"/>
      <c r="M459" s="10"/>
      <c r="N459" s="10"/>
      <c r="O459" s="10"/>
      <c r="P459" s="17"/>
      <c r="Q459" s="14"/>
      <c r="R459" s="10"/>
    </row>
    <row r="460">
      <c r="A460" s="10" t="s">
        <v>1608</v>
      </c>
      <c r="B460" s="10" t="s">
        <v>65</v>
      </c>
      <c r="C460" s="11">
        <v>46030.0</v>
      </c>
      <c r="D460" s="10" t="s">
        <v>202</v>
      </c>
      <c r="E460" s="10" t="s">
        <v>4658</v>
      </c>
      <c r="F460" s="10"/>
      <c r="G460" s="200" t="s">
        <v>4660</v>
      </c>
      <c r="H460" s="10" t="s">
        <v>481</v>
      </c>
      <c r="I460" s="14" t="b">
        <v>0</v>
      </c>
      <c r="J460" s="200" t="s">
        <v>382</v>
      </c>
      <c r="K460" s="10"/>
      <c r="L460" s="10"/>
      <c r="M460" s="10"/>
      <c r="N460" s="10"/>
      <c r="O460" s="200">
        <v>161.0</v>
      </c>
      <c r="P460" s="10"/>
      <c r="Q460" s="234" t="b">
        <v>1</v>
      </c>
      <c r="R460" s="10"/>
    </row>
    <row r="461">
      <c r="A461" s="10" t="s">
        <v>1621</v>
      </c>
      <c r="B461" s="10" t="s">
        <v>65</v>
      </c>
      <c r="C461" s="11">
        <v>46031.0</v>
      </c>
      <c r="D461" s="10" t="s">
        <v>163</v>
      </c>
      <c r="E461" s="10" t="s">
        <v>4666</v>
      </c>
      <c r="F461" s="10"/>
      <c r="G461" s="200" t="s">
        <v>4668</v>
      </c>
      <c r="H461" s="10" t="s">
        <v>195</v>
      </c>
      <c r="I461" s="14" t="b">
        <v>1</v>
      </c>
      <c r="J461" s="200" t="s">
        <v>382</v>
      </c>
      <c r="K461" s="10"/>
      <c r="L461" s="10"/>
      <c r="M461" s="10"/>
      <c r="N461" s="10"/>
      <c r="O461" s="200">
        <v>150.66</v>
      </c>
      <c r="P461" s="17">
        <v>1919057.0</v>
      </c>
      <c r="Q461" s="234" t="b">
        <v>1</v>
      </c>
      <c r="R461" s="10"/>
    </row>
    <row r="462">
      <c r="A462" s="10" t="s">
        <v>1637</v>
      </c>
      <c r="B462" s="10" t="s">
        <v>65</v>
      </c>
      <c r="C462" s="11">
        <v>46031.0</v>
      </c>
      <c r="D462" s="10" t="s">
        <v>246</v>
      </c>
      <c r="E462" s="10" t="s">
        <v>4674</v>
      </c>
      <c r="F462" s="10"/>
      <c r="G462" s="200" t="s">
        <v>4676</v>
      </c>
      <c r="H462" s="10" t="s">
        <v>250</v>
      </c>
      <c r="I462" s="14" t="b">
        <v>0</v>
      </c>
      <c r="J462" s="200" t="s">
        <v>382</v>
      </c>
      <c r="K462" s="10"/>
      <c r="L462" s="10"/>
      <c r="M462" s="10"/>
      <c r="N462" s="10"/>
      <c r="O462" s="200">
        <v>512.75</v>
      </c>
      <c r="P462" s="10"/>
      <c r="Q462" s="234" t="b">
        <v>1</v>
      </c>
      <c r="R462" s="10"/>
      <c r="S462" s="16">
        <v>10.46</v>
      </c>
    </row>
    <row r="463">
      <c r="A463" s="10" t="s">
        <v>1545</v>
      </c>
      <c r="B463" s="10" t="s">
        <v>65</v>
      </c>
      <c r="C463" s="11">
        <v>46028.0</v>
      </c>
      <c r="D463" s="10" t="s">
        <v>131</v>
      </c>
      <c r="E463" s="10" t="s">
        <v>4685</v>
      </c>
      <c r="F463" s="10"/>
      <c r="G463" s="200" t="s">
        <v>4686</v>
      </c>
      <c r="H463" s="10" t="s">
        <v>171</v>
      </c>
      <c r="I463" s="14" t="b">
        <v>0</v>
      </c>
      <c r="J463" s="200" t="s">
        <v>382</v>
      </c>
      <c r="K463" s="10"/>
      <c r="L463" s="200" t="s">
        <v>4689</v>
      </c>
      <c r="M463" s="200" t="s">
        <v>4690</v>
      </c>
      <c r="N463" s="10"/>
      <c r="O463" s="200">
        <v>15146.84</v>
      </c>
      <c r="P463" s="10"/>
      <c r="Q463" s="234" t="b">
        <v>1</v>
      </c>
      <c r="R463" s="10"/>
    </row>
    <row r="464">
      <c r="A464" s="10" t="s">
        <v>1652</v>
      </c>
      <c r="B464" s="10" t="s">
        <v>65</v>
      </c>
      <c r="C464" s="11">
        <v>46031.0</v>
      </c>
      <c r="D464" s="10" t="s">
        <v>1888</v>
      </c>
      <c r="E464" s="10" t="s">
        <v>4697</v>
      </c>
      <c r="F464" s="10"/>
      <c r="G464" s="200" t="s">
        <v>4698</v>
      </c>
      <c r="H464" s="10" t="s">
        <v>149</v>
      </c>
      <c r="I464" s="14" t="b">
        <v>0</v>
      </c>
      <c r="J464" s="200" t="s">
        <v>382</v>
      </c>
      <c r="K464" s="10"/>
      <c r="L464" s="10"/>
      <c r="M464" s="10"/>
      <c r="N464" s="10"/>
      <c r="O464" s="200">
        <v>867.36</v>
      </c>
      <c r="P464" s="10"/>
      <c r="Q464" s="234" t="b">
        <v>1</v>
      </c>
      <c r="R464" s="10"/>
    </row>
    <row r="465">
      <c r="A465" s="10" t="s">
        <v>1679</v>
      </c>
      <c r="B465" s="10" t="s">
        <v>65</v>
      </c>
      <c r="C465" s="11">
        <v>46033.0</v>
      </c>
      <c r="D465" s="10" t="s">
        <v>163</v>
      </c>
      <c r="E465" s="10" t="s">
        <v>4705</v>
      </c>
      <c r="F465" s="10"/>
      <c r="G465" s="200" t="s">
        <v>4707</v>
      </c>
      <c r="H465" s="10" t="s">
        <v>4708</v>
      </c>
      <c r="I465" s="14" t="b">
        <v>1</v>
      </c>
      <c r="J465" s="200" t="s">
        <v>382</v>
      </c>
      <c r="K465" s="10"/>
      <c r="L465" s="10"/>
      <c r="M465" s="10"/>
      <c r="N465" s="10"/>
      <c r="O465" s="200">
        <v>2.59</v>
      </c>
      <c r="P465" s="17">
        <v>1923898.0</v>
      </c>
      <c r="Q465" s="234" t="b">
        <v>1</v>
      </c>
      <c r="R465" s="10"/>
    </row>
    <row r="466">
      <c r="A466" s="10" t="s">
        <v>1670</v>
      </c>
      <c r="B466" s="10" t="s">
        <v>65</v>
      </c>
      <c r="C466" s="11">
        <v>46031.0</v>
      </c>
      <c r="D466" s="10" t="s">
        <v>751</v>
      </c>
      <c r="E466" s="10" t="s">
        <v>4715</v>
      </c>
      <c r="F466" s="10"/>
      <c r="G466" s="200" t="s">
        <v>4717</v>
      </c>
      <c r="H466" s="10" t="s">
        <v>481</v>
      </c>
      <c r="I466" s="14" t="b">
        <v>0</v>
      </c>
      <c r="J466" s="200" t="s">
        <v>382</v>
      </c>
      <c r="K466" s="10"/>
      <c r="L466" s="10"/>
      <c r="M466" s="10"/>
      <c r="N466" s="10"/>
      <c r="O466" s="200">
        <v>299.0</v>
      </c>
      <c r="P466" s="10"/>
      <c r="Q466" s="234" t="b">
        <v>1</v>
      </c>
      <c r="R466" s="10"/>
    </row>
    <row r="467">
      <c r="A467" s="10" t="s">
        <v>3468</v>
      </c>
      <c r="B467" s="10" t="s">
        <v>65</v>
      </c>
      <c r="C467" s="11">
        <v>46033.0</v>
      </c>
      <c r="D467" s="10" t="s">
        <v>2736</v>
      </c>
      <c r="E467" s="10" t="s">
        <v>4722</v>
      </c>
      <c r="F467" s="10"/>
      <c r="G467" s="200" t="s">
        <v>4724</v>
      </c>
      <c r="H467" s="10" t="s">
        <v>3509</v>
      </c>
      <c r="I467" s="14" t="b">
        <v>0</v>
      </c>
      <c r="J467" s="200" t="s">
        <v>382</v>
      </c>
      <c r="K467" s="10"/>
      <c r="L467" s="10"/>
      <c r="M467" s="10"/>
      <c r="N467" s="10"/>
      <c r="O467" s="200">
        <v>378.29</v>
      </c>
      <c r="P467" s="10"/>
      <c r="Q467" s="234" t="b">
        <v>1</v>
      </c>
      <c r="R467" s="10"/>
    </row>
    <row r="468">
      <c r="A468" s="10" t="s">
        <v>1676</v>
      </c>
      <c r="B468" s="10" t="s">
        <v>65</v>
      </c>
      <c r="C468" s="11">
        <v>46032.0</v>
      </c>
      <c r="D468" s="10" t="s">
        <v>202</v>
      </c>
      <c r="E468" s="10" t="s">
        <v>4730</v>
      </c>
      <c r="F468" s="10"/>
      <c r="G468" s="200" t="s">
        <v>4732</v>
      </c>
      <c r="H468" s="10" t="s">
        <v>481</v>
      </c>
      <c r="I468" s="14" t="b">
        <v>0</v>
      </c>
      <c r="J468" s="200" t="s">
        <v>382</v>
      </c>
      <c r="K468" s="10"/>
      <c r="L468" s="10"/>
      <c r="M468" s="10"/>
      <c r="N468" s="10"/>
      <c r="O468" s="200">
        <v>253.0</v>
      </c>
      <c r="P468" s="10"/>
      <c r="Q468" s="234" t="b">
        <v>1</v>
      </c>
      <c r="R468" s="10"/>
    </row>
    <row r="469">
      <c r="A469" s="10" t="s">
        <v>1683</v>
      </c>
      <c r="B469" s="10" t="s">
        <v>65</v>
      </c>
      <c r="C469" s="11">
        <v>46033.0</v>
      </c>
      <c r="D469" s="10" t="s">
        <v>3175</v>
      </c>
      <c r="E469" s="10" t="s">
        <v>4738</v>
      </c>
      <c r="F469" s="10"/>
      <c r="G469" s="200" t="s">
        <v>4740</v>
      </c>
      <c r="H469" s="10" t="s">
        <v>4742</v>
      </c>
      <c r="I469" s="14" t="b">
        <v>1</v>
      </c>
      <c r="J469" s="200" t="s">
        <v>382</v>
      </c>
      <c r="K469" s="10"/>
      <c r="L469" s="10"/>
      <c r="M469" s="10"/>
      <c r="N469" s="10"/>
      <c r="O469" s="200">
        <v>133.0</v>
      </c>
      <c r="P469" s="17">
        <v>1925368.0</v>
      </c>
      <c r="Q469" s="234" t="b">
        <v>1</v>
      </c>
      <c r="R469" s="10"/>
    </row>
    <row r="470">
      <c r="A470" s="10" t="s">
        <v>1613</v>
      </c>
      <c r="B470" s="10" t="s">
        <v>65</v>
      </c>
      <c r="C470" s="11">
        <v>46030.0</v>
      </c>
      <c r="D470" s="10" t="s">
        <v>131</v>
      </c>
      <c r="E470" s="10" t="s">
        <v>4749</v>
      </c>
      <c r="F470" s="10"/>
      <c r="G470" s="200" t="s">
        <v>4751</v>
      </c>
      <c r="H470" s="10" t="s">
        <v>136</v>
      </c>
      <c r="I470" s="14" t="b">
        <v>0</v>
      </c>
      <c r="J470" s="200" t="s">
        <v>382</v>
      </c>
      <c r="K470" s="10"/>
      <c r="L470" s="200" t="s">
        <v>4754</v>
      </c>
      <c r="M470" s="200" t="s">
        <v>4756</v>
      </c>
      <c r="N470" s="10"/>
      <c r="O470" s="200">
        <v>5208.97</v>
      </c>
      <c r="P470" s="10"/>
      <c r="Q470" s="234" t="b">
        <v>1</v>
      </c>
      <c r="R470" s="10"/>
    </row>
    <row r="471">
      <c r="A471" s="10" t="s">
        <v>1672</v>
      </c>
      <c r="B471" s="10" t="s">
        <v>65</v>
      </c>
      <c r="C471" s="11">
        <v>46031.0</v>
      </c>
      <c r="D471" s="10" t="s">
        <v>670</v>
      </c>
      <c r="E471" s="10" t="s">
        <v>4761</v>
      </c>
      <c r="F471" s="10"/>
      <c r="G471" s="200" t="s">
        <v>4762</v>
      </c>
      <c r="H471" s="10" t="s">
        <v>4764</v>
      </c>
      <c r="I471" s="14" t="b">
        <v>0</v>
      </c>
      <c r="J471" s="200" t="s">
        <v>382</v>
      </c>
      <c r="K471" s="10"/>
      <c r="L471" s="10"/>
      <c r="M471" s="10"/>
      <c r="N471" s="10"/>
      <c r="O471" s="200">
        <v>3781.75</v>
      </c>
      <c r="P471" s="10"/>
      <c r="Q471" s="234" t="b">
        <v>1</v>
      </c>
      <c r="R471" s="10"/>
    </row>
    <row r="472">
      <c r="A472" s="10"/>
      <c r="B472" s="10"/>
      <c r="C472" s="11"/>
      <c r="D472" s="10"/>
      <c r="E472" s="10"/>
      <c r="F472" s="10"/>
      <c r="G472" s="10"/>
      <c r="H472" s="10"/>
      <c r="I472" s="14"/>
      <c r="J472" s="10"/>
      <c r="K472" s="10"/>
      <c r="L472" s="10"/>
      <c r="M472" s="10"/>
      <c r="N472" s="10"/>
      <c r="O472" s="10"/>
      <c r="P472" s="10"/>
      <c r="Q472" s="14"/>
      <c r="R472" s="10"/>
    </row>
    <row r="473">
      <c r="A473" s="10"/>
      <c r="B473" s="10"/>
      <c r="C473" s="11"/>
      <c r="D473" s="10"/>
      <c r="E473" s="10"/>
      <c r="F473" s="10"/>
      <c r="G473" s="10"/>
      <c r="H473" s="10"/>
      <c r="I473" s="14"/>
      <c r="J473" s="10"/>
      <c r="K473" s="10"/>
      <c r="L473" s="10"/>
      <c r="M473" s="10"/>
      <c r="N473" s="10"/>
      <c r="O473" s="10"/>
      <c r="P473" s="10"/>
      <c r="Q473" s="14"/>
      <c r="R473" s="10"/>
    </row>
    <row r="474">
      <c r="A474" s="10" t="s">
        <v>1697</v>
      </c>
      <c r="B474" s="10" t="s">
        <v>65</v>
      </c>
      <c r="C474" s="11">
        <v>46036.0</v>
      </c>
      <c r="D474" s="10" t="s">
        <v>1888</v>
      </c>
      <c r="E474" s="10" t="s">
        <v>4781</v>
      </c>
      <c r="F474" s="10"/>
      <c r="G474" s="200" t="s">
        <v>4782</v>
      </c>
      <c r="H474" s="10" t="s">
        <v>149</v>
      </c>
      <c r="I474" s="14" t="b">
        <v>0</v>
      </c>
      <c r="J474" s="200" t="s">
        <v>382</v>
      </c>
      <c r="K474" s="10"/>
      <c r="L474" s="200" t="s">
        <v>4786</v>
      </c>
      <c r="M474" s="10"/>
      <c r="N474" s="10"/>
      <c r="O474" s="200">
        <v>11.88</v>
      </c>
      <c r="P474" s="10"/>
      <c r="Q474" s="234" t="b">
        <v>1</v>
      </c>
      <c r="R474" s="10"/>
    </row>
    <row r="475">
      <c r="A475" s="10" t="s">
        <v>1705</v>
      </c>
      <c r="B475" s="10" t="s">
        <v>65</v>
      </c>
      <c r="C475" s="11">
        <v>46037.0</v>
      </c>
      <c r="D475" s="10" t="s">
        <v>1888</v>
      </c>
      <c r="E475" s="10" t="s">
        <v>4790</v>
      </c>
      <c r="F475" s="10"/>
      <c r="G475" s="200" t="s">
        <v>4792</v>
      </c>
      <c r="H475" s="10" t="s">
        <v>149</v>
      </c>
      <c r="I475" s="14" t="b">
        <v>0</v>
      </c>
      <c r="J475" s="200" t="s">
        <v>382</v>
      </c>
      <c r="K475" s="10"/>
      <c r="L475" s="10"/>
      <c r="M475" s="10"/>
      <c r="N475" s="10"/>
      <c r="O475" s="200">
        <v>277.2</v>
      </c>
      <c r="P475" s="10"/>
      <c r="Q475" s="234" t="b">
        <v>1</v>
      </c>
      <c r="R475" s="10"/>
    </row>
    <row r="476">
      <c r="A476" s="10" t="s">
        <v>1712</v>
      </c>
      <c r="B476" s="10" t="s">
        <v>65</v>
      </c>
      <c r="C476" s="11">
        <v>46037.0</v>
      </c>
      <c r="D476" s="10" t="s">
        <v>3175</v>
      </c>
      <c r="E476" s="10" t="s">
        <v>4797</v>
      </c>
      <c r="F476" s="10"/>
      <c r="G476" s="200" t="s">
        <v>4799</v>
      </c>
      <c r="H476" s="10" t="s">
        <v>3593</v>
      </c>
      <c r="I476" s="14" t="b">
        <v>1</v>
      </c>
      <c r="J476" s="200" t="s">
        <v>382</v>
      </c>
      <c r="K476" s="10"/>
      <c r="L476" s="10"/>
      <c r="M476" s="10"/>
      <c r="N476" s="10"/>
      <c r="O476" s="200">
        <v>66.3</v>
      </c>
      <c r="P476" s="17">
        <v>1933633.0</v>
      </c>
      <c r="Q476" s="234" t="b">
        <v>1</v>
      </c>
      <c r="R476" s="10"/>
    </row>
    <row r="477">
      <c r="A477" s="10" t="s">
        <v>1717</v>
      </c>
      <c r="B477" s="10" t="s">
        <v>65</v>
      </c>
      <c r="C477" s="11">
        <v>46037.0</v>
      </c>
      <c r="D477" s="17">
        <v>8.627274E7</v>
      </c>
      <c r="E477" s="10" t="s">
        <v>4805</v>
      </c>
      <c r="F477" s="10"/>
      <c r="G477" s="200" t="s">
        <v>4806</v>
      </c>
      <c r="H477" s="10" t="s">
        <v>529</v>
      </c>
      <c r="I477" s="14" t="b">
        <v>1</v>
      </c>
      <c r="J477" s="200" t="s">
        <v>382</v>
      </c>
      <c r="K477" s="10"/>
      <c r="L477" s="10"/>
      <c r="M477" s="10"/>
      <c r="N477" s="10"/>
      <c r="O477" s="200">
        <v>52.73</v>
      </c>
      <c r="P477" s="17">
        <v>1934753.0</v>
      </c>
      <c r="Q477" s="234" t="b">
        <v>1</v>
      </c>
      <c r="R477" s="10"/>
    </row>
    <row r="478">
      <c r="A478" s="10" t="s">
        <v>1730</v>
      </c>
      <c r="B478" s="10" t="s">
        <v>65</v>
      </c>
      <c r="C478" s="11">
        <v>46038.0</v>
      </c>
      <c r="D478" s="10" t="s">
        <v>163</v>
      </c>
      <c r="E478" s="10" t="s">
        <v>4811</v>
      </c>
      <c r="F478" s="10"/>
      <c r="G478" s="200" t="s">
        <v>4814</v>
      </c>
      <c r="H478" s="10" t="s">
        <v>1010</v>
      </c>
      <c r="I478" s="14" t="b">
        <v>1</v>
      </c>
      <c r="J478" s="200" t="s">
        <v>382</v>
      </c>
      <c r="K478" s="10"/>
      <c r="L478" s="10"/>
      <c r="M478" s="10"/>
      <c r="N478" s="10"/>
      <c r="O478" s="200">
        <v>377.91</v>
      </c>
      <c r="P478" s="17">
        <v>1936775.0</v>
      </c>
      <c r="Q478" s="234" t="b">
        <v>1</v>
      </c>
      <c r="R478" s="10"/>
    </row>
    <row r="479">
      <c r="A479" s="10" t="s">
        <v>1762</v>
      </c>
      <c r="B479" s="10" t="s">
        <v>65</v>
      </c>
      <c r="C479" s="11">
        <v>46038.0</v>
      </c>
      <c r="D479" s="17">
        <v>8.627274E7</v>
      </c>
      <c r="E479" s="10" t="s">
        <v>4818</v>
      </c>
      <c r="F479" s="10"/>
      <c r="G479" s="200" t="s">
        <v>4819</v>
      </c>
      <c r="H479" s="10" t="s">
        <v>195</v>
      </c>
      <c r="I479" s="14" t="b">
        <v>1</v>
      </c>
      <c r="J479" s="200" t="s">
        <v>382</v>
      </c>
      <c r="K479" s="10"/>
      <c r="L479" s="10"/>
      <c r="M479" s="10"/>
      <c r="N479" s="10"/>
      <c r="O479" s="200">
        <v>39.56</v>
      </c>
      <c r="P479" s="17">
        <v>1936770.0</v>
      </c>
      <c r="Q479" s="234" t="b">
        <v>1</v>
      </c>
      <c r="R479" s="10"/>
    </row>
    <row r="480">
      <c r="A480" s="10" t="s">
        <v>1771</v>
      </c>
      <c r="B480" s="10" t="s">
        <v>65</v>
      </c>
      <c r="C480" s="11">
        <v>46039.0</v>
      </c>
      <c r="D480" s="10" t="s">
        <v>751</v>
      </c>
      <c r="E480" s="10" t="s">
        <v>4823</v>
      </c>
      <c r="F480" s="10"/>
      <c r="G480" s="200" t="s">
        <v>4825</v>
      </c>
      <c r="H480" s="10" t="s">
        <v>481</v>
      </c>
      <c r="I480" s="14" t="b">
        <v>0</v>
      </c>
      <c r="J480" s="200" t="s">
        <v>382</v>
      </c>
      <c r="K480" s="10"/>
      <c r="L480" s="10"/>
      <c r="M480" s="10"/>
      <c r="N480" s="10"/>
      <c r="O480" s="200">
        <v>299.0</v>
      </c>
      <c r="P480" s="10"/>
      <c r="Q480" s="234" t="b">
        <v>1</v>
      </c>
      <c r="R480" s="10"/>
    </row>
    <row r="481">
      <c r="A481" s="10" t="s">
        <v>1765</v>
      </c>
      <c r="B481" s="10" t="s">
        <v>65</v>
      </c>
      <c r="C481" s="11">
        <v>46038.0</v>
      </c>
      <c r="D481" s="10" t="s">
        <v>202</v>
      </c>
      <c r="E481" s="10" t="s">
        <v>4830</v>
      </c>
      <c r="F481" s="10"/>
      <c r="G481" s="200" t="s">
        <v>4831</v>
      </c>
      <c r="H481" s="10" t="s">
        <v>481</v>
      </c>
      <c r="I481" s="14" t="b">
        <v>0</v>
      </c>
      <c r="J481" s="200" t="s">
        <v>382</v>
      </c>
      <c r="K481" s="10"/>
      <c r="L481" s="10"/>
      <c r="M481" s="10"/>
      <c r="N481" s="10"/>
      <c r="O481" s="200">
        <v>138.0</v>
      </c>
      <c r="P481" s="10"/>
      <c r="Q481" s="234" t="b">
        <v>1</v>
      </c>
      <c r="R481" s="10"/>
    </row>
    <row r="482">
      <c r="A482" s="10" t="s">
        <v>1686</v>
      </c>
      <c r="B482" s="10" t="s">
        <v>65</v>
      </c>
      <c r="C482" s="11">
        <v>46034.0</v>
      </c>
      <c r="D482" s="10" t="s">
        <v>189</v>
      </c>
      <c r="E482" s="10" t="s">
        <v>4835</v>
      </c>
      <c r="F482" s="10"/>
      <c r="G482" s="200" t="s">
        <v>4837</v>
      </c>
      <c r="H482" s="10" t="s">
        <v>460</v>
      </c>
      <c r="I482" s="14" t="b">
        <v>0</v>
      </c>
      <c r="J482" s="200" t="s">
        <v>382</v>
      </c>
      <c r="K482" s="10"/>
      <c r="L482" s="10"/>
      <c r="M482" s="10"/>
      <c r="N482" s="10"/>
      <c r="O482" s="200">
        <v>236.94</v>
      </c>
      <c r="P482" s="10"/>
      <c r="Q482" s="234" t="b">
        <v>1</v>
      </c>
      <c r="R482" s="10"/>
    </row>
    <row r="483">
      <c r="A483" s="10" t="s">
        <v>1699</v>
      </c>
      <c r="B483" s="10" t="s">
        <v>65</v>
      </c>
      <c r="C483" s="11">
        <v>46036.0</v>
      </c>
      <c r="D483" s="10" t="s">
        <v>189</v>
      </c>
      <c r="E483" s="10" t="s">
        <v>4840</v>
      </c>
      <c r="F483" s="10"/>
      <c r="G483" s="200" t="s">
        <v>4842</v>
      </c>
      <c r="H483" s="10" t="s">
        <v>460</v>
      </c>
      <c r="I483" s="14" t="b">
        <v>0</v>
      </c>
      <c r="J483" s="200" t="s">
        <v>382</v>
      </c>
      <c r="K483" s="10"/>
      <c r="L483" s="10"/>
      <c r="M483" s="10"/>
      <c r="N483" s="10"/>
      <c r="O483" s="200">
        <v>333.59</v>
      </c>
      <c r="P483" s="10"/>
      <c r="Q483" s="234" t="b">
        <v>1</v>
      </c>
      <c r="R483" s="10"/>
    </row>
    <row r="484">
      <c r="A484" s="10" t="s">
        <v>1769</v>
      </c>
      <c r="B484" s="10" t="s">
        <v>65</v>
      </c>
      <c r="C484" s="11">
        <v>46038.0</v>
      </c>
      <c r="D484" s="10" t="s">
        <v>189</v>
      </c>
      <c r="E484" s="10" t="s">
        <v>4845</v>
      </c>
      <c r="F484" s="10"/>
      <c r="G484" s="200" t="s">
        <v>4846</v>
      </c>
      <c r="H484" s="10" t="s">
        <v>460</v>
      </c>
      <c r="I484" s="14" t="b">
        <v>0</v>
      </c>
      <c r="J484" s="200" t="s">
        <v>382</v>
      </c>
      <c r="K484" s="10"/>
      <c r="L484" s="10"/>
      <c r="M484" s="10"/>
      <c r="N484" s="10"/>
      <c r="O484" s="200">
        <v>254.0</v>
      </c>
      <c r="P484" s="10"/>
      <c r="Q484" s="234" t="b">
        <v>1</v>
      </c>
      <c r="R484" s="10"/>
    </row>
    <row r="485">
      <c r="A485" s="10" t="s">
        <v>1774</v>
      </c>
      <c r="B485" s="10" t="s">
        <v>65</v>
      </c>
      <c r="C485" s="11">
        <v>46040.0</v>
      </c>
      <c r="D485" s="10" t="s">
        <v>3175</v>
      </c>
      <c r="E485" s="10" t="s">
        <v>4852</v>
      </c>
      <c r="F485" s="10"/>
      <c r="G485" s="200" t="s">
        <v>4853</v>
      </c>
      <c r="H485" s="10" t="s">
        <v>3593</v>
      </c>
      <c r="I485" s="14" t="b">
        <v>1</v>
      </c>
      <c r="J485" s="200" t="s">
        <v>382</v>
      </c>
      <c r="K485" s="10"/>
      <c r="L485" s="10"/>
      <c r="M485" s="10"/>
      <c r="N485" s="10"/>
      <c r="O485" s="200">
        <v>223.0</v>
      </c>
      <c r="P485" s="17">
        <v>1941669.0</v>
      </c>
      <c r="Q485" s="234" t="b">
        <v>1</v>
      </c>
      <c r="R485" s="10"/>
    </row>
    <row r="486">
      <c r="A486" s="10" t="s">
        <v>1807</v>
      </c>
      <c r="B486" s="10" t="s">
        <v>65</v>
      </c>
      <c r="C486" s="11">
        <v>46043.0</v>
      </c>
      <c r="D486" s="10" t="s">
        <v>163</v>
      </c>
      <c r="E486" s="10" t="s">
        <v>4860</v>
      </c>
      <c r="F486" s="10"/>
      <c r="G486" s="200" t="s">
        <v>4862</v>
      </c>
      <c r="H486" s="10" t="s">
        <v>1010</v>
      </c>
      <c r="I486" s="14" t="b">
        <v>1</v>
      </c>
      <c r="J486" s="200" t="s">
        <v>382</v>
      </c>
      <c r="K486" s="10"/>
      <c r="L486" s="10"/>
      <c r="M486" s="10"/>
      <c r="N486" s="10"/>
      <c r="O486" s="200">
        <v>193.35</v>
      </c>
      <c r="P486" s="17">
        <v>1947250.0</v>
      </c>
      <c r="Q486" s="234" t="b">
        <v>1</v>
      </c>
      <c r="R486" s="10"/>
    </row>
    <row r="487">
      <c r="A487" s="10" t="s">
        <v>1779</v>
      </c>
      <c r="B487" s="10" t="s">
        <v>65</v>
      </c>
      <c r="C487" s="11">
        <v>46042.0</v>
      </c>
      <c r="D487" s="10" t="s">
        <v>131</v>
      </c>
      <c r="E487" s="10" t="s">
        <v>4869</v>
      </c>
      <c r="F487" s="10"/>
      <c r="G487" s="200" t="s">
        <v>4870</v>
      </c>
      <c r="H487" s="10" t="s">
        <v>136</v>
      </c>
      <c r="I487" s="14" t="b">
        <v>0</v>
      </c>
      <c r="J487" s="200" t="s">
        <v>382</v>
      </c>
      <c r="K487" s="10"/>
      <c r="L487" s="200" t="s">
        <v>4873</v>
      </c>
      <c r="M487" s="200" t="s">
        <v>4874</v>
      </c>
      <c r="N487" s="10"/>
      <c r="O487" s="200">
        <v>7746.76</v>
      </c>
      <c r="P487" s="10"/>
      <c r="Q487" s="234" t="b">
        <v>1</v>
      </c>
      <c r="R487" s="10"/>
    </row>
    <row r="488">
      <c r="A488" s="10" t="s">
        <v>1785</v>
      </c>
      <c r="B488" s="10" t="s">
        <v>65</v>
      </c>
      <c r="C488" s="11">
        <v>46042.0</v>
      </c>
      <c r="D488" s="10" t="s">
        <v>131</v>
      </c>
      <c r="E488" s="10" t="s">
        <v>4877</v>
      </c>
      <c r="F488" s="10"/>
      <c r="G488" s="200" t="s">
        <v>4878</v>
      </c>
      <c r="H488" s="10" t="s">
        <v>171</v>
      </c>
      <c r="I488" s="14" t="b">
        <v>0</v>
      </c>
      <c r="J488" s="200" t="s">
        <v>382</v>
      </c>
      <c r="K488" s="10"/>
      <c r="L488" s="200" t="s">
        <v>4881</v>
      </c>
      <c r="M488" s="200" t="s">
        <v>4882</v>
      </c>
      <c r="N488" s="10"/>
      <c r="O488" s="200">
        <v>24820.52</v>
      </c>
      <c r="P488" s="10"/>
      <c r="Q488" s="234" t="b">
        <v>1</v>
      </c>
      <c r="R488" s="10"/>
    </row>
    <row r="489">
      <c r="A489" s="10" t="s">
        <v>1693</v>
      </c>
      <c r="B489" s="10" t="s">
        <v>65</v>
      </c>
      <c r="C489" s="11">
        <v>46035.0</v>
      </c>
      <c r="D489" s="10" t="s">
        <v>4887</v>
      </c>
      <c r="E489" s="10" t="s">
        <v>4889</v>
      </c>
      <c r="F489" s="10"/>
      <c r="G489" s="200" t="s">
        <v>4890</v>
      </c>
      <c r="H489" s="10" t="s">
        <v>4891</v>
      </c>
      <c r="I489" s="14" t="b">
        <v>1</v>
      </c>
      <c r="J489" s="200" t="s">
        <v>382</v>
      </c>
      <c r="K489" s="10"/>
      <c r="L489" s="10"/>
      <c r="M489" s="10"/>
      <c r="N489" s="10"/>
      <c r="O489" s="200">
        <v>2400.0</v>
      </c>
      <c r="P489" s="17">
        <v>1930845.0</v>
      </c>
      <c r="Q489" s="234" t="b">
        <v>1</v>
      </c>
      <c r="R489" s="10"/>
    </row>
    <row r="490">
      <c r="A490" s="10" t="s">
        <v>1823</v>
      </c>
      <c r="B490" s="10" t="s">
        <v>65</v>
      </c>
      <c r="C490" s="11">
        <v>46043.0</v>
      </c>
      <c r="D490" s="10" t="s">
        <v>246</v>
      </c>
      <c r="E490" s="10" t="s">
        <v>4895</v>
      </c>
      <c r="F490" s="10"/>
      <c r="G490" s="200" t="s">
        <v>4896</v>
      </c>
      <c r="H490" s="10" t="s">
        <v>250</v>
      </c>
      <c r="I490" s="14" t="b">
        <v>0</v>
      </c>
      <c r="J490" s="200" t="s">
        <v>382</v>
      </c>
      <c r="K490" s="10"/>
      <c r="L490" s="10"/>
      <c r="M490" s="10"/>
      <c r="N490" s="10"/>
      <c r="O490" s="200">
        <v>950.34</v>
      </c>
      <c r="P490" s="10"/>
      <c r="Q490" s="234" t="b">
        <v>1</v>
      </c>
      <c r="R490" s="10"/>
      <c r="S490" s="16">
        <v>19.38</v>
      </c>
    </row>
    <row r="491">
      <c r="A491" s="10" t="s">
        <v>2574</v>
      </c>
      <c r="B491" s="10" t="s">
        <v>65</v>
      </c>
      <c r="C491" s="11">
        <v>46044.0</v>
      </c>
      <c r="D491" s="10" t="s">
        <v>1888</v>
      </c>
      <c r="E491" s="10" t="s">
        <v>4902</v>
      </c>
      <c r="F491" s="10"/>
      <c r="G491" s="200" t="s">
        <v>4904</v>
      </c>
      <c r="H491" s="10" t="s">
        <v>149</v>
      </c>
      <c r="I491" s="14" t="b">
        <v>0</v>
      </c>
      <c r="J491" s="200" t="s">
        <v>382</v>
      </c>
      <c r="K491" s="10"/>
      <c r="L491" s="10"/>
      <c r="M491" s="10"/>
      <c r="N491" s="10"/>
      <c r="O491" s="200">
        <v>321.0</v>
      </c>
      <c r="P491" s="10"/>
      <c r="Q491" s="234" t="b">
        <v>1</v>
      </c>
      <c r="R491" s="10"/>
    </row>
    <row r="492">
      <c r="A492" s="10" t="s">
        <v>1797</v>
      </c>
      <c r="B492" s="10" t="s">
        <v>65</v>
      </c>
      <c r="C492" s="11">
        <v>46042.0</v>
      </c>
      <c r="D492" s="10" t="s">
        <v>751</v>
      </c>
      <c r="E492" s="10" t="s">
        <v>4909</v>
      </c>
      <c r="F492" s="10"/>
      <c r="G492" s="200" t="s">
        <v>4911</v>
      </c>
      <c r="H492" s="10" t="s">
        <v>481</v>
      </c>
      <c r="I492" s="14" t="b">
        <v>0</v>
      </c>
      <c r="J492" s="200" t="s">
        <v>382</v>
      </c>
      <c r="K492" s="10"/>
      <c r="L492" s="10"/>
      <c r="M492" s="10"/>
      <c r="N492" s="10"/>
      <c r="O492" s="200">
        <v>207.0</v>
      </c>
      <c r="P492" s="10"/>
      <c r="Q492" s="234" t="b">
        <v>1</v>
      </c>
      <c r="R492" s="10"/>
    </row>
    <row r="493">
      <c r="A493" s="10" t="s">
        <v>1799</v>
      </c>
      <c r="B493" s="10" t="s">
        <v>65</v>
      </c>
      <c r="C493" s="11">
        <v>46042.0</v>
      </c>
      <c r="D493" s="10" t="s">
        <v>202</v>
      </c>
      <c r="E493" s="10" t="s">
        <v>4920</v>
      </c>
      <c r="F493" s="10"/>
      <c r="G493" s="200" t="s">
        <v>4922</v>
      </c>
      <c r="H493" s="10" t="s">
        <v>481</v>
      </c>
      <c r="I493" s="14" t="b">
        <v>0</v>
      </c>
      <c r="J493" s="200" t="s">
        <v>382</v>
      </c>
      <c r="K493" s="10"/>
      <c r="L493" s="10"/>
      <c r="M493" s="10"/>
      <c r="N493" s="10"/>
      <c r="O493" s="200">
        <v>138.0</v>
      </c>
      <c r="P493" s="10"/>
      <c r="Q493" s="234" t="b">
        <v>1</v>
      </c>
      <c r="R493" s="10"/>
    </row>
    <row r="494">
      <c r="A494" s="10" t="s">
        <v>1801</v>
      </c>
      <c r="B494" s="10" t="s">
        <v>65</v>
      </c>
      <c r="C494" s="11">
        <v>46042.0</v>
      </c>
      <c r="D494" s="10" t="s">
        <v>131</v>
      </c>
      <c r="E494" s="10" t="s">
        <v>4928</v>
      </c>
      <c r="F494" s="10"/>
      <c r="G494" s="200" t="s">
        <v>4929</v>
      </c>
      <c r="H494" s="10" t="s">
        <v>4931</v>
      </c>
      <c r="I494" s="14" t="b">
        <v>0</v>
      </c>
      <c r="J494" s="200" t="s">
        <v>382</v>
      </c>
      <c r="K494" s="10"/>
      <c r="L494" s="10"/>
      <c r="M494" s="10"/>
      <c r="N494" s="10"/>
      <c r="O494" s="200">
        <v>1619.51</v>
      </c>
      <c r="P494" s="10"/>
      <c r="Q494" s="234" t="b">
        <v>1</v>
      </c>
      <c r="R494" s="10"/>
    </row>
    <row r="495">
      <c r="A495" s="10" t="s">
        <v>2636</v>
      </c>
      <c r="B495" s="10" t="s">
        <v>65</v>
      </c>
      <c r="C495" s="11">
        <v>46047.0</v>
      </c>
      <c r="D495" s="10" t="s">
        <v>227</v>
      </c>
      <c r="E495" s="10" t="s">
        <v>4937</v>
      </c>
      <c r="F495" s="10"/>
      <c r="G495" s="200" t="s">
        <v>4938</v>
      </c>
      <c r="H495" s="10" t="s">
        <v>195</v>
      </c>
      <c r="I495" s="14" t="b">
        <v>1</v>
      </c>
      <c r="J495" s="200" t="s">
        <v>382</v>
      </c>
      <c r="K495" s="10"/>
      <c r="L495" s="10"/>
      <c r="M495" s="10"/>
      <c r="N495" s="10"/>
      <c r="O495" s="200">
        <v>71.58</v>
      </c>
      <c r="P495" s="17">
        <v>1954508.0</v>
      </c>
      <c r="Q495" s="234" t="b">
        <v>1</v>
      </c>
      <c r="R495" s="10"/>
    </row>
    <row r="496">
      <c r="A496" s="10" t="s">
        <v>2627</v>
      </c>
      <c r="B496" s="10" t="s">
        <v>65</v>
      </c>
      <c r="C496" s="11">
        <v>46046.0</v>
      </c>
      <c r="D496" s="10" t="s">
        <v>751</v>
      </c>
      <c r="E496" s="10" t="s">
        <v>4945</v>
      </c>
      <c r="F496" s="10"/>
      <c r="G496" s="200" t="s">
        <v>4946</v>
      </c>
      <c r="H496" s="10" t="s">
        <v>195</v>
      </c>
      <c r="I496" s="14" t="b">
        <v>0</v>
      </c>
      <c r="J496" s="200" t="s">
        <v>382</v>
      </c>
      <c r="K496" s="10"/>
      <c r="L496" s="10"/>
      <c r="M496" s="10"/>
      <c r="N496" s="10"/>
      <c r="O496" s="200">
        <v>299.0</v>
      </c>
      <c r="P496" s="10"/>
      <c r="Q496" s="234" t="b">
        <v>1</v>
      </c>
      <c r="R496" s="10"/>
    </row>
    <row r="497">
      <c r="A497" s="10" t="s">
        <v>2580</v>
      </c>
      <c r="B497" s="10" t="s">
        <v>65</v>
      </c>
      <c r="C497" s="11">
        <v>46045.0</v>
      </c>
      <c r="D497" s="10" t="s">
        <v>163</v>
      </c>
      <c r="E497" s="10" t="s">
        <v>4954</v>
      </c>
      <c r="F497" s="10"/>
      <c r="G497" s="200" t="s">
        <v>4955</v>
      </c>
      <c r="H497" s="10" t="s">
        <v>529</v>
      </c>
      <c r="I497" s="14" t="b">
        <v>1</v>
      </c>
      <c r="J497" s="200" t="s">
        <v>382</v>
      </c>
      <c r="K497" s="10"/>
      <c r="L497" s="10"/>
      <c r="M497" s="10"/>
      <c r="N497" s="10"/>
      <c r="O497" s="200">
        <v>92.51</v>
      </c>
      <c r="P497" s="17">
        <v>1951568.0</v>
      </c>
      <c r="Q497" s="234" t="b">
        <v>1</v>
      </c>
      <c r="R497" s="10"/>
    </row>
    <row r="498">
      <c r="A498" s="10" t="s">
        <v>2607</v>
      </c>
      <c r="B498" s="10" t="s">
        <v>65</v>
      </c>
      <c r="C498" s="11">
        <v>46045.0</v>
      </c>
      <c r="D498" s="17">
        <v>8.627274E7</v>
      </c>
      <c r="E498" s="10" t="s">
        <v>4960</v>
      </c>
      <c r="F498" s="10"/>
      <c r="G498" s="200" t="s">
        <v>4962</v>
      </c>
      <c r="H498" s="10" t="s">
        <v>195</v>
      </c>
      <c r="I498" s="14" t="b">
        <v>1</v>
      </c>
      <c r="J498" s="200" t="s">
        <v>382</v>
      </c>
      <c r="K498" s="10"/>
      <c r="L498" s="10"/>
      <c r="M498" s="10"/>
      <c r="N498" s="10"/>
      <c r="O498" s="200">
        <v>52.87</v>
      </c>
      <c r="P498" s="17">
        <v>1951511.0</v>
      </c>
      <c r="Q498" s="234" t="b">
        <v>1</v>
      </c>
      <c r="R498" s="10"/>
    </row>
    <row r="499">
      <c r="A499" s="10" t="s">
        <v>2612</v>
      </c>
      <c r="B499" s="10" t="s">
        <v>65</v>
      </c>
      <c r="C499" s="11">
        <v>46045.0</v>
      </c>
      <c r="D499" s="10" t="s">
        <v>557</v>
      </c>
      <c r="E499" s="10" t="s">
        <v>4968</v>
      </c>
      <c r="F499" s="10"/>
      <c r="G499" s="200" t="s">
        <v>4969</v>
      </c>
      <c r="H499" s="10" t="s">
        <v>4970</v>
      </c>
      <c r="I499" s="14" t="b">
        <v>1</v>
      </c>
      <c r="J499" s="200" t="s">
        <v>382</v>
      </c>
      <c r="K499" s="10"/>
      <c r="L499" s="10"/>
      <c r="M499" s="10"/>
      <c r="N499" s="10"/>
      <c r="O499" s="200">
        <v>17.98</v>
      </c>
      <c r="P499" s="17">
        <v>1951517.0</v>
      </c>
      <c r="Q499" s="234" t="b">
        <v>1</v>
      </c>
      <c r="R499" s="10"/>
    </row>
    <row r="500">
      <c r="A500" s="10" t="s">
        <v>2624</v>
      </c>
      <c r="B500" s="10" t="s">
        <v>65</v>
      </c>
      <c r="C500" s="11">
        <v>46045.0</v>
      </c>
      <c r="D500" s="10" t="s">
        <v>189</v>
      </c>
      <c r="E500" s="10" t="s">
        <v>4973</v>
      </c>
      <c r="F500" s="10"/>
      <c r="G500" s="200" t="s">
        <v>4976</v>
      </c>
      <c r="H500" s="10" t="s">
        <v>195</v>
      </c>
      <c r="I500" s="14" t="b">
        <v>0</v>
      </c>
      <c r="J500" s="200" t="s">
        <v>382</v>
      </c>
      <c r="K500" s="10"/>
      <c r="L500" s="10"/>
      <c r="M500" s="10"/>
      <c r="N500" s="10"/>
      <c r="O500" s="200">
        <v>259.99</v>
      </c>
      <c r="P500" s="10"/>
      <c r="Q500" s="234" t="b">
        <v>1</v>
      </c>
      <c r="R500" s="10"/>
    </row>
    <row r="501">
      <c r="A501" s="10" t="s">
        <v>2642</v>
      </c>
      <c r="B501" s="10" t="s">
        <v>65</v>
      </c>
      <c r="C501" s="11">
        <v>46047.0</v>
      </c>
      <c r="D501" s="10" t="s">
        <v>4982</v>
      </c>
      <c r="E501" s="10" t="s">
        <v>4983</v>
      </c>
      <c r="F501" s="10"/>
      <c r="G501" s="200" t="s">
        <v>4985</v>
      </c>
      <c r="H501" s="10" t="s">
        <v>4987</v>
      </c>
      <c r="I501" s="14" t="b">
        <v>1</v>
      </c>
      <c r="J501" s="200" t="s">
        <v>382</v>
      </c>
      <c r="K501" s="10"/>
      <c r="L501" s="10"/>
      <c r="M501" s="10"/>
      <c r="N501" s="10"/>
      <c r="O501" s="200">
        <v>71.0</v>
      </c>
      <c r="P501" s="17">
        <v>1957038.0</v>
      </c>
      <c r="Q501" s="234" t="b">
        <v>1</v>
      </c>
      <c r="R501" s="10"/>
    </row>
    <row r="502">
      <c r="A502" s="10" t="s">
        <v>2645</v>
      </c>
      <c r="B502" s="10" t="s">
        <v>65</v>
      </c>
      <c r="C502" s="11">
        <v>46047.0</v>
      </c>
      <c r="D502" s="10" t="s">
        <v>4992</v>
      </c>
      <c r="E502" s="10" t="s">
        <v>4994</v>
      </c>
      <c r="F502" s="10"/>
      <c r="G502" s="200" t="s">
        <v>4995</v>
      </c>
      <c r="H502" s="10" t="s">
        <v>4997</v>
      </c>
      <c r="I502" s="14" t="b">
        <v>1</v>
      </c>
      <c r="J502" s="200" t="s">
        <v>382</v>
      </c>
      <c r="K502" s="10"/>
      <c r="L502" s="10"/>
      <c r="M502" s="10"/>
      <c r="N502" s="10"/>
      <c r="O502" s="200">
        <v>235.0</v>
      </c>
      <c r="P502" s="17">
        <v>1957043.0</v>
      </c>
      <c r="Q502" s="234" t="b">
        <v>1</v>
      </c>
      <c r="R502" s="10"/>
    </row>
    <row r="503">
      <c r="A503" s="10" t="s">
        <v>2650</v>
      </c>
      <c r="B503" s="10" t="s">
        <v>65</v>
      </c>
      <c r="C503" s="11">
        <v>46047.0</v>
      </c>
      <c r="D503" s="10" t="s">
        <v>785</v>
      </c>
      <c r="E503" s="10" t="s">
        <v>5002</v>
      </c>
      <c r="F503" s="10"/>
      <c r="G503" s="200" t="s">
        <v>5003</v>
      </c>
      <c r="H503" s="10" t="s">
        <v>3209</v>
      </c>
      <c r="I503" s="14" t="b">
        <v>1</v>
      </c>
      <c r="J503" s="200" t="s">
        <v>382</v>
      </c>
      <c r="K503" s="10"/>
      <c r="L503" s="10"/>
      <c r="M503" s="10"/>
      <c r="N503" s="10"/>
      <c r="O503" s="200">
        <v>100.0</v>
      </c>
      <c r="P503" s="17">
        <v>1957041.0</v>
      </c>
      <c r="Q503" s="234" t="b">
        <v>1</v>
      </c>
      <c r="R503" s="10"/>
    </row>
    <row r="504">
      <c r="A504" s="10" t="s">
        <v>2653</v>
      </c>
      <c r="B504" s="10" t="s">
        <v>65</v>
      </c>
      <c r="C504" s="11">
        <v>46047.0</v>
      </c>
      <c r="D504" s="10" t="s">
        <v>3175</v>
      </c>
      <c r="E504" s="10" t="s">
        <v>5009</v>
      </c>
      <c r="F504" s="10"/>
      <c r="G504" s="200" t="s">
        <v>5010</v>
      </c>
      <c r="H504" s="10" t="s">
        <v>3593</v>
      </c>
      <c r="I504" s="14" t="b">
        <v>1</v>
      </c>
      <c r="J504" s="200" t="s">
        <v>382</v>
      </c>
      <c r="K504" s="10"/>
      <c r="L504" s="10"/>
      <c r="M504" s="10"/>
      <c r="N504" s="10"/>
      <c r="O504" s="200">
        <v>195.25</v>
      </c>
      <c r="P504" s="17">
        <v>1957039.0</v>
      </c>
      <c r="Q504" s="234" t="b">
        <v>1</v>
      </c>
      <c r="R504" s="10"/>
    </row>
    <row r="505">
      <c r="A505" s="10" t="s">
        <v>2633</v>
      </c>
      <c r="B505" s="10" t="s">
        <v>65</v>
      </c>
      <c r="C505" s="11">
        <v>46046.0</v>
      </c>
      <c r="D505" s="10" t="s">
        <v>189</v>
      </c>
      <c r="E505" s="10" t="s">
        <v>5018</v>
      </c>
      <c r="F505" s="10"/>
      <c r="G505" s="200" t="s">
        <v>5020</v>
      </c>
      <c r="H505" s="10" t="s">
        <v>114</v>
      </c>
      <c r="I505" s="14" t="b">
        <v>0</v>
      </c>
      <c r="J505" s="200" t="s">
        <v>382</v>
      </c>
      <c r="K505" s="10"/>
      <c r="L505" s="10"/>
      <c r="M505" s="10"/>
      <c r="N505" s="10"/>
      <c r="O505" s="200">
        <v>257.23</v>
      </c>
      <c r="P505" s="10"/>
      <c r="Q505" s="234" t="b">
        <v>1</v>
      </c>
      <c r="R505" s="10"/>
    </row>
    <row r="506">
      <c r="A506" s="10" t="s">
        <v>2706</v>
      </c>
      <c r="B506" s="10" t="s">
        <v>65</v>
      </c>
      <c r="C506" s="11">
        <v>46053.0</v>
      </c>
      <c r="D506" s="10" t="s">
        <v>5028</v>
      </c>
      <c r="E506" s="10" t="s">
        <v>5029</v>
      </c>
      <c r="F506" s="10"/>
      <c r="G506" s="200" t="s">
        <v>5031</v>
      </c>
      <c r="H506" s="10" t="s">
        <v>5032</v>
      </c>
      <c r="I506" s="14" t="b">
        <v>1</v>
      </c>
      <c r="J506" s="200" t="s">
        <v>382</v>
      </c>
      <c r="K506" s="10"/>
      <c r="L506" s="10"/>
      <c r="M506" s="10"/>
      <c r="N506" s="10"/>
      <c r="O506" s="200">
        <v>57.0</v>
      </c>
      <c r="P506" s="17">
        <v>1970178.0</v>
      </c>
      <c r="Q506" s="234" t="b">
        <v>1</v>
      </c>
      <c r="R506" s="10"/>
    </row>
    <row r="507">
      <c r="A507" s="10" t="s">
        <v>2689</v>
      </c>
      <c r="B507" s="10" t="s">
        <v>65</v>
      </c>
      <c r="C507" s="11">
        <v>46051.0</v>
      </c>
      <c r="D507" s="10" t="s">
        <v>1888</v>
      </c>
      <c r="E507" s="10" t="s">
        <v>5037</v>
      </c>
      <c r="F507" s="10"/>
      <c r="G507" s="200" t="s">
        <v>5038</v>
      </c>
      <c r="H507" s="10" t="s">
        <v>149</v>
      </c>
      <c r="I507" s="14" t="b">
        <v>0</v>
      </c>
      <c r="J507" s="200" t="s">
        <v>382</v>
      </c>
      <c r="K507" s="10"/>
      <c r="L507" s="200" t="s">
        <v>5039</v>
      </c>
      <c r="M507" s="10"/>
      <c r="N507" s="10"/>
      <c r="O507" s="200">
        <v>204.48</v>
      </c>
      <c r="P507" s="10"/>
      <c r="Q507" s="234" t="b">
        <v>1</v>
      </c>
      <c r="R507" s="10"/>
    </row>
    <row r="508">
      <c r="A508" s="10" t="s">
        <v>2694</v>
      </c>
      <c r="B508" s="10" t="s">
        <v>65</v>
      </c>
      <c r="C508" s="11">
        <v>46052.0</v>
      </c>
      <c r="D508" s="10" t="s">
        <v>5040</v>
      </c>
      <c r="E508" s="10" t="s">
        <v>5041</v>
      </c>
      <c r="F508" s="10"/>
      <c r="G508" s="200" t="s">
        <v>5042</v>
      </c>
      <c r="H508" s="10" t="s">
        <v>5043</v>
      </c>
      <c r="I508" s="14" t="b">
        <v>1</v>
      </c>
      <c r="J508" s="200" t="s">
        <v>382</v>
      </c>
      <c r="K508" s="10"/>
      <c r="L508" s="10"/>
      <c r="M508" s="10"/>
      <c r="N508" s="10"/>
      <c r="O508" s="200">
        <v>13.0</v>
      </c>
      <c r="P508" s="17">
        <v>1967955.0</v>
      </c>
      <c r="Q508" s="234" t="b">
        <v>1</v>
      </c>
      <c r="R508" s="10"/>
    </row>
    <row r="509">
      <c r="A509" s="10" t="s">
        <v>2708</v>
      </c>
      <c r="B509" s="10" t="s">
        <v>65</v>
      </c>
      <c r="C509" s="11">
        <v>46054.0</v>
      </c>
      <c r="D509" s="10" t="s">
        <v>785</v>
      </c>
      <c r="E509" s="10" t="s">
        <v>5044</v>
      </c>
      <c r="F509" s="10"/>
      <c r="G509" s="200" t="s">
        <v>5045</v>
      </c>
      <c r="H509" s="10" t="s">
        <v>3209</v>
      </c>
      <c r="I509" s="14" t="b">
        <v>1</v>
      </c>
      <c r="J509" s="200" t="s">
        <v>382</v>
      </c>
      <c r="K509" s="10"/>
      <c r="L509" s="10"/>
      <c r="M509" s="10"/>
      <c r="N509" s="10"/>
      <c r="O509" s="200">
        <v>118.0</v>
      </c>
      <c r="P509" s="17">
        <v>1972976.0</v>
      </c>
      <c r="Q509" s="234" t="b">
        <v>1</v>
      </c>
      <c r="R509" s="10"/>
    </row>
    <row r="510">
      <c r="A510" s="10" t="s">
        <v>2711</v>
      </c>
      <c r="B510" s="10" t="s">
        <v>65</v>
      </c>
      <c r="C510" s="11">
        <v>46054.0</v>
      </c>
      <c r="D510" s="10" t="s">
        <v>4992</v>
      </c>
      <c r="E510" s="10" t="s">
        <v>5047</v>
      </c>
      <c r="F510" s="10"/>
      <c r="G510" s="200" t="s">
        <v>5048</v>
      </c>
      <c r="H510" s="10" t="s">
        <v>5049</v>
      </c>
      <c r="I510" s="14" t="b">
        <v>1</v>
      </c>
      <c r="J510" s="200" t="s">
        <v>382</v>
      </c>
      <c r="K510" s="10"/>
      <c r="L510" s="10"/>
      <c r="M510" s="10"/>
      <c r="N510" s="10"/>
      <c r="O510" s="200">
        <v>234.0</v>
      </c>
      <c r="P510" s="17">
        <v>1972960.0</v>
      </c>
      <c r="Q510" s="234" t="b">
        <v>1</v>
      </c>
      <c r="R510" s="10"/>
    </row>
    <row r="511">
      <c r="A511" s="10" t="s">
        <v>2714</v>
      </c>
      <c r="B511" s="10" t="s">
        <v>65</v>
      </c>
      <c r="C511" s="11">
        <v>46054.0</v>
      </c>
      <c r="D511" s="10" t="s">
        <v>3175</v>
      </c>
      <c r="E511" s="10" t="s">
        <v>5050</v>
      </c>
      <c r="F511" s="10"/>
      <c r="G511" s="200" t="s">
        <v>5051</v>
      </c>
      <c r="H511" s="10" t="s">
        <v>3593</v>
      </c>
      <c r="I511" s="14" t="b">
        <v>1</v>
      </c>
      <c r="J511" s="200" t="s">
        <v>382</v>
      </c>
      <c r="K511" s="10"/>
      <c r="L511" s="10"/>
      <c r="M511" s="10"/>
      <c r="N511" s="10"/>
      <c r="O511" s="200">
        <v>478.25</v>
      </c>
      <c r="P511" s="17">
        <v>1972968.0</v>
      </c>
      <c r="Q511" s="234" t="b">
        <v>1</v>
      </c>
      <c r="R511" s="10"/>
    </row>
    <row r="512">
      <c r="A512" s="10" t="s">
        <v>2658</v>
      </c>
      <c r="B512" s="10" t="s">
        <v>65</v>
      </c>
      <c r="C512" s="11">
        <v>46049.0</v>
      </c>
      <c r="D512" s="10" t="s">
        <v>983</v>
      </c>
      <c r="E512" s="10" t="s">
        <v>5052</v>
      </c>
      <c r="F512" s="10"/>
      <c r="G512" s="200" t="s">
        <v>5053</v>
      </c>
      <c r="H512" s="10" t="s">
        <v>5054</v>
      </c>
      <c r="I512" s="14" t="b">
        <v>1</v>
      </c>
      <c r="J512" s="200" t="s">
        <v>382</v>
      </c>
      <c r="K512" s="10"/>
      <c r="L512" s="10"/>
      <c r="M512" s="10"/>
      <c r="N512" s="10"/>
      <c r="O512" s="200">
        <v>25.8</v>
      </c>
      <c r="P512" s="17">
        <v>1961578.0</v>
      </c>
      <c r="Q512" s="234" t="b">
        <v>1</v>
      </c>
      <c r="R512" s="10"/>
    </row>
    <row r="513">
      <c r="A513" s="10" t="s">
        <v>2662</v>
      </c>
      <c r="B513" s="10" t="s">
        <v>65</v>
      </c>
      <c r="C513" s="11">
        <v>46049.0</v>
      </c>
      <c r="D513" s="10" t="s">
        <v>163</v>
      </c>
      <c r="E513" s="10" t="s">
        <v>5056</v>
      </c>
      <c r="F513" s="10"/>
      <c r="G513" s="200" t="s">
        <v>5057</v>
      </c>
      <c r="H513" s="10" t="s">
        <v>4041</v>
      </c>
      <c r="I513" s="14" t="b">
        <v>1</v>
      </c>
      <c r="J513" s="200" t="s">
        <v>382</v>
      </c>
      <c r="K513" s="10"/>
      <c r="L513" s="10"/>
      <c r="M513" s="10"/>
      <c r="N513" s="10"/>
      <c r="O513" s="200">
        <v>89.37</v>
      </c>
      <c r="P513" s="17">
        <v>1961580.0</v>
      </c>
      <c r="Q513" s="234" t="b">
        <v>1</v>
      </c>
      <c r="R513" s="10"/>
    </row>
    <row r="514">
      <c r="A514" s="10" t="s">
        <v>2684</v>
      </c>
      <c r="B514" s="10" t="s">
        <v>65</v>
      </c>
      <c r="C514" s="11">
        <v>46050.0</v>
      </c>
      <c r="D514" s="10" t="s">
        <v>189</v>
      </c>
      <c r="E514" s="10" t="s">
        <v>5058</v>
      </c>
      <c r="F514" s="10"/>
      <c r="G514" s="200" t="s">
        <v>5059</v>
      </c>
      <c r="H514" s="10" t="s">
        <v>195</v>
      </c>
      <c r="I514" s="14" t="b">
        <v>0</v>
      </c>
      <c r="J514" s="200" t="s">
        <v>382</v>
      </c>
      <c r="K514" s="10"/>
      <c r="L514" s="10"/>
      <c r="M514" s="10"/>
      <c r="N514" s="10"/>
      <c r="O514" s="200">
        <v>163.14</v>
      </c>
      <c r="P514" s="10"/>
      <c r="Q514" s="234" t="b">
        <v>1</v>
      </c>
      <c r="R514" s="10"/>
    </row>
    <row r="515">
      <c r="A515" s="10" t="s">
        <v>2697</v>
      </c>
      <c r="B515" s="10" t="s">
        <v>65</v>
      </c>
      <c r="C515" s="11">
        <v>46052.0</v>
      </c>
      <c r="D515" s="10" t="s">
        <v>189</v>
      </c>
      <c r="E515" s="10" t="s">
        <v>5060</v>
      </c>
      <c r="F515" s="10"/>
      <c r="G515" s="200" t="s">
        <v>5062</v>
      </c>
      <c r="H515" s="10" t="s">
        <v>195</v>
      </c>
      <c r="I515" s="14" t="b">
        <v>0</v>
      </c>
      <c r="J515" s="200" t="s">
        <v>382</v>
      </c>
      <c r="K515" s="10"/>
      <c r="L515" s="10"/>
      <c r="M515" s="10"/>
      <c r="N515" s="10"/>
      <c r="O515" s="200">
        <v>262.1</v>
      </c>
      <c r="P515" s="10"/>
      <c r="Q515" s="234" t="b">
        <v>1</v>
      </c>
      <c r="R515" s="10"/>
    </row>
    <row r="516">
      <c r="A516" s="10" t="s">
        <v>2704</v>
      </c>
      <c r="B516" s="10" t="s">
        <v>65</v>
      </c>
      <c r="C516" s="11">
        <v>46052.0</v>
      </c>
      <c r="D516" s="10" t="s">
        <v>751</v>
      </c>
      <c r="E516" s="10" t="s">
        <v>5064</v>
      </c>
      <c r="F516" s="10"/>
      <c r="G516" s="200" t="s">
        <v>5065</v>
      </c>
      <c r="H516" s="10" t="s">
        <v>481</v>
      </c>
      <c r="I516" s="14" t="b">
        <v>0</v>
      </c>
      <c r="J516" s="200" t="s">
        <v>382</v>
      </c>
      <c r="K516" s="10"/>
      <c r="L516" s="10"/>
      <c r="M516" s="10"/>
      <c r="N516" s="10"/>
      <c r="O516" s="200">
        <v>276.0</v>
      </c>
      <c r="P516" s="10"/>
      <c r="Q516" s="234" t="b">
        <v>1</v>
      </c>
      <c r="R516" s="10"/>
    </row>
    <row r="517">
      <c r="A517" s="10" t="s">
        <v>2679</v>
      </c>
      <c r="B517" s="10" t="s">
        <v>65</v>
      </c>
      <c r="C517" s="11">
        <v>46049.0</v>
      </c>
      <c r="D517" s="10" t="s">
        <v>751</v>
      </c>
      <c r="E517" s="10" t="s">
        <v>5066</v>
      </c>
      <c r="F517" s="10"/>
      <c r="G517" s="200" t="s">
        <v>5067</v>
      </c>
      <c r="H517" s="10" t="s">
        <v>481</v>
      </c>
      <c r="I517" s="14" t="b">
        <v>0</v>
      </c>
      <c r="J517" s="200" t="s">
        <v>382</v>
      </c>
      <c r="K517" s="10"/>
      <c r="L517" s="10"/>
      <c r="M517" s="10"/>
      <c r="N517" s="10"/>
      <c r="O517" s="200">
        <v>184.0</v>
      </c>
      <c r="P517" s="10"/>
      <c r="Q517" s="234" t="b">
        <v>1</v>
      </c>
      <c r="R517" s="10"/>
    </row>
    <row r="518">
      <c r="A518" s="10" t="s">
        <v>2682</v>
      </c>
      <c r="B518" s="10" t="s">
        <v>65</v>
      </c>
      <c r="C518" s="11">
        <v>46049.0</v>
      </c>
      <c r="D518" s="10" t="s">
        <v>202</v>
      </c>
      <c r="E518" s="10" t="s">
        <v>5068</v>
      </c>
      <c r="F518" s="10"/>
      <c r="G518" s="200" t="s">
        <v>5069</v>
      </c>
      <c r="H518" s="10" t="s">
        <v>481</v>
      </c>
      <c r="I518" s="14" t="b">
        <v>0</v>
      </c>
      <c r="J518" s="200" t="s">
        <v>382</v>
      </c>
      <c r="K518" s="10"/>
      <c r="L518" s="10"/>
      <c r="M518" s="10"/>
      <c r="N518" s="10"/>
      <c r="O518" s="200">
        <v>115.0</v>
      </c>
      <c r="P518" s="10"/>
      <c r="Q518" s="234" t="b">
        <v>1</v>
      </c>
      <c r="R518" s="10"/>
    </row>
    <row r="519">
      <c r="A519" s="10" t="s">
        <v>2723</v>
      </c>
      <c r="B519" s="10" t="s">
        <v>65</v>
      </c>
      <c r="C519" s="11">
        <v>46055.0</v>
      </c>
      <c r="D519" s="10" t="s">
        <v>163</v>
      </c>
      <c r="E519" s="10" t="s">
        <v>5072</v>
      </c>
      <c r="F519" s="10"/>
      <c r="G519" s="200" t="s">
        <v>5073</v>
      </c>
      <c r="H519" s="10" t="s">
        <v>1010</v>
      </c>
      <c r="I519" s="14" t="b">
        <v>1</v>
      </c>
      <c r="J519" s="200" t="s">
        <v>382</v>
      </c>
      <c r="K519" s="10"/>
      <c r="L519" s="10"/>
      <c r="M519" s="10"/>
      <c r="N519" s="10"/>
      <c r="O519" s="200">
        <v>90.45</v>
      </c>
      <c r="P519" s="17">
        <v>1974380.0</v>
      </c>
      <c r="Q519" s="234" t="b">
        <v>1</v>
      </c>
      <c r="R519" s="10"/>
    </row>
    <row r="520">
      <c r="A520" s="10" t="s">
        <v>2718</v>
      </c>
      <c r="B520" s="10" t="s">
        <v>65</v>
      </c>
      <c r="C520" s="11">
        <v>46054.0</v>
      </c>
      <c r="D520" s="10" t="s">
        <v>189</v>
      </c>
      <c r="E520" s="10" t="s">
        <v>5074</v>
      </c>
      <c r="F520" s="10"/>
      <c r="G520" s="200" t="s">
        <v>5075</v>
      </c>
      <c r="H520" s="10" t="s">
        <v>114</v>
      </c>
      <c r="I520" s="14" t="b">
        <v>0</v>
      </c>
      <c r="J520" s="200" t="s">
        <v>382</v>
      </c>
      <c r="K520" s="10"/>
      <c r="L520" s="10"/>
      <c r="M520" s="10"/>
      <c r="N520" s="10"/>
      <c r="O520" s="200">
        <v>432.26</v>
      </c>
      <c r="P520" s="10"/>
      <c r="Q520" s="234" t="b">
        <v>1</v>
      </c>
      <c r="R520" s="10"/>
    </row>
    <row r="521">
      <c r="A521" s="10" t="s">
        <v>2755</v>
      </c>
      <c r="B521" s="10" t="s">
        <v>65</v>
      </c>
      <c r="C521" s="11">
        <v>46056.0</v>
      </c>
      <c r="D521" s="10" t="s">
        <v>751</v>
      </c>
      <c r="E521" s="10" t="s">
        <v>5076</v>
      </c>
      <c r="F521" s="10"/>
      <c r="G521" s="200" t="s">
        <v>5077</v>
      </c>
      <c r="H521" s="10" t="s">
        <v>481</v>
      </c>
      <c r="I521" s="14" t="b">
        <v>0</v>
      </c>
      <c r="J521" s="200" t="s">
        <v>382</v>
      </c>
      <c r="K521" s="10"/>
      <c r="L521" s="10"/>
      <c r="M521" s="10"/>
      <c r="N521" s="10"/>
      <c r="O521" s="200">
        <v>138.0</v>
      </c>
      <c r="P521" s="10"/>
      <c r="Q521" s="234" t="b">
        <v>1</v>
      </c>
      <c r="R521" s="10"/>
    </row>
    <row r="522">
      <c r="A522" s="10" t="s">
        <v>2758</v>
      </c>
      <c r="B522" s="10" t="s">
        <v>65</v>
      </c>
      <c r="C522" s="11">
        <v>46056.0</v>
      </c>
      <c r="D522" s="10" t="s">
        <v>202</v>
      </c>
      <c r="E522" s="10" t="s">
        <v>5078</v>
      </c>
      <c r="F522" s="10"/>
      <c r="G522" s="200" t="s">
        <v>5079</v>
      </c>
      <c r="H522" s="10" t="s">
        <v>481</v>
      </c>
      <c r="I522" s="14" t="b">
        <v>0</v>
      </c>
      <c r="J522" s="200" t="s">
        <v>382</v>
      </c>
      <c r="K522" s="10"/>
      <c r="L522" s="10"/>
      <c r="M522" s="10"/>
      <c r="N522" s="10"/>
      <c r="O522" s="200">
        <v>138.0</v>
      </c>
      <c r="P522" s="10"/>
      <c r="Q522" s="234" t="b">
        <v>1</v>
      </c>
      <c r="R522" s="10"/>
    </row>
    <row r="523">
      <c r="A523" s="10" t="s">
        <v>2739</v>
      </c>
      <c r="B523" s="10" t="s">
        <v>65</v>
      </c>
      <c r="C523" s="11">
        <v>46055.0</v>
      </c>
      <c r="D523" s="10" t="s">
        <v>5080</v>
      </c>
      <c r="E523" s="10" t="s">
        <v>5081</v>
      </c>
      <c r="F523" s="10"/>
      <c r="G523" s="200" t="s">
        <v>5082</v>
      </c>
      <c r="H523" s="10" t="s">
        <v>5083</v>
      </c>
      <c r="I523" s="14" t="b">
        <v>0</v>
      </c>
      <c r="J523" s="200" t="s">
        <v>382</v>
      </c>
      <c r="K523" s="10"/>
      <c r="L523" s="200" t="s">
        <v>5084</v>
      </c>
      <c r="M523" s="10"/>
      <c r="N523" s="10"/>
      <c r="O523" s="200">
        <v>3646.22</v>
      </c>
      <c r="P523" s="10"/>
      <c r="Q523" s="234" t="b">
        <v>1</v>
      </c>
      <c r="R523" s="10"/>
    </row>
    <row r="524">
      <c r="A524" s="10" t="s">
        <v>2747</v>
      </c>
      <c r="B524" s="10" t="s">
        <v>65</v>
      </c>
      <c r="C524" s="11">
        <v>46055.0</v>
      </c>
      <c r="D524" s="10" t="s">
        <v>131</v>
      </c>
      <c r="E524" s="10" t="s">
        <v>5085</v>
      </c>
      <c r="F524" s="10"/>
      <c r="G524" s="200" t="s">
        <v>5086</v>
      </c>
      <c r="H524" s="10" t="s">
        <v>171</v>
      </c>
      <c r="I524" s="14" t="b">
        <v>0</v>
      </c>
      <c r="J524" s="200" t="s">
        <v>382</v>
      </c>
      <c r="K524" s="10"/>
      <c r="L524" s="200" t="s">
        <v>5088</v>
      </c>
      <c r="M524" s="10"/>
      <c r="N524" s="10"/>
      <c r="O524" s="200">
        <v>18827.56</v>
      </c>
      <c r="P524" s="10"/>
      <c r="Q524" s="234" t="b">
        <v>1</v>
      </c>
      <c r="R524" s="10"/>
    </row>
    <row r="525">
      <c r="A525" s="10" t="s">
        <v>2567</v>
      </c>
      <c r="B525" s="10" t="s">
        <v>65</v>
      </c>
      <c r="C525" s="11">
        <v>46043.0</v>
      </c>
      <c r="D525" s="10" t="s">
        <v>131</v>
      </c>
      <c r="E525" s="10" t="s">
        <v>5089</v>
      </c>
      <c r="F525" s="10"/>
      <c r="G525" s="200" t="s">
        <v>5090</v>
      </c>
      <c r="H525" s="10" t="s">
        <v>5091</v>
      </c>
      <c r="I525" s="14" t="b">
        <v>0</v>
      </c>
      <c r="J525" s="200" t="s">
        <v>382</v>
      </c>
      <c r="K525" s="10"/>
      <c r="L525" s="10"/>
      <c r="M525" s="10"/>
      <c r="N525" s="10"/>
      <c r="O525" s="200">
        <v>16.75</v>
      </c>
      <c r="P525" s="10"/>
      <c r="Q525" s="234" t="b">
        <v>1</v>
      </c>
      <c r="R525" s="10"/>
    </row>
    <row r="526">
      <c r="A526" s="10" t="s">
        <v>2760</v>
      </c>
      <c r="B526" s="10" t="s">
        <v>65</v>
      </c>
      <c r="C526" s="11">
        <v>46058.0</v>
      </c>
      <c r="D526" s="10" t="s">
        <v>246</v>
      </c>
      <c r="E526" s="10" t="s">
        <v>5092</v>
      </c>
      <c r="F526" s="10"/>
      <c r="G526" s="200" t="s">
        <v>5093</v>
      </c>
      <c r="H526" s="10" t="s">
        <v>250</v>
      </c>
      <c r="I526" s="14" t="b">
        <v>0</v>
      </c>
      <c r="J526" s="200" t="s">
        <v>382</v>
      </c>
      <c r="K526" s="10"/>
      <c r="L526" s="10"/>
      <c r="M526" s="10"/>
      <c r="N526" s="10"/>
      <c r="O526" s="200">
        <v>414.3</v>
      </c>
      <c r="P526" s="10"/>
      <c r="Q526" s="234" t="b">
        <v>1</v>
      </c>
      <c r="R526" s="10"/>
      <c r="S526" s="16">
        <v>8.44</v>
      </c>
    </row>
    <row r="527">
      <c r="A527" s="10" t="s">
        <v>2804</v>
      </c>
      <c r="B527" s="10" t="s">
        <v>65</v>
      </c>
      <c r="C527" s="11">
        <v>46059.0</v>
      </c>
      <c r="D527" s="10" t="s">
        <v>751</v>
      </c>
      <c r="E527" s="10" t="s">
        <v>5094</v>
      </c>
      <c r="F527" s="10"/>
      <c r="G527" s="200" t="s">
        <v>5095</v>
      </c>
      <c r="H527" s="10" t="s">
        <v>481</v>
      </c>
      <c r="I527" s="14" t="b">
        <v>0</v>
      </c>
      <c r="J527" s="200" t="s">
        <v>382</v>
      </c>
      <c r="K527" s="10"/>
      <c r="L527" s="10"/>
      <c r="M527" s="10"/>
      <c r="N527" s="10"/>
      <c r="O527" s="200">
        <v>299.0</v>
      </c>
      <c r="P527" s="10"/>
      <c r="Q527" s="234" t="b">
        <v>1</v>
      </c>
      <c r="R527" s="10"/>
    </row>
    <row r="528">
      <c r="A528" s="10" t="s">
        <v>2806</v>
      </c>
      <c r="B528" s="10" t="s">
        <v>65</v>
      </c>
      <c r="C528" s="11">
        <v>46059.0</v>
      </c>
      <c r="D528" s="10" t="s">
        <v>202</v>
      </c>
      <c r="E528" s="10" t="s">
        <v>5096</v>
      </c>
      <c r="F528" s="10"/>
      <c r="G528" s="200" t="s">
        <v>5097</v>
      </c>
      <c r="H528" s="10" t="s">
        <v>481</v>
      </c>
      <c r="I528" s="14" t="b">
        <v>0</v>
      </c>
      <c r="J528" s="200" t="s">
        <v>382</v>
      </c>
      <c r="K528" s="10"/>
      <c r="L528" s="10"/>
      <c r="M528" s="10"/>
      <c r="N528" s="10"/>
      <c r="O528" s="200">
        <v>230.0</v>
      </c>
      <c r="P528" s="10"/>
      <c r="Q528" s="234" t="b">
        <v>1</v>
      </c>
      <c r="R528" s="10"/>
    </row>
    <row r="529">
      <c r="A529" s="10" t="s">
        <v>2777</v>
      </c>
      <c r="B529" s="10" t="s">
        <v>65</v>
      </c>
      <c r="C529" s="11">
        <v>46058.0</v>
      </c>
      <c r="D529" s="17">
        <v>8.627274E7</v>
      </c>
      <c r="E529" s="10" t="s">
        <v>5098</v>
      </c>
      <c r="F529" s="10"/>
      <c r="G529" s="200" t="s">
        <v>5099</v>
      </c>
      <c r="H529" s="10" t="s">
        <v>1010</v>
      </c>
      <c r="I529" s="14" t="b">
        <v>1</v>
      </c>
      <c r="J529" s="200" t="s">
        <v>382</v>
      </c>
      <c r="K529" s="10"/>
      <c r="L529" s="10"/>
      <c r="M529" s="10"/>
      <c r="N529" s="10"/>
      <c r="O529" s="200">
        <v>86.25</v>
      </c>
      <c r="P529" s="17">
        <v>1980612.0</v>
      </c>
      <c r="Q529" s="234" t="b">
        <v>1</v>
      </c>
      <c r="R529" s="10"/>
    </row>
    <row r="530">
      <c r="A530" s="10" t="s">
        <v>2811</v>
      </c>
      <c r="B530" s="10" t="s">
        <v>65</v>
      </c>
      <c r="C530" s="11">
        <v>46060.0</v>
      </c>
      <c r="D530" s="10" t="s">
        <v>163</v>
      </c>
      <c r="E530" s="10" t="s">
        <v>5101</v>
      </c>
      <c r="F530" s="10"/>
      <c r="G530" s="200" t="s">
        <v>5102</v>
      </c>
      <c r="H530" s="10" t="s">
        <v>1010</v>
      </c>
      <c r="I530" s="14" t="b">
        <v>1</v>
      </c>
      <c r="J530" s="200" t="s">
        <v>382</v>
      </c>
      <c r="K530" s="10"/>
      <c r="L530" s="10"/>
      <c r="M530" s="10"/>
      <c r="N530" s="10"/>
      <c r="O530" s="200">
        <v>112.42</v>
      </c>
      <c r="P530" s="17">
        <v>1983884.0</v>
      </c>
      <c r="Q530" s="234" t="b">
        <v>1</v>
      </c>
      <c r="R530" s="10"/>
    </row>
    <row r="531">
      <c r="A531" s="10" t="s">
        <v>2825</v>
      </c>
      <c r="B531" s="10" t="s">
        <v>65</v>
      </c>
      <c r="C531" s="11">
        <v>46060.0</v>
      </c>
      <c r="D531" s="10" t="s">
        <v>785</v>
      </c>
      <c r="E531" s="10" t="s">
        <v>5103</v>
      </c>
      <c r="F531" s="10"/>
      <c r="G531" s="200" t="s">
        <v>5104</v>
      </c>
      <c r="H531" s="10" t="s">
        <v>3209</v>
      </c>
      <c r="I531" s="14" t="b">
        <v>1</v>
      </c>
      <c r="J531" s="200" t="s">
        <v>382</v>
      </c>
      <c r="K531" s="10"/>
      <c r="L531" s="10"/>
      <c r="M531" s="10"/>
      <c r="N531" s="10"/>
      <c r="O531" s="200">
        <v>70.0</v>
      </c>
      <c r="P531" s="17">
        <v>1984161.0</v>
      </c>
      <c r="Q531" s="234" t="b">
        <v>1</v>
      </c>
      <c r="R531" s="10"/>
    </row>
    <row r="532">
      <c r="A532" s="10" t="s">
        <v>2828</v>
      </c>
      <c r="B532" s="10" t="s">
        <v>65</v>
      </c>
      <c r="C532" s="11">
        <v>46061.0</v>
      </c>
      <c r="D532" s="10" t="s">
        <v>163</v>
      </c>
      <c r="E532" s="10" t="s">
        <v>5105</v>
      </c>
      <c r="F532" s="10"/>
      <c r="G532" s="200" t="s">
        <v>5106</v>
      </c>
      <c r="H532" s="10" t="s">
        <v>1010</v>
      </c>
      <c r="I532" s="14" t="b">
        <v>1</v>
      </c>
      <c r="J532" s="200" t="s">
        <v>382</v>
      </c>
      <c r="K532" s="10"/>
      <c r="L532" s="10"/>
      <c r="M532" s="10"/>
      <c r="N532" s="10"/>
      <c r="O532" s="200">
        <v>23.77</v>
      </c>
      <c r="P532" s="17">
        <v>1986140.0</v>
      </c>
      <c r="Q532" s="234" t="b">
        <v>1</v>
      </c>
      <c r="R532" s="10"/>
    </row>
    <row r="533">
      <c r="A533" s="10" t="s">
        <v>2833</v>
      </c>
      <c r="B533" s="10" t="s">
        <v>65</v>
      </c>
      <c r="C533" s="11">
        <v>46061.0</v>
      </c>
      <c r="D533" s="10" t="s">
        <v>4992</v>
      </c>
      <c r="E533" s="10" t="s">
        <v>5107</v>
      </c>
      <c r="F533" s="10"/>
      <c r="G533" s="200" t="s">
        <v>5109</v>
      </c>
      <c r="H533" s="10" t="s">
        <v>5110</v>
      </c>
      <c r="I533" s="14" t="b">
        <v>1</v>
      </c>
      <c r="J533" s="200" t="s">
        <v>382</v>
      </c>
      <c r="K533" s="10"/>
      <c r="L533" s="10"/>
      <c r="M533" s="10"/>
      <c r="N533" s="10"/>
      <c r="O533" s="200">
        <v>167.0</v>
      </c>
      <c r="P533" s="17">
        <v>1988092.0</v>
      </c>
      <c r="Q533" s="234" t="b">
        <v>1</v>
      </c>
      <c r="R533" s="10"/>
    </row>
    <row r="534">
      <c r="A534" s="10" t="s">
        <v>2837</v>
      </c>
      <c r="B534" s="10" t="s">
        <v>65</v>
      </c>
      <c r="C534" s="11">
        <v>46061.0</v>
      </c>
      <c r="D534" s="10" t="s">
        <v>785</v>
      </c>
      <c r="E534" s="10" t="s">
        <v>5111</v>
      </c>
      <c r="F534" s="10"/>
      <c r="G534" s="200" t="s">
        <v>5112</v>
      </c>
      <c r="H534" s="10" t="s">
        <v>5113</v>
      </c>
      <c r="I534" s="14" t="b">
        <v>1</v>
      </c>
      <c r="J534" s="200" t="s">
        <v>382</v>
      </c>
      <c r="K534" s="10"/>
      <c r="L534" s="10"/>
      <c r="M534" s="10"/>
      <c r="N534" s="10"/>
      <c r="O534" s="200">
        <v>102.0</v>
      </c>
      <c r="P534" s="17">
        <v>1988094.0</v>
      </c>
      <c r="Q534" s="234" t="b">
        <v>1</v>
      </c>
      <c r="R534" s="10"/>
    </row>
    <row r="535">
      <c r="A535" s="10" t="s">
        <v>2841</v>
      </c>
      <c r="B535" s="10" t="s">
        <v>65</v>
      </c>
      <c r="C535" s="11">
        <v>46061.0</v>
      </c>
      <c r="D535" s="10" t="s">
        <v>3175</v>
      </c>
      <c r="E535" s="10" t="s">
        <v>5114</v>
      </c>
      <c r="F535" s="10"/>
      <c r="G535" s="200" t="s">
        <v>5115</v>
      </c>
      <c r="H535" s="10" t="s">
        <v>3425</v>
      </c>
      <c r="I535" s="14" t="b">
        <v>1</v>
      </c>
      <c r="J535" s="200" t="s">
        <v>382</v>
      </c>
      <c r="K535" s="10"/>
      <c r="L535" s="10"/>
      <c r="M535" s="10"/>
      <c r="N535" s="10"/>
      <c r="O535" s="200">
        <v>167.0</v>
      </c>
      <c r="P535" s="17">
        <v>1988090.0</v>
      </c>
      <c r="Q535" s="234" t="b">
        <v>1</v>
      </c>
      <c r="R535" s="10"/>
    </row>
    <row r="536">
      <c r="A536" s="10" t="s">
        <v>2845</v>
      </c>
      <c r="B536" s="10" t="s">
        <v>65</v>
      </c>
      <c r="C536" s="11">
        <v>46061.0</v>
      </c>
      <c r="D536" s="10" t="s">
        <v>189</v>
      </c>
      <c r="E536" s="10" t="s">
        <v>5116</v>
      </c>
      <c r="F536" s="10"/>
      <c r="G536" s="200" t="s">
        <v>5117</v>
      </c>
      <c r="H536" s="10" t="s">
        <v>460</v>
      </c>
      <c r="I536" s="14" t="b">
        <v>0</v>
      </c>
      <c r="J536" s="200" t="s">
        <v>382</v>
      </c>
      <c r="K536" s="10"/>
      <c r="L536" s="10"/>
      <c r="M536" s="10"/>
      <c r="N536" s="10"/>
      <c r="O536" s="200">
        <v>145.0</v>
      </c>
      <c r="P536" s="10"/>
      <c r="Q536" s="234" t="b">
        <v>1</v>
      </c>
      <c r="R536" s="10"/>
    </row>
    <row r="537">
      <c r="A537" s="10" t="s">
        <v>2808</v>
      </c>
      <c r="B537" s="10" t="s">
        <v>65</v>
      </c>
      <c r="C537" s="11">
        <v>46059.0</v>
      </c>
      <c r="D537" s="10" t="s">
        <v>189</v>
      </c>
      <c r="E537" s="10" t="s">
        <v>5118</v>
      </c>
      <c r="F537" s="10"/>
      <c r="G537" s="200" t="s">
        <v>5119</v>
      </c>
      <c r="H537" s="10" t="s">
        <v>460</v>
      </c>
      <c r="I537" s="14" t="b">
        <v>0</v>
      </c>
      <c r="J537" s="200" t="s">
        <v>382</v>
      </c>
      <c r="K537" s="10"/>
      <c r="L537" s="10"/>
      <c r="M537" s="10"/>
      <c r="N537" s="10"/>
      <c r="O537" s="200">
        <v>256.07</v>
      </c>
      <c r="P537" s="10"/>
      <c r="Q537" s="234" t="b">
        <v>1</v>
      </c>
      <c r="R537" s="10"/>
    </row>
    <row r="538">
      <c r="A538" s="10" t="s">
        <v>2788</v>
      </c>
      <c r="B538" s="10" t="s">
        <v>65</v>
      </c>
      <c r="C538" s="11">
        <v>46058.0</v>
      </c>
      <c r="D538" s="10" t="s">
        <v>131</v>
      </c>
      <c r="E538" s="10" t="s">
        <v>5121</v>
      </c>
      <c r="F538" s="10"/>
      <c r="G538" s="200" t="s">
        <v>5122</v>
      </c>
      <c r="H538" s="10" t="s">
        <v>136</v>
      </c>
      <c r="I538" s="14" t="b">
        <v>0</v>
      </c>
      <c r="J538" s="200" t="s">
        <v>382</v>
      </c>
      <c r="K538" s="10"/>
      <c r="L538" s="200" t="s">
        <v>5123</v>
      </c>
      <c r="M538" s="200" t="s">
        <v>5124</v>
      </c>
      <c r="N538" s="10"/>
      <c r="O538" s="200">
        <v>10518.21</v>
      </c>
      <c r="P538" s="10"/>
      <c r="Q538" s="234" t="b">
        <v>1</v>
      </c>
      <c r="R538" s="10"/>
    </row>
    <row r="539">
      <c r="A539" s="10" t="s">
        <v>2848</v>
      </c>
      <c r="B539" s="10" t="s">
        <v>65</v>
      </c>
      <c r="C539" s="11">
        <v>46062.0</v>
      </c>
      <c r="D539" s="17">
        <v>8.627274E7</v>
      </c>
      <c r="E539" s="10" t="s">
        <v>5125</v>
      </c>
      <c r="F539" s="10"/>
      <c r="G539" s="200" t="s">
        <v>5126</v>
      </c>
      <c r="H539" s="10" t="s">
        <v>195</v>
      </c>
      <c r="I539" s="14" t="b">
        <v>1</v>
      </c>
      <c r="J539" s="200" t="s">
        <v>382</v>
      </c>
      <c r="K539" s="10"/>
      <c r="L539" s="10"/>
      <c r="M539" s="10"/>
      <c r="N539" s="10"/>
      <c r="O539" s="200">
        <v>29.67</v>
      </c>
      <c r="P539" s="17">
        <v>1990114.0</v>
      </c>
      <c r="Q539" s="234" t="b">
        <v>1</v>
      </c>
      <c r="R539" s="10"/>
    </row>
    <row r="540">
      <c r="A540" s="10" t="s">
        <v>2852</v>
      </c>
      <c r="B540" s="10" t="s">
        <v>65</v>
      </c>
      <c r="C540" s="11">
        <v>46063.0</v>
      </c>
      <c r="D540" s="10" t="s">
        <v>951</v>
      </c>
      <c r="E540" s="10" t="s">
        <v>5127</v>
      </c>
      <c r="F540" s="10"/>
      <c r="G540" s="200" t="s">
        <v>5128</v>
      </c>
      <c r="H540" s="10" t="s">
        <v>5129</v>
      </c>
      <c r="I540" s="14" t="b">
        <v>1</v>
      </c>
      <c r="J540" s="200" t="s">
        <v>382</v>
      </c>
      <c r="K540" s="10"/>
      <c r="L540" s="10"/>
      <c r="M540" s="10"/>
      <c r="N540" s="10"/>
      <c r="O540" s="200">
        <v>100.0</v>
      </c>
      <c r="P540" s="17">
        <v>1991969.0</v>
      </c>
      <c r="Q540" s="234" t="b">
        <v>1</v>
      </c>
      <c r="R540" s="10"/>
    </row>
    <row r="541">
      <c r="A541" s="10" t="s">
        <v>2857</v>
      </c>
      <c r="B541" s="10" t="s">
        <v>65</v>
      </c>
      <c r="C541" s="11">
        <v>46063.0</v>
      </c>
      <c r="D541" s="10" t="s">
        <v>163</v>
      </c>
      <c r="E541" s="10" t="s">
        <v>5131</v>
      </c>
      <c r="F541" s="10"/>
      <c r="G541" s="200" t="s">
        <v>5132</v>
      </c>
      <c r="H541" s="10" t="s">
        <v>529</v>
      </c>
      <c r="I541" s="14" t="b">
        <v>1</v>
      </c>
      <c r="J541" s="200" t="s">
        <v>382</v>
      </c>
      <c r="K541" s="10"/>
      <c r="L541" s="10"/>
      <c r="M541" s="10"/>
      <c r="N541" s="10"/>
      <c r="O541" s="200">
        <v>4.79</v>
      </c>
      <c r="P541" s="17">
        <v>1991976.0</v>
      </c>
      <c r="Q541" s="234" t="b">
        <v>1</v>
      </c>
      <c r="R541" s="10"/>
    </row>
    <row r="542">
      <c r="A542" s="10" t="s">
        <v>2797</v>
      </c>
      <c r="B542" s="10" t="s">
        <v>65</v>
      </c>
      <c r="C542" s="11">
        <v>46058.0</v>
      </c>
      <c r="D542" s="10" t="s">
        <v>131</v>
      </c>
      <c r="E542" s="10" t="s">
        <v>5121</v>
      </c>
      <c r="F542" s="10"/>
      <c r="G542" s="200" t="s">
        <v>5133</v>
      </c>
      <c r="H542" s="10" t="s">
        <v>136</v>
      </c>
      <c r="I542" s="14" t="b">
        <v>0</v>
      </c>
      <c r="J542" s="200" t="s">
        <v>382</v>
      </c>
      <c r="K542" s="10"/>
      <c r="L542" s="200" t="s">
        <v>5134</v>
      </c>
      <c r="M542" s="200" t="s">
        <v>5135</v>
      </c>
      <c r="N542" s="10"/>
      <c r="O542" s="200">
        <v>612.43</v>
      </c>
      <c r="P542" s="10"/>
      <c r="Q542" s="234" t="b">
        <v>1</v>
      </c>
      <c r="R542" s="10"/>
    </row>
    <row r="543">
      <c r="A543" s="10" t="s">
        <v>2867</v>
      </c>
      <c r="B543" s="10" t="s">
        <v>65</v>
      </c>
      <c r="C543" s="11">
        <v>46064.0</v>
      </c>
      <c r="D543" s="10" t="s">
        <v>163</v>
      </c>
      <c r="E543" s="10" t="s">
        <v>5136</v>
      </c>
      <c r="F543" s="10"/>
      <c r="G543" s="200" t="s">
        <v>5137</v>
      </c>
      <c r="H543" s="10" t="s">
        <v>157</v>
      </c>
      <c r="I543" s="14" t="b">
        <v>1</v>
      </c>
      <c r="J543" s="200" t="s">
        <v>382</v>
      </c>
      <c r="K543" s="10"/>
      <c r="L543" s="10"/>
      <c r="M543" s="10"/>
      <c r="N543" s="10"/>
      <c r="O543" s="200">
        <v>40.75</v>
      </c>
      <c r="P543" s="17">
        <v>1993501.0</v>
      </c>
      <c r="Q543" s="234" t="b">
        <v>1</v>
      </c>
      <c r="R543" s="10"/>
    </row>
    <row r="544">
      <c r="A544" s="10" t="s">
        <v>2898</v>
      </c>
      <c r="B544" s="10" t="s">
        <v>65</v>
      </c>
      <c r="C544" s="11">
        <v>46065.0</v>
      </c>
      <c r="D544" s="10" t="s">
        <v>751</v>
      </c>
      <c r="E544" s="10" t="s">
        <v>5138</v>
      </c>
      <c r="F544" s="10"/>
      <c r="G544" s="200" t="s">
        <v>5139</v>
      </c>
      <c r="H544" s="10" t="s">
        <v>481</v>
      </c>
      <c r="I544" s="14" t="b">
        <v>0</v>
      </c>
      <c r="J544" s="200" t="s">
        <v>382</v>
      </c>
      <c r="K544" s="10"/>
      <c r="L544" s="10"/>
      <c r="M544" s="10"/>
      <c r="N544" s="10"/>
      <c r="O544" s="200">
        <v>276.0</v>
      </c>
      <c r="P544" s="10"/>
      <c r="Q544" s="234" t="b">
        <v>1</v>
      </c>
      <c r="R544" s="10"/>
    </row>
    <row r="545">
      <c r="A545" s="10" t="s">
        <v>2905</v>
      </c>
      <c r="B545" s="10" t="s">
        <v>65</v>
      </c>
      <c r="C545" s="11">
        <v>46065.0</v>
      </c>
      <c r="D545" s="10" t="s">
        <v>202</v>
      </c>
      <c r="E545" s="10" t="s">
        <v>5142</v>
      </c>
      <c r="F545" s="10"/>
      <c r="G545" s="200" t="s">
        <v>5143</v>
      </c>
      <c r="H545" s="10" t="s">
        <v>481</v>
      </c>
      <c r="I545" s="14" t="b">
        <v>0</v>
      </c>
      <c r="J545" s="200" t="s">
        <v>382</v>
      </c>
      <c r="K545" s="10"/>
      <c r="L545" s="10"/>
      <c r="M545" s="10"/>
      <c r="N545" s="10"/>
      <c r="O545" s="200">
        <v>276.0</v>
      </c>
      <c r="P545" s="10"/>
      <c r="Q545" s="234" t="b">
        <v>1</v>
      </c>
      <c r="R545" s="10"/>
    </row>
    <row r="546">
      <c r="A546" s="10" t="s">
        <v>2908</v>
      </c>
      <c r="B546" s="10" t="s">
        <v>65</v>
      </c>
      <c r="C546" s="11">
        <v>46065.0</v>
      </c>
      <c r="D546" s="10" t="s">
        <v>3175</v>
      </c>
      <c r="E546" s="10" t="s">
        <v>5144</v>
      </c>
      <c r="F546" s="10"/>
      <c r="G546" s="200" t="s">
        <v>5145</v>
      </c>
      <c r="H546" s="10" t="s">
        <v>3593</v>
      </c>
      <c r="I546" s="14" t="b">
        <v>1</v>
      </c>
      <c r="J546" s="200" t="s">
        <v>382</v>
      </c>
      <c r="K546" s="10"/>
      <c r="L546" s="10"/>
      <c r="M546" s="10"/>
      <c r="N546" s="10"/>
      <c r="O546" s="200">
        <v>52.0</v>
      </c>
      <c r="P546" s="17">
        <v>1995938.0</v>
      </c>
      <c r="Q546" s="234" t="b">
        <v>1</v>
      </c>
      <c r="R546" s="10"/>
    </row>
    <row r="547">
      <c r="A547" s="10" t="s">
        <v>2880</v>
      </c>
      <c r="B547" s="10" t="s">
        <v>65</v>
      </c>
      <c r="C547" s="11">
        <v>46064.0</v>
      </c>
      <c r="D547" s="10" t="s">
        <v>1888</v>
      </c>
      <c r="E547" s="10" t="s">
        <v>5146</v>
      </c>
      <c r="F547" s="10"/>
      <c r="G547" s="200" t="s">
        <v>5147</v>
      </c>
      <c r="H547" s="10" t="s">
        <v>149</v>
      </c>
      <c r="I547" s="14" t="b">
        <v>0</v>
      </c>
      <c r="J547" s="200" t="s">
        <v>382</v>
      </c>
      <c r="K547" s="10"/>
      <c r="L547" s="10"/>
      <c r="M547" s="10"/>
      <c r="N547" s="10"/>
      <c r="O547" s="200">
        <v>654.18</v>
      </c>
      <c r="P547" s="10"/>
      <c r="Q547" s="234" t="b">
        <v>1</v>
      </c>
      <c r="R547" s="10"/>
    </row>
    <row r="548">
      <c r="A548" s="10" t="s">
        <v>2912</v>
      </c>
      <c r="B548" s="10" t="s">
        <v>65</v>
      </c>
      <c r="C548" s="11">
        <v>46066.0</v>
      </c>
      <c r="D548" s="10" t="s">
        <v>163</v>
      </c>
      <c r="E548" s="10" t="s">
        <v>5148</v>
      </c>
      <c r="F548" s="10"/>
      <c r="G548" s="200" t="s">
        <v>5150</v>
      </c>
      <c r="H548" s="10" t="s">
        <v>195</v>
      </c>
      <c r="I548" s="14" t="b">
        <v>1</v>
      </c>
      <c r="J548" s="200" t="s">
        <v>382</v>
      </c>
      <c r="K548" s="10"/>
      <c r="L548" s="10"/>
      <c r="M548" s="10"/>
      <c r="N548" s="10"/>
      <c r="O548" s="200">
        <v>174.19</v>
      </c>
      <c r="P548" s="17">
        <v>1996630.0</v>
      </c>
      <c r="Q548" s="234" t="b">
        <v>1</v>
      </c>
      <c r="R548" s="10"/>
    </row>
    <row r="549">
      <c r="A549" s="10" t="s">
        <v>2919</v>
      </c>
      <c r="B549" s="10" t="s">
        <v>65</v>
      </c>
      <c r="C549" s="11">
        <v>46066.0</v>
      </c>
      <c r="D549" s="10" t="s">
        <v>5152</v>
      </c>
      <c r="E549" s="10" t="s">
        <v>5153</v>
      </c>
      <c r="F549" s="10"/>
      <c r="G549" s="200" t="s">
        <v>5154</v>
      </c>
      <c r="H549" s="10" t="s">
        <v>5155</v>
      </c>
      <c r="I549" s="14" t="b">
        <v>1</v>
      </c>
      <c r="J549" s="200" t="s">
        <v>382</v>
      </c>
      <c r="K549" s="10"/>
      <c r="L549" s="10"/>
      <c r="M549" s="10"/>
      <c r="N549" s="10"/>
      <c r="O549" s="200">
        <v>29.8</v>
      </c>
      <c r="P549" s="17">
        <v>1996628.0</v>
      </c>
      <c r="Q549" s="234" t="b">
        <v>1</v>
      </c>
      <c r="R549" s="10"/>
    </row>
    <row r="550">
      <c r="A550" s="10" t="s">
        <v>2921</v>
      </c>
      <c r="B550" s="10" t="s">
        <v>65</v>
      </c>
      <c r="C550" s="11">
        <v>46066.0</v>
      </c>
      <c r="D550" s="10" t="s">
        <v>2675</v>
      </c>
      <c r="E550" s="10" t="s">
        <v>5156</v>
      </c>
      <c r="F550" s="10"/>
      <c r="G550" s="200" t="s">
        <v>5157</v>
      </c>
      <c r="H550" s="10" t="s">
        <v>3375</v>
      </c>
      <c r="I550" s="14" t="b">
        <v>1</v>
      </c>
      <c r="J550" s="200" t="s">
        <v>382</v>
      </c>
      <c r="K550" s="10"/>
      <c r="L550" s="10"/>
      <c r="M550" s="10"/>
      <c r="N550" s="10"/>
      <c r="O550" s="200">
        <v>15.0</v>
      </c>
      <c r="P550" s="17">
        <v>1996631.0</v>
      </c>
      <c r="Q550" s="234" t="b">
        <v>1</v>
      </c>
      <c r="R550" s="10"/>
    </row>
    <row r="551">
      <c r="A551" s="10" t="s">
        <v>2850</v>
      </c>
      <c r="B551" s="10" t="s">
        <v>65</v>
      </c>
      <c r="C551" s="11">
        <v>46062.0</v>
      </c>
      <c r="D551" s="10" t="s">
        <v>189</v>
      </c>
      <c r="E551" s="10" t="s">
        <v>5158</v>
      </c>
      <c r="F551" s="10"/>
      <c r="G551" s="200" t="s">
        <v>5159</v>
      </c>
      <c r="H551" s="10" t="s">
        <v>5160</v>
      </c>
      <c r="I551" s="14" t="b">
        <v>0</v>
      </c>
      <c r="J551" s="200" t="s">
        <v>382</v>
      </c>
      <c r="K551" s="10"/>
      <c r="L551" s="10"/>
      <c r="M551" s="10"/>
      <c r="N551" s="10"/>
      <c r="O551" s="200">
        <v>145.0</v>
      </c>
      <c r="P551" s="10"/>
      <c r="Q551" s="234" t="b">
        <v>1</v>
      </c>
      <c r="R551" s="10"/>
    </row>
    <row r="552">
      <c r="A552" s="10" t="s">
        <v>2928</v>
      </c>
      <c r="B552" s="10" t="s">
        <v>65</v>
      </c>
      <c r="C552" s="11">
        <v>46066.0</v>
      </c>
      <c r="D552" s="10" t="s">
        <v>189</v>
      </c>
      <c r="E552" s="10" t="s">
        <v>5161</v>
      </c>
      <c r="F552" s="10"/>
      <c r="G552" s="200" t="s">
        <v>5162</v>
      </c>
      <c r="H552" s="10" t="s">
        <v>460</v>
      </c>
      <c r="I552" s="14" t="b">
        <v>0</v>
      </c>
      <c r="J552" s="200" t="s">
        <v>382</v>
      </c>
      <c r="K552" s="10"/>
      <c r="L552" s="10"/>
      <c r="M552" s="10"/>
      <c r="N552" s="10"/>
      <c r="O552" s="200">
        <v>262.6</v>
      </c>
      <c r="P552" s="10"/>
      <c r="Q552" s="234" t="b">
        <v>1</v>
      </c>
      <c r="R552" s="10"/>
    </row>
    <row r="553">
      <c r="A553" s="10" t="s">
        <v>2931</v>
      </c>
      <c r="B553" s="10" t="s">
        <v>65</v>
      </c>
      <c r="C553" s="11">
        <v>46066.0</v>
      </c>
      <c r="D553" s="10" t="s">
        <v>3175</v>
      </c>
      <c r="E553" s="10" t="s">
        <v>5163</v>
      </c>
      <c r="F553" s="10"/>
      <c r="G553" s="200" t="s">
        <v>5164</v>
      </c>
      <c r="H553" s="10" t="s">
        <v>5165</v>
      </c>
      <c r="I553" s="14" t="b">
        <v>1</v>
      </c>
      <c r="J553" s="200" t="s">
        <v>382</v>
      </c>
      <c r="K553" s="10"/>
      <c r="L553" s="10"/>
      <c r="M553" s="10"/>
      <c r="N553" s="10"/>
      <c r="O553" s="200">
        <v>30.0</v>
      </c>
      <c r="P553" s="17">
        <v>1996700.0</v>
      </c>
      <c r="Q553" s="234" t="b">
        <v>1</v>
      </c>
      <c r="R553" s="10"/>
    </row>
    <row r="554">
      <c r="A554" s="10" t="s">
        <v>2934</v>
      </c>
      <c r="B554" s="10" t="s">
        <v>65</v>
      </c>
      <c r="C554" s="11">
        <v>46066.0</v>
      </c>
      <c r="D554" s="10" t="s">
        <v>163</v>
      </c>
      <c r="E554" s="10" t="s">
        <v>5166</v>
      </c>
      <c r="F554" s="10"/>
      <c r="G554" s="200" t="s">
        <v>5167</v>
      </c>
      <c r="H554" s="10" t="s">
        <v>157</v>
      </c>
      <c r="I554" s="14" t="b">
        <v>1</v>
      </c>
      <c r="J554" s="200" t="s">
        <v>382</v>
      </c>
      <c r="K554" s="10"/>
      <c r="L554" s="10"/>
      <c r="M554" s="10"/>
      <c r="N554" s="10"/>
      <c r="O554" s="200">
        <v>50.95</v>
      </c>
      <c r="P554" s="17">
        <v>1997897.0</v>
      </c>
      <c r="Q554" s="234" t="b">
        <v>1</v>
      </c>
      <c r="R554" s="10"/>
    </row>
    <row r="555">
      <c r="A555" s="10" t="s">
        <v>2970</v>
      </c>
      <c r="B555" s="10" t="s">
        <v>65</v>
      </c>
      <c r="C555" s="11">
        <v>46069.0</v>
      </c>
      <c r="D555" s="10" t="s">
        <v>3175</v>
      </c>
      <c r="E555" s="10" t="s">
        <v>5168</v>
      </c>
      <c r="F555" s="10"/>
      <c r="G555" s="200" t="s">
        <v>5169</v>
      </c>
      <c r="H555" s="10" t="s">
        <v>3593</v>
      </c>
      <c r="I555" s="14" t="b">
        <v>1</v>
      </c>
      <c r="J555" s="200" t="s">
        <v>382</v>
      </c>
      <c r="K555" s="10"/>
      <c r="L555" s="10"/>
      <c r="M555" s="10"/>
      <c r="N555" s="10"/>
      <c r="O555" s="200">
        <v>36.0</v>
      </c>
      <c r="P555" s="17">
        <v>2005085.0</v>
      </c>
      <c r="Q555" s="234" t="b">
        <v>1</v>
      </c>
      <c r="R555" s="10"/>
    </row>
    <row r="556">
      <c r="A556" s="10" t="s">
        <v>2958</v>
      </c>
      <c r="B556" s="10" t="s">
        <v>65</v>
      </c>
      <c r="C556" s="11">
        <v>46068.0</v>
      </c>
      <c r="D556" s="10" t="s">
        <v>163</v>
      </c>
      <c r="E556" s="10" t="s">
        <v>5170</v>
      </c>
      <c r="F556" s="10"/>
      <c r="G556" s="200" t="s">
        <v>5172</v>
      </c>
      <c r="H556" s="10" t="s">
        <v>157</v>
      </c>
      <c r="I556" s="14" t="b">
        <v>1</v>
      </c>
      <c r="J556" s="200" t="s">
        <v>382</v>
      </c>
      <c r="K556" s="10"/>
      <c r="L556" s="10"/>
      <c r="M556" s="10"/>
      <c r="N556" s="10"/>
      <c r="O556" s="200">
        <v>23.5</v>
      </c>
      <c r="P556" s="17">
        <v>2003240.0</v>
      </c>
      <c r="Q556" s="234" t="b">
        <v>1</v>
      </c>
      <c r="R556" s="10"/>
    </row>
    <row r="557">
      <c r="A557" s="10" t="s">
        <v>2965</v>
      </c>
      <c r="B557" s="10" t="s">
        <v>65</v>
      </c>
      <c r="C557" s="11">
        <v>46068.0</v>
      </c>
      <c r="D557" s="10" t="s">
        <v>3175</v>
      </c>
      <c r="E557" s="10" t="s">
        <v>5173</v>
      </c>
      <c r="F557" s="10"/>
      <c r="G557" s="200" t="s">
        <v>5174</v>
      </c>
      <c r="H557" s="10" t="s">
        <v>3593</v>
      </c>
      <c r="I557" s="14" t="b">
        <v>1</v>
      </c>
      <c r="J557" s="200" t="s">
        <v>382</v>
      </c>
      <c r="K557" s="10"/>
      <c r="L557" s="10"/>
      <c r="M557" s="10"/>
      <c r="N557" s="10"/>
      <c r="O557" s="200">
        <v>210.0</v>
      </c>
      <c r="P557" s="17">
        <v>2003235.0</v>
      </c>
      <c r="Q557" s="234" t="b">
        <v>1</v>
      </c>
      <c r="R557" s="10"/>
    </row>
    <row r="558">
      <c r="A558" s="10" t="s">
        <v>2967</v>
      </c>
      <c r="B558" s="10" t="s">
        <v>65</v>
      </c>
      <c r="C558" s="11">
        <v>46068.0</v>
      </c>
      <c r="D558" s="10" t="s">
        <v>4992</v>
      </c>
      <c r="E558" s="10" t="s">
        <v>5175</v>
      </c>
      <c r="F558" s="10"/>
      <c r="G558" s="200" t="s">
        <v>5176</v>
      </c>
      <c r="H558" s="10" t="s">
        <v>5177</v>
      </c>
      <c r="I558" s="14" t="b">
        <v>1</v>
      </c>
      <c r="J558" s="200" t="s">
        <v>382</v>
      </c>
      <c r="K558" s="10"/>
      <c r="L558" s="10"/>
      <c r="M558" s="10"/>
      <c r="N558" s="10"/>
      <c r="O558" s="200">
        <v>43.0</v>
      </c>
      <c r="P558" s="17">
        <v>2003231.0</v>
      </c>
      <c r="Q558" s="234" t="b">
        <v>1</v>
      </c>
      <c r="R558" s="10"/>
    </row>
    <row r="559">
      <c r="A559" s="10" t="s">
        <v>2974</v>
      </c>
      <c r="B559" s="10" t="s">
        <v>65</v>
      </c>
      <c r="C559" s="11">
        <v>46069.0</v>
      </c>
      <c r="D559" s="10" t="s">
        <v>153</v>
      </c>
      <c r="E559" s="10" t="s">
        <v>5178</v>
      </c>
      <c r="F559" s="10"/>
      <c r="G559" s="200" t="s">
        <v>5179</v>
      </c>
      <c r="H559" s="10" t="s">
        <v>157</v>
      </c>
      <c r="I559" s="14" t="b">
        <v>1</v>
      </c>
      <c r="J559" s="200" t="s">
        <v>382</v>
      </c>
      <c r="K559" s="10"/>
      <c r="L559" s="10"/>
      <c r="M559" s="10"/>
      <c r="N559" s="10"/>
      <c r="O559" s="200">
        <v>8.82</v>
      </c>
      <c r="P559" s="17">
        <v>2005654.0</v>
      </c>
      <c r="Q559" s="234" t="b">
        <v>1</v>
      </c>
      <c r="R559" s="10"/>
    </row>
    <row r="560">
      <c r="A560" s="10" t="s">
        <v>2977</v>
      </c>
      <c r="B560" s="10" t="s">
        <v>65</v>
      </c>
      <c r="C560" s="11">
        <v>46069.0</v>
      </c>
      <c r="D560" s="10" t="s">
        <v>163</v>
      </c>
      <c r="E560" s="10" t="s">
        <v>5180</v>
      </c>
      <c r="F560" s="10"/>
      <c r="G560" s="200" t="s">
        <v>5182</v>
      </c>
      <c r="H560" s="10" t="s">
        <v>5183</v>
      </c>
      <c r="I560" s="14" t="b">
        <v>1</v>
      </c>
      <c r="J560" s="200" t="s">
        <v>382</v>
      </c>
      <c r="K560" s="10"/>
      <c r="L560" s="10"/>
      <c r="M560" s="10"/>
      <c r="N560" s="10"/>
      <c r="O560" s="200">
        <v>40.23</v>
      </c>
      <c r="P560" s="17">
        <v>2005651.0</v>
      </c>
      <c r="Q560" s="234" t="b">
        <v>1</v>
      </c>
      <c r="R560" s="10"/>
    </row>
    <row r="561">
      <c r="A561" s="10" t="s">
        <v>2996</v>
      </c>
      <c r="B561" s="10" t="s">
        <v>65</v>
      </c>
      <c r="C561" s="11">
        <v>46070.0</v>
      </c>
      <c r="D561" s="10" t="s">
        <v>3175</v>
      </c>
      <c r="E561" s="10" t="s">
        <v>5185</v>
      </c>
      <c r="F561" s="10"/>
      <c r="G561" s="200" t="s">
        <v>5186</v>
      </c>
      <c r="H561" s="10" t="s">
        <v>3425</v>
      </c>
      <c r="I561" s="14" t="b">
        <v>1</v>
      </c>
      <c r="J561" s="200" t="s">
        <v>382</v>
      </c>
      <c r="K561" s="10"/>
      <c r="L561" s="10"/>
      <c r="M561" s="10"/>
      <c r="N561" s="10"/>
      <c r="O561" s="200">
        <v>46.0</v>
      </c>
      <c r="P561" s="17">
        <v>2007472.0</v>
      </c>
      <c r="Q561" s="234" t="b">
        <v>1</v>
      </c>
      <c r="R561" s="10"/>
    </row>
    <row r="562">
      <c r="A562" s="10" t="s">
        <v>2999</v>
      </c>
      <c r="B562" s="10" t="s">
        <v>65</v>
      </c>
      <c r="C562" s="11">
        <v>46070.0</v>
      </c>
      <c r="D562" s="10" t="s">
        <v>557</v>
      </c>
      <c r="E562" s="10" t="s">
        <v>5187</v>
      </c>
      <c r="F562" s="10"/>
      <c r="G562" s="200" t="s">
        <v>5188</v>
      </c>
      <c r="H562" s="10" t="s">
        <v>5189</v>
      </c>
      <c r="I562" s="14" t="b">
        <v>1</v>
      </c>
      <c r="J562" s="200" t="s">
        <v>382</v>
      </c>
      <c r="K562" s="10"/>
      <c r="L562" s="10"/>
      <c r="M562" s="10"/>
      <c r="N562" s="10"/>
      <c r="O562" s="200">
        <v>19.98</v>
      </c>
      <c r="P562" s="17">
        <v>2007543.0</v>
      </c>
      <c r="Q562" s="234" t="b">
        <v>1</v>
      </c>
      <c r="R562" s="10"/>
    </row>
    <row r="563">
      <c r="A563" s="10" t="s">
        <v>3010</v>
      </c>
      <c r="B563" s="10" t="s">
        <v>65</v>
      </c>
      <c r="C563" s="11">
        <v>46071.0</v>
      </c>
      <c r="D563" s="10" t="s">
        <v>163</v>
      </c>
      <c r="E563" s="10" t="s">
        <v>5190</v>
      </c>
      <c r="F563" s="10"/>
      <c r="G563" s="200" t="s">
        <v>5191</v>
      </c>
      <c r="H563" s="10" t="s">
        <v>195</v>
      </c>
      <c r="I563" s="14" t="b">
        <v>1</v>
      </c>
      <c r="J563" s="200" t="s">
        <v>382</v>
      </c>
      <c r="K563" s="10"/>
      <c r="L563" s="10"/>
      <c r="M563" s="10"/>
      <c r="N563" s="10"/>
      <c r="O563" s="200">
        <v>128.65</v>
      </c>
      <c r="P563" s="17">
        <v>2009803.0</v>
      </c>
      <c r="Q563" s="234" t="b">
        <v>1</v>
      </c>
      <c r="R563" s="10"/>
    </row>
    <row r="564">
      <c r="A564" s="10" t="s">
        <v>2863</v>
      </c>
      <c r="B564" s="10" t="s">
        <v>65</v>
      </c>
      <c r="C564" s="11">
        <v>46063.0</v>
      </c>
      <c r="D564" s="10" t="s">
        <v>215</v>
      </c>
      <c r="E564" s="10" t="s">
        <v>5193</v>
      </c>
      <c r="F564" s="10"/>
      <c r="G564" s="200" t="s">
        <v>5194</v>
      </c>
      <c r="H564" s="10" t="s">
        <v>965</v>
      </c>
      <c r="I564" s="14" t="b">
        <v>1</v>
      </c>
      <c r="J564" s="200" t="s">
        <v>382</v>
      </c>
      <c r="K564" s="10"/>
      <c r="L564" s="10"/>
      <c r="M564" s="10"/>
      <c r="N564" s="10"/>
      <c r="O564" s="200">
        <v>14.0</v>
      </c>
      <c r="P564" s="17">
        <v>1991973.0</v>
      </c>
      <c r="Q564" s="234" t="b">
        <v>1</v>
      </c>
      <c r="R564" s="10"/>
    </row>
    <row r="565">
      <c r="A565" s="10" t="s">
        <v>3020</v>
      </c>
      <c r="B565" s="10" t="s">
        <v>65</v>
      </c>
      <c r="C565" s="11">
        <v>46071.0</v>
      </c>
      <c r="D565" s="10" t="s">
        <v>751</v>
      </c>
      <c r="E565" s="10" t="s">
        <v>5196</v>
      </c>
      <c r="F565" s="10"/>
      <c r="G565" s="200" t="s">
        <v>5197</v>
      </c>
      <c r="H565" s="10" t="s">
        <v>481</v>
      </c>
      <c r="I565" s="14" t="b">
        <v>0</v>
      </c>
      <c r="J565" s="200" t="s">
        <v>382</v>
      </c>
      <c r="K565" s="10"/>
      <c r="L565" s="10"/>
      <c r="M565" s="10"/>
      <c r="N565" s="10"/>
      <c r="O565" s="200">
        <v>115.0</v>
      </c>
      <c r="P565" s="10"/>
      <c r="Q565" s="234" t="b">
        <v>1</v>
      </c>
      <c r="R565" s="10"/>
    </row>
    <row r="566">
      <c r="A566" s="10" t="s">
        <v>2947</v>
      </c>
      <c r="B566" s="10" t="s">
        <v>65</v>
      </c>
      <c r="C566" s="11">
        <v>46066.0</v>
      </c>
      <c r="D566" s="10" t="s">
        <v>2736</v>
      </c>
      <c r="E566" s="10" t="s">
        <v>5198</v>
      </c>
      <c r="F566" s="10"/>
      <c r="G566" s="200" t="s">
        <v>5199</v>
      </c>
      <c r="H566" s="10" t="s">
        <v>5200</v>
      </c>
      <c r="I566" s="14" t="b">
        <v>0</v>
      </c>
      <c r="J566" s="200" t="s">
        <v>382</v>
      </c>
      <c r="K566" s="10"/>
      <c r="L566" s="10"/>
      <c r="M566" s="10"/>
      <c r="N566" s="10"/>
      <c r="O566" s="200">
        <v>84.63</v>
      </c>
      <c r="P566" s="10"/>
      <c r="Q566" s="234" t="b">
        <v>1</v>
      </c>
      <c r="R566" s="10"/>
    </row>
    <row r="567">
      <c r="A567" s="10" t="s">
        <v>3024</v>
      </c>
      <c r="B567" s="10" t="s">
        <v>65</v>
      </c>
      <c r="C567" s="11">
        <v>46071.0</v>
      </c>
      <c r="D567" s="10" t="s">
        <v>2736</v>
      </c>
      <c r="E567" s="10" t="s">
        <v>5202</v>
      </c>
      <c r="F567" s="10"/>
      <c r="G567" s="200" t="s">
        <v>5203</v>
      </c>
      <c r="H567" s="10" t="s">
        <v>5204</v>
      </c>
      <c r="I567" s="14" t="b">
        <v>0</v>
      </c>
      <c r="J567" s="200" t="s">
        <v>382</v>
      </c>
      <c r="K567" s="10"/>
      <c r="L567" s="10"/>
      <c r="M567" s="10"/>
      <c r="N567" s="10"/>
      <c r="O567" s="200">
        <v>243.19</v>
      </c>
      <c r="P567" s="10"/>
      <c r="Q567" s="234" t="b">
        <v>1</v>
      </c>
      <c r="R567" s="10"/>
    </row>
    <row r="568">
      <c r="A568" s="10" t="s">
        <v>3032</v>
      </c>
      <c r="B568" s="10" t="s">
        <v>65</v>
      </c>
      <c r="C568" s="11">
        <v>46072.0</v>
      </c>
      <c r="D568" s="10" t="s">
        <v>163</v>
      </c>
      <c r="E568" s="10" t="s">
        <v>5205</v>
      </c>
      <c r="F568" s="10"/>
      <c r="G568" s="200" t="s">
        <v>5206</v>
      </c>
      <c r="H568" s="10" t="s">
        <v>157</v>
      </c>
      <c r="I568" s="14" t="b">
        <v>1</v>
      </c>
      <c r="J568" s="200" t="s">
        <v>382</v>
      </c>
      <c r="K568" s="10"/>
      <c r="L568" s="10"/>
      <c r="M568" s="10"/>
      <c r="N568" s="10"/>
      <c r="O568" s="200">
        <v>99.48</v>
      </c>
      <c r="P568" s="17">
        <v>2012352.0</v>
      </c>
      <c r="Q568" s="234" t="b">
        <v>1</v>
      </c>
      <c r="R568" s="10"/>
    </row>
    <row r="569">
      <c r="A569" s="10" t="s">
        <v>2988</v>
      </c>
      <c r="B569" s="10" t="s">
        <v>65</v>
      </c>
      <c r="C569" s="11">
        <v>46069.0</v>
      </c>
      <c r="D569" s="10" t="s">
        <v>131</v>
      </c>
      <c r="E569" s="10" t="s">
        <v>5207</v>
      </c>
      <c r="F569" s="10"/>
      <c r="G569" s="200" t="s">
        <v>5208</v>
      </c>
      <c r="H569" s="10" t="s">
        <v>171</v>
      </c>
      <c r="I569" s="14" t="b">
        <v>0</v>
      </c>
      <c r="J569" s="200" t="s">
        <v>382</v>
      </c>
      <c r="K569" s="10"/>
      <c r="L569" s="200" t="s">
        <v>5209</v>
      </c>
      <c r="M569" s="10"/>
      <c r="N569" s="10"/>
      <c r="O569" s="200">
        <v>12756.77</v>
      </c>
      <c r="P569" s="10"/>
      <c r="Q569" s="234" t="b">
        <v>1</v>
      </c>
      <c r="R569" s="10"/>
    </row>
    <row r="570">
      <c r="A570" s="10" t="s">
        <v>3048</v>
      </c>
      <c r="B570" s="10" t="s">
        <v>65</v>
      </c>
      <c r="C570" s="11">
        <v>46072.0</v>
      </c>
      <c r="D570" s="10" t="s">
        <v>202</v>
      </c>
      <c r="E570" s="10" t="s">
        <v>5210</v>
      </c>
      <c r="F570" s="10"/>
      <c r="G570" s="200" t="s">
        <v>5211</v>
      </c>
      <c r="H570" s="10" t="s">
        <v>481</v>
      </c>
      <c r="I570" s="14" t="b">
        <v>0</v>
      </c>
      <c r="J570" s="200" t="s">
        <v>382</v>
      </c>
      <c r="K570" s="10"/>
      <c r="L570" s="10"/>
      <c r="M570" s="10"/>
      <c r="N570" s="10"/>
      <c r="O570" s="200">
        <v>138.0</v>
      </c>
      <c r="P570" s="10"/>
      <c r="Q570" s="234" t="b">
        <v>1</v>
      </c>
      <c r="R570" s="10"/>
    </row>
    <row r="571">
      <c r="A571" s="10" t="s">
        <v>3027</v>
      </c>
      <c r="B571" s="10" t="s">
        <v>65</v>
      </c>
      <c r="C571" s="11">
        <v>46071.0</v>
      </c>
      <c r="D571" s="10" t="s">
        <v>2736</v>
      </c>
      <c r="E571" s="10" t="s">
        <v>5214</v>
      </c>
      <c r="F571" s="10"/>
      <c r="G571" s="200" t="s">
        <v>5215</v>
      </c>
      <c r="H571" s="10" t="s">
        <v>5216</v>
      </c>
      <c r="I571" s="14" t="b">
        <v>0</v>
      </c>
      <c r="J571" s="200" t="s">
        <v>382</v>
      </c>
      <c r="K571" s="10"/>
      <c r="L571" s="10"/>
      <c r="M571" s="10"/>
      <c r="N571" s="10"/>
      <c r="O571" s="200">
        <v>65.0</v>
      </c>
      <c r="P571" s="10"/>
      <c r="Q571" s="234" t="b">
        <v>1</v>
      </c>
      <c r="R571" s="10"/>
    </row>
    <row r="572">
      <c r="A572" s="10" t="s">
        <v>3003</v>
      </c>
      <c r="B572" s="10" t="s">
        <v>65</v>
      </c>
      <c r="C572" s="11">
        <v>46070.0</v>
      </c>
      <c r="D572" s="10" t="s">
        <v>131</v>
      </c>
      <c r="E572" s="10" t="s">
        <v>5217</v>
      </c>
      <c r="F572" s="10"/>
      <c r="G572" s="200" t="s">
        <v>5218</v>
      </c>
      <c r="H572" s="10" t="s">
        <v>136</v>
      </c>
      <c r="I572" s="14" t="b">
        <v>0</v>
      </c>
      <c r="J572" s="200" t="s">
        <v>382</v>
      </c>
      <c r="K572" s="10"/>
      <c r="L572" s="200" t="s">
        <v>5219</v>
      </c>
      <c r="M572" s="200" t="s">
        <v>5220</v>
      </c>
      <c r="N572" s="10"/>
      <c r="O572" s="200">
        <v>4271.17</v>
      </c>
      <c r="P572" s="10"/>
      <c r="Q572" s="234" t="b">
        <v>1</v>
      </c>
      <c r="R572" s="10"/>
    </row>
    <row r="573">
      <c r="A573" s="10" t="s">
        <v>3052</v>
      </c>
      <c r="B573" s="10" t="s">
        <v>65</v>
      </c>
      <c r="C573" s="11">
        <v>46073.0</v>
      </c>
      <c r="D573" s="10" t="s">
        <v>189</v>
      </c>
      <c r="E573" s="10" t="s">
        <v>5221</v>
      </c>
      <c r="F573" s="10"/>
      <c r="G573" s="200" t="s">
        <v>5222</v>
      </c>
      <c r="H573" s="10" t="s">
        <v>195</v>
      </c>
      <c r="I573" s="14" t="b">
        <v>0</v>
      </c>
      <c r="J573" s="200" t="s">
        <v>382</v>
      </c>
      <c r="K573" s="10"/>
      <c r="L573" s="10"/>
      <c r="M573" s="10"/>
      <c r="N573" s="10"/>
      <c r="O573" s="200">
        <v>263.61</v>
      </c>
      <c r="P573" s="10"/>
      <c r="Q573" s="234" t="b">
        <v>1</v>
      </c>
      <c r="R573" s="10"/>
    </row>
    <row r="574">
      <c r="A574" s="10" t="s">
        <v>3064</v>
      </c>
      <c r="B574" s="10" t="s">
        <v>65</v>
      </c>
      <c r="C574" s="11">
        <v>46074.0</v>
      </c>
      <c r="D574" s="10" t="s">
        <v>751</v>
      </c>
      <c r="E574" s="10" t="s">
        <v>5223</v>
      </c>
      <c r="F574" s="10"/>
      <c r="G574" s="200" t="s">
        <v>5224</v>
      </c>
      <c r="H574" s="10" t="s">
        <v>481</v>
      </c>
      <c r="I574" s="14" t="b">
        <v>0</v>
      </c>
      <c r="J574" s="200" t="s">
        <v>382</v>
      </c>
      <c r="K574" s="10"/>
      <c r="L574" s="10"/>
      <c r="M574" s="10"/>
      <c r="N574" s="10"/>
      <c r="O574" s="200">
        <v>230.0</v>
      </c>
      <c r="P574" s="10"/>
      <c r="Q574" s="234" t="b">
        <v>1</v>
      </c>
      <c r="R574" s="10"/>
    </row>
    <row r="575">
      <c r="A575" s="10" t="s">
        <v>3066</v>
      </c>
      <c r="B575" s="10" t="s">
        <v>65</v>
      </c>
      <c r="C575" s="11">
        <v>46074.0</v>
      </c>
      <c r="D575" s="10" t="s">
        <v>153</v>
      </c>
      <c r="E575" s="10" t="s">
        <v>5225</v>
      </c>
      <c r="F575" s="10"/>
      <c r="G575" s="200" t="s">
        <v>5226</v>
      </c>
      <c r="H575" s="10" t="s">
        <v>157</v>
      </c>
      <c r="I575" s="14" t="b">
        <v>1</v>
      </c>
      <c r="J575" s="200" t="s">
        <v>382</v>
      </c>
      <c r="K575" s="10"/>
      <c r="L575" s="10"/>
      <c r="M575" s="10"/>
      <c r="N575" s="10"/>
      <c r="O575" s="200">
        <v>7.59</v>
      </c>
      <c r="P575" s="17">
        <v>2015792.0</v>
      </c>
      <c r="Q575" s="234" t="b">
        <v>1</v>
      </c>
      <c r="R575" s="10"/>
    </row>
    <row r="576">
      <c r="A576" s="10" t="s">
        <v>3071</v>
      </c>
      <c r="B576" s="10" t="s">
        <v>65</v>
      </c>
      <c r="C576" s="11">
        <v>46074.0</v>
      </c>
      <c r="D576" s="17">
        <v>8.627274E7</v>
      </c>
      <c r="E576" s="10" t="s">
        <v>5227</v>
      </c>
      <c r="F576" s="10"/>
      <c r="G576" s="200" t="s">
        <v>5228</v>
      </c>
      <c r="H576" s="10" t="s">
        <v>157</v>
      </c>
      <c r="I576" s="14" t="b">
        <v>1</v>
      </c>
      <c r="J576" s="200" t="s">
        <v>382</v>
      </c>
      <c r="K576" s="10"/>
      <c r="L576" s="10"/>
      <c r="M576" s="10"/>
      <c r="N576" s="10"/>
      <c r="O576" s="200">
        <v>27.98</v>
      </c>
      <c r="P576" s="17">
        <v>2015793.0</v>
      </c>
      <c r="Q576" s="234" t="b">
        <v>1</v>
      </c>
      <c r="R576" s="10"/>
    </row>
    <row r="577">
      <c r="A577" s="10" t="s">
        <v>3078</v>
      </c>
      <c r="B577" s="10" t="s">
        <v>65</v>
      </c>
      <c r="C577" s="11">
        <v>46074.0</v>
      </c>
      <c r="D577" s="10" t="s">
        <v>785</v>
      </c>
      <c r="E577" s="10" t="s">
        <v>5229</v>
      </c>
      <c r="F577" s="10"/>
      <c r="G577" s="200" t="s">
        <v>5230</v>
      </c>
      <c r="H577" s="10" t="s">
        <v>3209</v>
      </c>
      <c r="I577" s="14" t="b">
        <v>1</v>
      </c>
      <c r="J577" s="200" t="s">
        <v>382</v>
      </c>
      <c r="K577" s="10"/>
      <c r="L577" s="10"/>
      <c r="M577" s="10"/>
      <c r="N577" s="10"/>
      <c r="O577" s="200">
        <v>52.0</v>
      </c>
      <c r="P577" s="17">
        <v>2015903.0</v>
      </c>
      <c r="Q577" s="234" t="b">
        <v>1</v>
      </c>
      <c r="R577" s="10"/>
    </row>
    <row r="578">
      <c r="A578" s="10" t="s">
        <v>3081</v>
      </c>
      <c r="B578" s="10" t="s">
        <v>65</v>
      </c>
      <c r="C578" s="11">
        <v>46075.0</v>
      </c>
      <c r="D578" s="17">
        <v>8.627274E7</v>
      </c>
      <c r="E578" s="10" t="s">
        <v>5231</v>
      </c>
      <c r="F578" s="10"/>
      <c r="G578" s="200" t="s">
        <v>5232</v>
      </c>
      <c r="H578" s="10" t="s">
        <v>195</v>
      </c>
      <c r="I578" s="14" t="b">
        <v>1</v>
      </c>
      <c r="J578" s="200" t="s">
        <v>382</v>
      </c>
      <c r="K578" s="10"/>
      <c r="L578" s="10"/>
      <c r="M578" s="10"/>
      <c r="N578" s="10"/>
      <c r="O578" s="200">
        <v>34.48</v>
      </c>
      <c r="P578" s="17">
        <v>2018296.0</v>
      </c>
      <c r="Q578" s="234" t="b">
        <v>1</v>
      </c>
      <c r="R578" s="10"/>
    </row>
    <row r="579">
      <c r="A579" s="10" t="s">
        <v>3089</v>
      </c>
      <c r="B579" s="10" t="s">
        <v>65</v>
      </c>
      <c r="C579" s="11">
        <v>46075.0</v>
      </c>
      <c r="D579" s="10" t="s">
        <v>2675</v>
      </c>
      <c r="E579" s="10" t="s">
        <v>5234</v>
      </c>
      <c r="F579" s="10"/>
      <c r="G579" s="200" t="s">
        <v>5235</v>
      </c>
      <c r="H579" s="10" t="s">
        <v>3375</v>
      </c>
      <c r="I579" s="14" t="b">
        <v>1</v>
      </c>
      <c r="J579" s="200" t="s">
        <v>382</v>
      </c>
      <c r="K579" s="10"/>
      <c r="L579" s="10"/>
      <c r="M579" s="10"/>
      <c r="N579" s="10"/>
      <c r="O579" s="200">
        <v>10.0</v>
      </c>
      <c r="P579" s="17">
        <v>2018297.0</v>
      </c>
      <c r="Q579" s="234" t="b">
        <v>1</v>
      </c>
      <c r="R579" s="10"/>
    </row>
    <row r="580">
      <c r="A580" s="10" t="s">
        <v>3091</v>
      </c>
      <c r="B580" s="10" t="s">
        <v>65</v>
      </c>
      <c r="C580" s="11">
        <v>46075.0</v>
      </c>
      <c r="D580" s="10" t="s">
        <v>785</v>
      </c>
      <c r="E580" s="10" t="s">
        <v>5236</v>
      </c>
      <c r="F580" s="10"/>
      <c r="G580" s="200" t="s">
        <v>5237</v>
      </c>
      <c r="H580" s="10" t="s">
        <v>3209</v>
      </c>
      <c r="I580" s="14" t="b">
        <v>1</v>
      </c>
      <c r="J580" s="200" t="s">
        <v>382</v>
      </c>
      <c r="K580" s="10"/>
      <c r="L580" s="10"/>
      <c r="M580" s="10"/>
      <c r="N580" s="10"/>
      <c r="O580" s="200">
        <v>107.0</v>
      </c>
      <c r="P580" s="17">
        <v>2019793.0</v>
      </c>
      <c r="Q580" s="234" t="b">
        <v>1</v>
      </c>
      <c r="R580" s="10"/>
    </row>
    <row r="581">
      <c r="A581" s="10" t="s">
        <v>3093</v>
      </c>
      <c r="B581" s="10" t="s">
        <v>65</v>
      </c>
      <c r="C581" s="11">
        <v>46075.0</v>
      </c>
      <c r="D581" s="10" t="s">
        <v>4992</v>
      </c>
      <c r="E581" s="10" t="s">
        <v>5238</v>
      </c>
      <c r="F581" s="10"/>
      <c r="G581" s="200" t="s">
        <v>5239</v>
      </c>
      <c r="H581" s="10" t="s">
        <v>5177</v>
      </c>
      <c r="I581" s="14" t="b">
        <v>1</v>
      </c>
      <c r="J581" s="200" t="s">
        <v>382</v>
      </c>
      <c r="K581" s="10"/>
      <c r="L581" s="10"/>
      <c r="M581" s="10"/>
      <c r="N581" s="10"/>
      <c r="O581" s="200">
        <v>224.0</v>
      </c>
      <c r="P581" s="17">
        <v>2019796.0</v>
      </c>
      <c r="Q581" s="234" t="b">
        <v>1</v>
      </c>
      <c r="R581" s="10"/>
    </row>
    <row r="582">
      <c r="A582" s="10" t="s">
        <v>3116</v>
      </c>
      <c r="B582" s="10" t="s">
        <v>65</v>
      </c>
      <c r="C582" s="11">
        <v>46077.0</v>
      </c>
      <c r="D582" s="10" t="s">
        <v>163</v>
      </c>
      <c r="E582" s="10" t="s">
        <v>5241</v>
      </c>
      <c r="F582" s="10"/>
      <c r="G582" s="200" t="s">
        <v>5242</v>
      </c>
      <c r="H582" s="10" t="s">
        <v>529</v>
      </c>
      <c r="I582" s="14" t="b">
        <v>1</v>
      </c>
      <c r="J582" s="200" t="s">
        <v>382</v>
      </c>
      <c r="K582" s="10"/>
      <c r="L582" s="10"/>
      <c r="M582" s="10"/>
      <c r="N582" s="10"/>
      <c r="O582" s="200">
        <v>11.97</v>
      </c>
      <c r="P582" s="17">
        <v>2022995.0</v>
      </c>
      <c r="Q582" s="234" t="b">
        <v>1</v>
      </c>
      <c r="R582" s="10"/>
    </row>
    <row r="583">
      <c r="A583" s="10" t="s">
        <v>3132</v>
      </c>
      <c r="B583" s="10" t="s">
        <v>65</v>
      </c>
      <c r="C583" s="11">
        <v>46078.0</v>
      </c>
      <c r="D583" s="10" t="s">
        <v>973</v>
      </c>
      <c r="E583" s="10" t="s">
        <v>5244</v>
      </c>
      <c r="F583" s="10"/>
      <c r="G583" s="200" t="s">
        <v>5245</v>
      </c>
      <c r="H583" s="10" t="s">
        <v>4970</v>
      </c>
      <c r="I583" s="14" t="b">
        <v>1</v>
      </c>
      <c r="J583" s="200" t="s">
        <v>382</v>
      </c>
      <c r="K583" s="10"/>
      <c r="L583" s="10"/>
      <c r="M583" s="10"/>
      <c r="N583" s="10"/>
      <c r="O583" s="200">
        <v>140.0</v>
      </c>
      <c r="P583" s="17">
        <v>2023897.0</v>
      </c>
      <c r="Q583" s="234" t="b">
        <v>1</v>
      </c>
      <c r="R583" s="10"/>
    </row>
    <row r="584">
      <c r="A584" s="17">
        <v>8.4208242E7</v>
      </c>
      <c r="B584" s="10" t="s">
        <v>65</v>
      </c>
      <c r="C584" s="11">
        <v>46076.0</v>
      </c>
      <c r="D584" s="10" t="s">
        <v>246</v>
      </c>
      <c r="E584" s="10" t="s">
        <v>5246</v>
      </c>
      <c r="F584" s="10"/>
      <c r="G584" s="200" t="s">
        <v>5247</v>
      </c>
      <c r="H584" s="10" t="s">
        <v>250</v>
      </c>
      <c r="I584" s="14" t="b">
        <v>0</v>
      </c>
      <c r="J584" s="200" t="s">
        <v>382</v>
      </c>
      <c r="K584" s="10"/>
      <c r="L584" s="10"/>
      <c r="M584" s="10"/>
      <c r="N584" s="10"/>
      <c r="O584" s="200">
        <v>419.09</v>
      </c>
      <c r="P584" s="10"/>
      <c r="Q584" s="234" t="b">
        <v>1</v>
      </c>
      <c r="R584" s="10"/>
      <c r="S584" s="16">
        <v>8.55</v>
      </c>
    </row>
    <row r="585">
      <c r="A585" s="10" t="s">
        <v>3136</v>
      </c>
      <c r="B585" s="10" t="s">
        <v>65</v>
      </c>
      <c r="C585" s="11">
        <v>46078.0</v>
      </c>
      <c r="D585" s="10" t="s">
        <v>1888</v>
      </c>
      <c r="E585" s="10" t="s">
        <v>5248</v>
      </c>
      <c r="F585" s="10"/>
      <c r="G585" s="200" t="s">
        <v>5250</v>
      </c>
      <c r="H585" s="10" t="s">
        <v>149</v>
      </c>
      <c r="I585" s="14" t="b">
        <v>0</v>
      </c>
      <c r="J585" s="200" t="s">
        <v>382</v>
      </c>
      <c r="K585" s="10"/>
      <c r="L585" s="10"/>
      <c r="M585" s="10"/>
      <c r="N585" s="10"/>
      <c r="O585" s="200">
        <v>751.44</v>
      </c>
      <c r="P585" s="10"/>
      <c r="Q585" s="234" t="b">
        <v>1</v>
      </c>
      <c r="R585" s="10"/>
    </row>
    <row r="586">
      <c r="A586" s="10" t="s">
        <v>3158</v>
      </c>
      <c r="B586" s="10" t="s">
        <v>65</v>
      </c>
      <c r="C586" s="11">
        <v>46079.0</v>
      </c>
      <c r="D586" s="10" t="s">
        <v>163</v>
      </c>
      <c r="E586" s="10" t="s">
        <v>5252</v>
      </c>
      <c r="F586" s="10"/>
      <c r="G586" s="200" t="s">
        <v>5253</v>
      </c>
      <c r="H586" s="10" t="s">
        <v>2774</v>
      </c>
      <c r="I586" s="14" t="b">
        <v>1</v>
      </c>
      <c r="J586" s="200" t="s">
        <v>382</v>
      </c>
      <c r="K586" s="10"/>
      <c r="L586" s="10"/>
      <c r="M586" s="10"/>
      <c r="N586" s="10"/>
      <c r="O586" s="200">
        <v>111.75</v>
      </c>
      <c r="P586" s="17">
        <v>2025438.0</v>
      </c>
      <c r="Q586" s="234" t="b">
        <v>1</v>
      </c>
      <c r="R586" s="10"/>
    </row>
    <row r="587">
      <c r="A587" s="10" t="s">
        <v>3180</v>
      </c>
      <c r="B587" s="10" t="s">
        <v>65</v>
      </c>
      <c r="C587" s="11">
        <v>46079.0</v>
      </c>
      <c r="D587" s="10" t="s">
        <v>751</v>
      </c>
      <c r="E587" s="10" t="s">
        <v>5254</v>
      </c>
      <c r="F587" s="10"/>
      <c r="G587" s="200" t="s">
        <v>5255</v>
      </c>
      <c r="H587" s="10" t="s">
        <v>481</v>
      </c>
      <c r="I587" s="14" t="b">
        <v>0</v>
      </c>
      <c r="J587" s="200" t="s">
        <v>382</v>
      </c>
      <c r="K587" s="10"/>
      <c r="L587" s="10"/>
      <c r="M587" s="10"/>
      <c r="N587" s="10"/>
      <c r="O587" s="200">
        <v>230.0</v>
      </c>
      <c r="P587" s="10"/>
      <c r="Q587" s="234" t="b">
        <v>1</v>
      </c>
      <c r="R587" s="10"/>
    </row>
    <row r="588">
      <c r="A588" s="10" t="s">
        <v>3184</v>
      </c>
      <c r="B588" s="10" t="s">
        <v>65</v>
      </c>
      <c r="C588" s="11">
        <v>46079.0</v>
      </c>
      <c r="D588" s="10" t="s">
        <v>246</v>
      </c>
      <c r="E588" s="10" t="s">
        <v>5256</v>
      </c>
      <c r="F588" s="10"/>
      <c r="G588" s="200" t="s">
        <v>5257</v>
      </c>
      <c r="H588" s="10" t="s">
        <v>250</v>
      </c>
      <c r="I588" s="14" t="b">
        <v>0</v>
      </c>
      <c r="J588" s="200" t="s">
        <v>382</v>
      </c>
      <c r="K588" s="10"/>
      <c r="L588" s="10"/>
      <c r="M588" s="10"/>
      <c r="N588" s="10"/>
      <c r="O588" s="200">
        <v>327.12</v>
      </c>
      <c r="P588" s="10"/>
      <c r="Q588" s="234" t="b">
        <v>1</v>
      </c>
      <c r="R588" s="10"/>
      <c r="S588" s="16">
        <v>6.68</v>
      </c>
    </row>
    <row r="589">
      <c r="A589" s="10" t="s">
        <v>3196</v>
      </c>
      <c r="B589" s="10" t="s">
        <v>65</v>
      </c>
      <c r="C589" s="11">
        <v>46079.0</v>
      </c>
      <c r="D589" s="10" t="s">
        <v>189</v>
      </c>
      <c r="E589" s="10" t="s">
        <v>5258</v>
      </c>
      <c r="F589" s="10"/>
      <c r="G589" s="200" t="s">
        <v>5259</v>
      </c>
      <c r="H589" s="10" t="s">
        <v>195</v>
      </c>
      <c r="I589" s="14" t="b">
        <v>0</v>
      </c>
      <c r="J589" s="200" t="s">
        <v>382</v>
      </c>
      <c r="K589" s="10"/>
      <c r="L589" s="10"/>
      <c r="M589" s="10"/>
      <c r="N589" s="10"/>
      <c r="O589" s="200">
        <v>372.83</v>
      </c>
      <c r="P589" s="10"/>
      <c r="Q589" s="234" t="b">
        <v>1</v>
      </c>
      <c r="R589" s="10"/>
    </row>
    <row r="590">
      <c r="A590" s="10" t="s">
        <v>3118</v>
      </c>
      <c r="B590" s="10" t="s">
        <v>65</v>
      </c>
      <c r="C590" s="11">
        <v>46077.0</v>
      </c>
      <c r="D590" s="10" t="s">
        <v>131</v>
      </c>
      <c r="E590" s="10" t="s">
        <v>5260</v>
      </c>
      <c r="F590" s="10"/>
      <c r="G590" s="200" t="s">
        <v>5261</v>
      </c>
      <c r="H590" s="10" t="s">
        <v>5262</v>
      </c>
      <c r="I590" s="14" t="b">
        <v>0</v>
      </c>
      <c r="J590" s="200" t="s">
        <v>382</v>
      </c>
      <c r="K590" s="10"/>
      <c r="L590" s="200" t="s">
        <v>5265</v>
      </c>
      <c r="M590" s="10"/>
      <c r="N590" s="10"/>
      <c r="O590" s="200">
        <v>6088.3</v>
      </c>
      <c r="P590" s="10"/>
      <c r="Q590" s="234" t="b">
        <v>1</v>
      </c>
      <c r="R590" s="10"/>
    </row>
    <row r="591">
      <c r="A591" s="10" t="s">
        <v>3127</v>
      </c>
      <c r="B591" s="10" t="s">
        <v>65</v>
      </c>
      <c r="C591" s="11">
        <v>46077.0</v>
      </c>
      <c r="D591" s="10" t="s">
        <v>131</v>
      </c>
      <c r="E591" s="10" t="s">
        <v>5266</v>
      </c>
      <c r="F591" s="10"/>
      <c r="G591" s="200" t="s">
        <v>5267</v>
      </c>
      <c r="H591" s="10" t="s">
        <v>5268</v>
      </c>
      <c r="I591" s="14" t="b">
        <v>0</v>
      </c>
      <c r="J591" s="200" t="s">
        <v>382</v>
      </c>
      <c r="K591" s="10"/>
      <c r="L591" s="10"/>
      <c r="M591" s="10"/>
      <c r="N591" s="10"/>
      <c r="O591" s="200">
        <v>1306.14</v>
      </c>
      <c r="P591" s="10"/>
      <c r="Q591" s="234" t="b">
        <v>1</v>
      </c>
      <c r="R591" s="10"/>
    </row>
    <row r="592">
      <c r="A592" s="10" t="s">
        <v>3200</v>
      </c>
      <c r="B592" s="10" t="s">
        <v>65</v>
      </c>
      <c r="C592" s="11">
        <v>46081.0</v>
      </c>
      <c r="D592" s="10" t="s">
        <v>751</v>
      </c>
      <c r="E592" s="10" t="s">
        <v>5271</v>
      </c>
      <c r="F592" s="10"/>
      <c r="G592" s="200" t="s">
        <v>5272</v>
      </c>
      <c r="H592" s="10" t="s">
        <v>481</v>
      </c>
      <c r="I592" s="14" t="b">
        <v>0</v>
      </c>
      <c r="J592" s="200" t="s">
        <v>382</v>
      </c>
      <c r="K592" s="10"/>
      <c r="L592" s="10"/>
      <c r="M592" s="10"/>
      <c r="N592" s="10"/>
      <c r="O592" s="200">
        <v>345.0</v>
      </c>
      <c r="P592" s="10"/>
      <c r="Q592" s="234" t="b">
        <v>1</v>
      </c>
      <c r="R592" s="10"/>
    </row>
    <row r="593">
      <c r="A593" s="10" t="s">
        <v>3203</v>
      </c>
      <c r="B593" s="10" t="s">
        <v>65</v>
      </c>
      <c r="C593" s="11">
        <v>46082.0</v>
      </c>
      <c r="D593" s="10" t="s">
        <v>3175</v>
      </c>
      <c r="E593" s="10" t="s">
        <v>5273</v>
      </c>
      <c r="F593" s="10"/>
      <c r="G593" s="200" t="s">
        <v>5274</v>
      </c>
      <c r="H593" s="10" t="s">
        <v>4742</v>
      </c>
      <c r="I593" s="14" t="b">
        <v>1</v>
      </c>
      <c r="J593" s="200" t="s">
        <v>382</v>
      </c>
      <c r="K593" s="10"/>
      <c r="L593" s="10"/>
      <c r="M593" s="10"/>
      <c r="N593" s="10"/>
      <c r="O593" s="200">
        <v>222.0</v>
      </c>
      <c r="P593" s="17">
        <v>2033432.0</v>
      </c>
      <c r="Q593" s="234" t="b">
        <v>1</v>
      </c>
      <c r="R593" s="10"/>
    </row>
    <row r="594">
      <c r="A594" s="10" t="s">
        <v>3205</v>
      </c>
      <c r="B594" s="10" t="s">
        <v>65</v>
      </c>
      <c r="C594" s="11">
        <v>46082.0</v>
      </c>
      <c r="D594" s="10" t="s">
        <v>5275</v>
      </c>
      <c r="E594" s="10" t="s">
        <v>5276</v>
      </c>
      <c r="F594" s="10"/>
      <c r="G594" s="200" t="s">
        <v>5277</v>
      </c>
      <c r="H594" s="10" t="s">
        <v>5278</v>
      </c>
      <c r="I594" s="14" t="b">
        <v>1</v>
      </c>
      <c r="J594" s="200" t="s">
        <v>382</v>
      </c>
      <c r="K594" s="10"/>
      <c r="L594" s="10"/>
      <c r="M594" s="10"/>
      <c r="N594" s="10"/>
      <c r="O594" s="200">
        <v>150.0</v>
      </c>
      <c r="P594" s="17">
        <v>2033430.0</v>
      </c>
      <c r="Q594" s="234" t="b">
        <v>1</v>
      </c>
      <c r="R594" s="10"/>
    </row>
    <row r="595">
      <c r="A595" s="10" t="s">
        <v>3210</v>
      </c>
      <c r="B595" s="10" t="s">
        <v>65</v>
      </c>
      <c r="C595" s="11">
        <v>46082.0</v>
      </c>
      <c r="D595" s="17">
        <v>8.627274E7</v>
      </c>
      <c r="E595" s="10" t="s">
        <v>5279</v>
      </c>
      <c r="F595" s="10"/>
      <c r="G595" s="200" t="s">
        <v>5280</v>
      </c>
      <c r="H595" s="10" t="s">
        <v>5281</v>
      </c>
      <c r="I595" s="14" t="b">
        <v>1</v>
      </c>
      <c r="J595" s="200" t="s">
        <v>382</v>
      </c>
      <c r="K595" s="10"/>
      <c r="L595" s="10"/>
      <c r="M595" s="10"/>
      <c r="N595" s="10"/>
      <c r="O595" s="200">
        <v>7.04</v>
      </c>
      <c r="P595" s="17">
        <v>2033467.0</v>
      </c>
      <c r="Q595" s="234" t="b">
        <v>1</v>
      </c>
      <c r="R595" s="10"/>
    </row>
    <row r="596">
      <c r="A596" s="10" t="s">
        <v>3213</v>
      </c>
      <c r="B596" s="10" t="s">
        <v>65</v>
      </c>
      <c r="C596" s="11">
        <v>46082.0</v>
      </c>
      <c r="D596" s="17">
        <v>8.627274E7</v>
      </c>
      <c r="E596" s="10" t="s">
        <v>5282</v>
      </c>
      <c r="F596" s="10"/>
      <c r="G596" s="200" t="s">
        <v>5283</v>
      </c>
      <c r="H596" s="10" t="s">
        <v>195</v>
      </c>
      <c r="I596" s="14" t="b">
        <v>1</v>
      </c>
      <c r="J596" s="200" t="s">
        <v>382</v>
      </c>
      <c r="K596" s="10"/>
      <c r="L596" s="10"/>
      <c r="M596" s="10"/>
      <c r="N596" s="10"/>
      <c r="O596" s="200">
        <v>41.88</v>
      </c>
      <c r="P596" s="17">
        <v>2033463.0</v>
      </c>
      <c r="Q596" s="234" t="b">
        <v>1</v>
      </c>
      <c r="R596" s="10"/>
    </row>
    <row r="597">
      <c r="A597" s="10" t="s">
        <v>3221</v>
      </c>
      <c r="B597" s="10" t="s">
        <v>65</v>
      </c>
      <c r="C597" s="11">
        <v>46083.0</v>
      </c>
      <c r="D597" s="10" t="s">
        <v>5285</v>
      </c>
      <c r="E597" s="10" t="s">
        <v>5286</v>
      </c>
      <c r="F597" s="10"/>
      <c r="G597" s="200" t="s">
        <v>5287</v>
      </c>
      <c r="H597" s="10" t="s">
        <v>5288</v>
      </c>
      <c r="I597" s="14" t="b">
        <v>1</v>
      </c>
      <c r="J597" s="200" t="s">
        <v>382</v>
      </c>
      <c r="K597" s="10"/>
      <c r="L597" s="10"/>
      <c r="M597" s="10"/>
      <c r="N597" s="10"/>
      <c r="O597" s="200">
        <v>80.0</v>
      </c>
      <c r="P597" s="17">
        <v>2035573.0</v>
      </c>
      <c r="Q597" s="234" t="b">
        <v>1</v>
      </c>
      <c r="R597" s="10"/>
    </row>
    <row r="598">
      <c r="A598" s="10" t="s">
        <v>3233</v>
      </c>
      <c r="B598" s="10" t="s">
        <v>65</v>
      </c>
      <c r="C598" s="11">
        <v>46085.0</v>
      </c>
      <c r="D598" s="10" t="s">
        <v>163</v>
      </c>
      <c r="E598" s="10" t="s">
        <v>5291</v>
      </c>
      <c r="F598" s="10"/>
      <c r="G598" s="200" t="s">
        <v>5292</v>
      </c>
      <c r="H598" s="10" t="s">
        <v>5293</v>
      </c>
      <c r="I598" s="14" t="b">
        <v>1</v>
      </c>
      <c r="J598" s="200" t="s">
        <v>382</v>
      </c>
      <c r="K598" s="10"/>
      <c r="L598" s="10"/>
      <c r="M598" s="10"/>
      <c r="N598" s="10"/>
      <c r="O598" s="200">
        <v>113.14</v>
      </c>
      <c r="P598" s="17">
        <v>2039617.0</v>
      </c>
      <c r="Q598" s="234" t="b">
        <v>1</v>
      </c>
      <c r="R598" s="10"/>
    </row>
    <row r="599">
      <c r="A599" s="10" t="s">
        <v>3244</v>
      </c>
      <c r="B599" s="10" t="s">
        <v>65</v>
      </c>
      <c r="C599" s="11">
        <v>46085.0</v>
      </c>
      <c r="D599" s="10" t="s">
        <v>3175</v>
      </c>
      <c r="E599" s="10" t="s">
        <v>5294</v>
      </c>
      <c r="F599" s="10"/>
      <c r="G599" s="200" t="s">
        <v>5295</v>
      </c>
      <c r="H599" s="10" t="s">
        <v>3593</v>
      </c>
      <c r="I599" s="14" t="b">
        <v>1</v>
      </c>
      <c r="J599" s="200" t="s">
        <v>382</v>
      </c>
      <c r="K599" s="10"/>
      <c r="L599" s="10"/>
      <c r="M599" s="10"/>
      <c r="N599" s="10"/>
      <c r="O599" s="200">
        <v>75.0</v>
      </c>
      <c r="P599" s="17">
        <v>2039574.0</v>
      </c>
      <c r="Q599" s="234" t="b">
        <v>1</v>
      </c>
      <c r="R599" s="10"/>
    </row>
    <row r="600">
      <c r="A600" s="10" t="s">
        <v>3246</v>
      </c>
      <c r="B600" s="10" t="s">
        <v>65</v>
      </c>
      <c r="C600" s="11">
        <v>46085.0</v>
      </c>
      <c r="D600" s="10" t="s">
        <v>557</v>
      </c>
      <c r="E600" s="10" t="s">
        <v>5297</v>
      </c>
      <c r="F600" s="10"/>
      <c r="G600" s="200" t="s">
        <v>5298</v>
      </c>
      <c r="H600" s="10" t="s">
        <v>5299</v>
      </c>
      <c r="I600" s="14" t="b">
        <v>1</v>
      </c>
      <c r="J600" s="200" t="s">
        <v>382</v>
      </c>
      <c r="K600" s="10"/>
      <c r="L600" s="10"/>
      <c r="M600" s="10"/>
      <c r="N600" s="10"/>
      <c r="O600" s="200">
        <v>102.87</v>
      </c>
      <c r="P600" s="17">
        <v>2039576.0</v>
      </c>
      <c r="Q600" s="234" t="b">
        <v>1</v>
      </c>
      <c r="R600" s="10"/>
    </row>
    <row r="601">
      <c r="A601" s="10" t="s">
        <v>3252</v>
      </c>
      <c r="B601" s="10" t="s">
        <v>65</v>
      </c>
      <c r="C601" s="11">
        <v>46085.0</v>
      </c>
      <c r="D601" s="10" t="s">
        <v>434</v>
      </c>
      <c r="E601" s="10" t="s">
        <v>5301</v>
      </c>
      <c r="F601" s="10"/>
      <c r="G601" s="200" t="s">
        <v>5303</v>
      </c>
      <c r="H601" s="10" t="s">
        <v>5299</v>
      </c>
      <c r="I601" s="14" t="b">
        <v>1</v>
      </c>
      <c r="J601" s="200" t="s">
        <v>382</v>
      </c>
      <c r="K601" s="10"/>
      <c r="L601" s="10"/>
      <c r="M601" s="10"/>
      <c r="N601" s="10"/>
      <c r="O601" s="200">
        <v>187.79</v>
      </c>
      <c r="P601" s="17">
        <v>2039580.0</v>
      </c>
      <c r="Q601" s="234" t="b">
        <v>1</v>
      </c>
      <c r="R601" s="10"/>
    </row>
    <row r="602">
      <c r="A602" s="10" t="s">
        <v>3255</v>
      </c>
      <c r="B602" s="10" t="s">
        <v>65</v>
      </c>
      <c r="C602" s="11">
        <v>46085.0</v>
      </c>
      <c r="D602" s="10" t="s">
        <v>751</v>
      </c>
      <c r="E602" s="10" t="s">
        <v>5304</v>
      </c>
      <c r="F602" s="10"/>
      <c r="G602" s="200" t="s">
        <v>5305</v>
      </c>
      <c r="H602" s="10" t="s">
        <v>481</v>
      </c>
      <c r="I602" s="14" t="b">
        <v>0</v>
      </c>
      <c r="J602" s="200" t="s">
        <v>382</v>
      </c>
      <c r="K602" s="10"/>
      <c r="L602" s="10"/>
      <c r="M602" s="10"/>
      <c r="N602" s="10"/>
      <c r="O602" s="200">
        <v>276.0</v>
      </c>
      <c r="P602" s="10"/>
      <c r="Q602" s="234" t="b">
        <v>1</v>
      </c>
      <c r="R602" s="10"/>
    </row>
    <row r="603">
      <c r="A603" s="10" t="s">
        <v>3258</v>
      </c>
      <c r="B603" s="10" t="s">
        <v>65</v>
      </c>
      <c r="C603" s="11">
        <v>46085.0</v>
      </c>
      <c r="D603" s="10" t="s">
        <v>2736</v>
      </c>
      <c r="E603" s="10" t="s">
        <v>5308</v>
      </c>
      <c r="F603" s="10"/>
      <c r="G603" s="200" t="s">
        <v>5309</v>
      </c>
      <c r="H603" s="10" t="s">
        <v>5310</v>
      </c>
      <c r="I603" s="14" t="b">
        <v>0</v>
      </c>
      <c r="J603" s="200" t="s">
        <v>382</v>
      </c>
      <c r="K603" s="10"/>
      <c r="L603" s="10"/>
      <c r="M603" s="10"/>
      <c r="N603" s="10"/>
      <c r="O603" s="200">
        <v>430.06</v>
      </c>
      <c r="P603" s="10"/>
      <c r="Q603" s="234" t="b">
        <v>1</v>
      </c>
      <c r="R603" s="10"/>
    </row>
    <row r="604">
      <c r="A604" s="10" t="s">
        <v>3192</v>
      </c>
      <c r="B604" s="10" t="s">
        <v>65</v>
      </c>
      <c r="C604" s="11">
        <v>46080.0</v>
      </c>
      <c r="D604" s="10" t="s">
        <v>131</v>
      </c>
      <c r="E604" s="10" t="s">
        <v>5311</v>
      </c>
      <c r="F604" s="10"/>
      <c r="G604" s="200" t="s">
        <v>5312</v>
      </c>
      <c r="H604" s="10" t="s">
        <v>5313</v>
      </c>
      <c r="I604" s="14" t="b">
        <v>0</v>
      </c>
      <c r="J604" s="200" t="s">
        <v>382</v>
      </c>
      <c r="K604" s="10"/>
      <c r="L604" s="200" t="s">
        <v>5314</v>
      </c>
      <c r="M604" s="200" t="s">
        <v>5315</v>
      </c>
      <c r="N604" s="10"/>
      <c r="O604" s="200">
        <v>287.72</v>
      </c>
      <c r="P604" s="10"/>
      <c r="Q604" s="234" t="b">
        <v>1</v>
      </c>
      <c r="R604" s="10"/>
    </row>
    <row r="605">
      <c r="A605" s="10" t="s">
        <v>3223</v>
      </c>
      <c r="B605" s="10" t="s">
        <v>65</v>
      </c>
      <c r="C605" s="11">
        <v>46084.0</v>
      </c>
      <c r="D605" s="10" t="s">
        <v>131</v>
      </c>
      <c r="E605" s="10" t="s">
        <v>5317</v>
      </c>
      <c r="F605" s="10"/>
      <c r="G605" s="200" t="s">
        <v>5318</v>
      </c>
      <c r="H605" s="10" t="s">
        <v>171</v>
      </c>
      <c r="I605" s="14" t="b">
        <v>0</v>
      </c>
      <c r="J605" s="200" t="s">
        <v>382</v>
      </c>
      <c r="K605" s="10"/>
      <c r="L605" s="200" t="s">
        <v>5319</v>
      </c>
      <c r="M605" s="10"/>
      <c r="N605" s="10"/>
      <c r="O605" s="200">
        <v>7481.5</v>
      </c>
      <c r="P605" s="10"/>
      <c r="Q605" s="234" t="b">
        <v>1</v>
      </c>
      <c r="R605" s="10"/>
    </row>
    <row r="606">
      <c r="A606" s="10" t="s">
        <v>3218</v>
      </c>
      <c r="B606" s="10" t="s">
        <v>65</v>
      </c>
      <c r="C606" s="11">
        <v>46082.0</v>
      </c>
      <c r="D606" s="10" t="s">
        <v>775</v>
      </c>
      <c r="E606" s="10" t="s">
        <v>5320</v>
      </c>
      <c r="F606" s="10"/>
      <c r="G606" s="200" t="s">
        <v>5321</v>
      </c>
      <c r="H606" s="10" t="s">
        <v>781</v>
      </c>
      <c r="I606" s="14" t="b">
        <v>0</v>
      </c>
      <c r="J606" s="200" t="s">
        <v>382</v>
      </c>
      <c r="K606" s="10"/>
      <c r="L606" s="10"/>
      <c r="M606" s="10"/>
      <c r="N606" s="10"/>
      <c r="O606" s="200">
        <v>415.56</v>
      </c>
      <c r="P606" s="10"/>
      <c r="Q606" s="234" t="b">
        <v>1</v>
      </c>
      <c r="R606" s="10"/>
    </row>
    <row r="607">
      <c r="A607" s="10" t="s">
        <v>3271</v>
      </c>
      <c r="B607" s="10" t="s">
        <v>65</v>
      </c>
      <c r="C607" s="11">
        <v>46086.0</v>
      </c>
      <c r="D607" s="10" t="s">
        <v>3175</v>
      </c>
      <c r="E607" s="10" t="s">
        <v>5323</v>
      </c>
      <c r="F607" s="10"/>
      <c r="G607" s="200" t="s">
        <v>5324</v>
      </c>
      <c r="H607" s="10" t="s">
        <v>3593</v>
      </c>
      <c r="I607" s="14" t="b">
        <v>1</v>
      </c>
      <c r="J607" s="200" t="s">
        <v>382</v>
      </c>
      <c r="K607" s="10"/>
      <c r="L607" s="10"/>
      <c r="M607" s="10"/>
      <c r="N607" s="10"/>
      <c r="O607" s="200">
        <v>52.0</v>
      </c>
      <c r="P607" s="17">
        <v>2040936.0</v>
      </c>
      <c r="Q607" s="234" t="b">
        <v>1</v>
      </c>
      <c r="R607" s="10"/>
    </row>
    <row r="608">
      <c r="A608" s="10" t="s">
        <v>3275</v>
      </c>
      <c r="B608" s="10" t="s">
        <v>65</v>
      </c>
      <c r="C608" s="11">
        <v>46086.0</v>
      </c>
      <c r="D608" s="10" t="s">
        <v>5325</v>
      </c>
      <c r="E608" s="10" t="s">
        <v>5326</v>
      </c>
      <c r="F608" s="10"/>
      <c r="G608" s="200" t="s">
        <v>5327</v>
      </c>
      <c r="H608" s="10" t="s">
        <v>5328</v>
      </c>
      <c r="I608" s="14" t="b">
        <v>1</v>
      </c>
      <c r="J608" s="200" t="s">
        <v>382</v>
      </c>
      <c r="K608" s="10"/>
      <c r="L608" s="10"/>
      <c r="M608" s="10"/>
      <c r="N608" s="10"/>
      <c r="O608" s="200">
        <v>21.0</v>
      </c>
      <c r="P608" s="17">
        <v>2040965.0</v>
      </c>
      <c r="Q608" s="234" t="b">
        <v>1</v>
      </c>
      <c r="R608" s="10"/>
    </row>
    <row r="609">
      <c r="A609" s="10" t="s">
        <v>3280</v>
      </c>
      <c r="B609" s="10" t="s">
        <v>65</v>
      </c>
      <c r="C609" s="11">
        <v>46086.0</v>
      </c>
      <c r="D609" s="10" t="s">
        <v>5329</v>
      </c>
      <c r="E609" s="10" t="s">
        <v>5330</v>
      </c>
      <c r="F609" s="10"/>
      <c r="G609" s="200" t="s">
        <v>5331</v>
      </c>
      <c r="H609" s="10" t="s">
        <v>5328</v>
      </c>
      <c r="I609" s="14" t="b">
        <v>1</v>
      </c>
      <c r="J609" s="200" t="s">
        <v>382</v>
      </c>
      <c r="K609" s="10"/>
      <c r="L609" s="10"/>
      <c r="M609" s="10"/>
      <c r="N609" s="10"/>
      <c r="O609" s="200">
        <v>25.8</v>
      </c>
      <c r="P609" s="17">
        <v>2040964.0</v>
      </c>
      <c r="Q609" s="234" t="b">
        <v>1</v>
      </c>
      <c r="R609" s="10"/>
    </row>
    <row r="610">
      <c r="A610" s="10" t="s">
        <v>3282</v>
      </c>
      <c r="B610" s="10" t="s">
        <v>65</v>
      </c>
      <c r="C610" s="11">
        <v>46086.0</v>
      </c>
      <c r="D610" s="10" t="s">
        <v>557</v>
      </c>
      <c r="E610" s="10" t="s">
        <v>5333</v>
      </c>
      <c r="F610" s="10"/>
      <c r="G610" s="200" t="s">
        <v>5334</v>
      </c>
      <c r="H610" s="10" t="s">
        <v>5328</v>
      </c>
      <c r="I610" s="14" t="b">
        <v>1</v>
      </c>
      <c r="J610" s="200" t="s">
        <v>382</v>
      </c>
      <c r="K610" s="10"/>
      <c r="L610" s="10"/>
      <c r="M610" s="10"/>
      <c r="N610" s="10"/>
      <c r="O610" s="200">
        <v>52.97</v>
      </c>
      <c r="P610" s="17">
        <v>2040963.0</v>
      </c>
      <c r="Q610" s="234" t="b">
        <v>1</v>
      </c>
      <c r="R610" s="10"/>
    </row>
    <row r="611">
      <c r="A611" s="10" t="s">
        <v>3287</v>
      </c>
      <c r="B611" s="10" t="s">
        <v>65</v>
      </c>
      <c r="C611" s="11">
        <v>46086.0</v>
      </c>
      <c r="D611" s="10" t="s">
        <v>2067</v>
      </c>
      <c r="E611" s="10" t="s">
        <v>5336</v>
      </c>
      <c r="F611" s="10"/>
      <c r="G611" s="200" t="s">
        <v>5337</v>
      </c>
      <c r="H611" s="10" t="s">
        <v>5338</v>
      </c>
      <c r="I611" s="14" t="b">
        <v>1</v>
      </c>
      <c r="J611" s="200" t="s">
        <v>382</v>
      </c>
      <c r="K611" s="10"/>
      <c r="L611" s="10"/>
      <c r="M611" s="10"/>
      <c r="N611" s="10"/>
      <c r="O611" s="200">
        <v>38.5</v>
      </c>
      <c r="P611" s="17">
        <v>2040959.0</v>
      </c>
      <c r="Q611" s="234" t="b">
        <v>1</v>
      </c>
      <c r="R611" s="10"/>
    </row>
    <row r="612">
      <c r="A612" s="10" t="s">
        <v>3289</v>
      </c>
      <c r="B612" s="10" t="s">
        <v>65</v>
      </c>
      <c r="C612" s="11">
        <v>46086.0</v>
      </c>
      <c r="D612" s="10" t="s">
        <v>919</v>
      </c>
      <c r="E612" s="10" t="s">
        <v>5340</v>
      </c>
      <c r="F612" s="10"/>
      <c r="G612" s="200" t="s">
        <v>5341</v>
      </c>
      <c r="H612" s="10" t="s">
        <v>5328</v>
      </c>
      <c r="I612" s="14" t="b">
        <v>1</v>
      </c>
      <c r="J612" s="200" t="s">
        <v>382</v>
      </c>
      <c r="K612" s="10"/>
      <c r="L612" s="10"/>
      <c r="M612" s="10"/>
      <c r="N612" s="10"/>
      <c r="O612" s="200">
        <v>32.0</v>
      </c>
      <c r="P612" s="17">
        <v>2040956.0</v>
      </c>
      <c r="Q612" s="234" t="b">
        <v>1</v>
      </c>
      <c r="R612" s="10"/>
    </row>
    <row r="613">
      <c r="A613" s="10" t="s">
        <v>3296</v>
      </c>
      <c r="B613" s="10" t="s">
        <v>65</v>
      </c>
      <c r="C613" s="11">
        <v>46086.0</v>
      </c>
      <c r="D613" s="10" t="s">
        <v>434</v>
      </c>
      <c r="E613" s="10" t="s">
        <v>5342</v>
      </c>
      <c r="F613" s="10"/>
      <c r="G613" s="200" t="s">
        <v>5343</v>
      </c>
      <c r="H613" s="10" t="s">
        <v>5328</v>
      </c>
      <c r="I613" s="14" t="b">
        <v>1</v>
      </c>
      <c r="J613" s="200" t="s">
        <v>382</v>
      </c>
      <c r="K613" s="10"/>
      <c r="L613" s="10"/>
      <c r="M613" s="10"/>
      <c r="N613" s="10"/>
      <c r="O613" s="200">
        <v>110.67</v>
      </c>
      <c r="P613" s="17">
        <v>2040954.0</v>
      </c>
      <c r="Q613" s="234" t="b">
        <v>1</v>
      </c>
      <c r="R613" s="10"/>
    </row>
    <row r="614">
      <c r="A614" s="10" t="s">
        <v>3298</v>
      </c>
      <c r="B614" s="10" t="s">
        <v>65</v>
      </c>
      <c r="C614" s="11">
        <v>46086.0</v>
      </c>
      <c r="D614" s="10" t="s">
        <v>983</v>
      </c>
      <c r="E614" s="10" t="s">
        <v>5345</v>
      </c>
      <c r="F614" s="10"/>
      <c r="G614" s="200" t="s">
        <v>5347</v>
      </c>
      <c r="H614" s="10" t="s">
        <v>5328</v>
      </c>
      <c r="I614" s="14" t="b">
        <v>1</v>
      </c>
      <c r="J614" s="200" t="s">
        <v>382</v>
      </c>
      <c r="K614" s="10"/>
      <c r="L614" s="10"/>
      <c r="M614" s="10"/>
      <c r="N614" s="10"/>
      <c r="O614" s="200">
        <v>17.0</v>
      </c>
      <c r="P614" s="17">
        <v>2040951.0</v>
      </c>
      <c r="Q614" s="234" t="b">
        <v>1</v>
      </c>
      <c r="R614" s="10"/>
    </row>
    <row r="615">
      <c r="A615" s="10" t="s">
        <v>3301</v>
      </c>
      <c r="B615" s="10" t="s">
        <v>65</v>
      </c>
      <c r="C615" s="11">
        <v>46086.0</v>
      </c>
      <c r="D615" s="10" t="s">
        <v>2736</v>
      </c>
      <c r="E615" s="10" t="s">
        <v>5349</v>
      </c>
      <c r="F615" s="10"/>
      <c r="G615" s="200" t="s">
        <v>5350</v>
      </c>
      <c r="H615" s="10" t="s">
        <v>4161</v>
      </c>
      <c r="I615" s="14" t="b">
        <v>0</v>
      </c>
      <c r="J615" s="200" t="s">
        <v>382</v>
      </c>
      <c r="K615" s="10"/>
      <c r="L615" s="10"/>
      <c r="M615" s="10"/>
      <c r="N615" s="10"/>
      <c r="O615" s="200">
        <v>110.67</v>
      </c>
      <c r="P615" s="10"/>
      <c r="Q615" s="234" t="b">
        <v>1</v>
      </c>
      <c r="R615" s="10"/>
    </row>
    <row r="616">
      <c r="A616" s="10" t="s">
        <v>3262</v>
      </c>
      <c r="B616" s="10" t="s">
        <v>65</v>
      </c>
      <c r="C616" s="11">
        <v>46085.0</v>
      </c>
      <c r="D616" s="10" t="s">
        <v>189</v>
      </c>
      <c r="E616" s="10" t="s">
        <v>5351</v>
      </c>
      <c r="F616" s="10"/>
      <c r="G616" s="200" t="s">
        <v>5352</v>
      </c>
      <c r="H616" s="10" t="s">
        <v>460</v>
      </c>
      <c r="I616" s="14" t="b">
        <v>0</v>
      </c>
      <c r="J616" s="200" t="s">
        <v>382</v>
      </c>
      <c r="K616" s="10"/>
      <c r="L616" s="10"/>
      <c r="M616" s="10"/>
      <c r="N616" s="10"/>
      <c r="O616" s="200">
        <v>310.82</v>
      </c>
      <c r="P616" s="10"/>
      <c r="Q616" s="234" t="b">
        <v>1</v>
      </c>
      <c r="R616" s="10"/>
    </row>
    <row r="617">
      <c r="A617" s="10" t="s">
        <v>3308</v>
      </c>
      <c r="B617" s="10" t="s">
        <v>65</v>
      </c>
      <c r="C617" s="11">
        <v>46087.0</v>
      </c>
      <c r="D617" s="10" t="s">
        <v>557</v>
      </c>
      <c r="E617" s="10" t="s">
        <v>5353</v>
      </c>
      <c r="F617" s="10"/>
      <c r="G617" s="200" t="s">
        <v>5354</v>
      </c>
      <c r="H617" s="10" t="s">
        <v>5355</v>
      </c>
      <c r="I617" s="14" t="b">
        <v>1</v>
      </c>
      <c r="J617" s="200" t="s">
        <v>382</v>
      </c>
      <c r="K617" s="10"/>
      <c r="L617" s="10"/>
      <c r="M617" s="10"/>
      <c r="N617" s="10"/>
      <c r="O617" s="200">
        <v>849.91</v>
      </c>
      <c r="P617" s="17">
        <v>2042995.0</v>
      </c>
      <c r="Q617" s="234" t="b">
        <v>1</v>
      </c>
      <c r="R617" s="10"/>
    </row>
    <row r="618">
      <c r="A618" s="10"/>
      <c r="B618" s="10"/>
      <c r="C618" s="11"/>
      <c r="D618" s="10"/>
      <c r="E618" s="10"/>
      <c r="F618" s="10"/>
      <c r="G618" s="10"/>
      <c r="H618" s="10"/>
      <c r="I618" s="14"/>
      <c r="J618" s="10"/>
      <c r="K618" s="10"/>
      <c r="L618" s="10"/>
      <c r="M618" s="10"/>
      <c r="N618" s="10"/>
      <c r="O618" s="10"/>
      <c r="P618" s="10"/>
      <c r="Q618" s="14"/>
      <c r="R618" s="10"/>
    </row>
    <row r="619">
      <c r="A619" s="10" t="s">
        <v>3310</v>
      </c>
      <c r="B619" s="10" t="s">
        <v>65</v>
      </c>
      <c r="C619" s="11">
        <v>46087.0</v>
      </c>
      <c r="D619" s="10" t="s">
        <v>2736</v>
      </c>
      <c r="E619" s="10" t="s">
        <v>5359</v>
      </c>
      <c r="F619" s="10"/>
      <c r="G619" s="200" t="s">
        <v>5360</v>
      </c>
      <c r="H619" s="10" t="s">
        <v>287</v>
      </c>
      <c r="I619" s="14" t="b">
        <v>0</v>
      </c>
      <c r="J619" s="200" t="s">
        <v>382</v>
      </c>
      <c r="K619" s="10"/>
      <c r="L619" s="10"/>
      <c r="M619" s="10"/>
      <c r="N619" s="10"/>
      <c r="O619" s="200">
        <v>203.0</v>
      </c>
      <c r="P619" s="10"/>
      <c r="Q619" s="234" t="b">
        <v>1</v>
      </c>
      <c r="R619" s="10"/>
    </row>
    <row r="620">
      <c r="A620" s="10" t="s">
        <v>3055</v>
      </c>
      <c r="B620" s="10" t="s">
        <v>65</v>
      </c>
      <c r="C620" s="11">
        <v>46073.0</v>
      </c>
      <c r="D620" s="10" t="s">
        <v>2736</v>
      </c>
      <c r="E620" s="10" t="s">
        <v>5361</v>
      </c>
      <c r="F620" s="10"/>
      <c r="G620" s="200" t="s">
        <v>5362</v>
      </c>
      <c r="H620" s="10" t="s">
        <v>5364</v>
      </c>
      <c r="I620" s="14" t="b">
        <v>0</v>
      </c>
      <c r="J620" s="200" t="s">
        <v>382</v>
      </c>
      <c r="K620" s="10"/>
      <c r="L620" s="10"/>
      <c r="M620" s="10"/>
      <c r="N620" s="10"/>
      <c r="O620" s="200">
        <v>269.8</v>
      </c>
      <c r="P620" s="10"/>
      <c r="Q620" s="234" t="b">
        <v>1</v>
      </c>
      <c r="R620" s="10"/>
    </row>
    <row r="621">
      <c r="A621" s="10" t="s">
        <v>3267</v>
      </c>
      <c r="B621" s="10" t="s">
        <v>65</v>
      </c>
      <c r="C621" s="11">
        <v>46085.0</v>
      </c>
      <c r="D621" s="10" t="s">
        <v>2736</v>
      </c>
      <c r="E621" s="10" t="s">
        <v>5365</v>
      </c>
      <c r="F621" s="10"/>
      <c r="G621" s="200" t="s">
        <v>5366</v>
      </c>
      <c r="H621" s="10" t="s">
        <v>5367</v>
      </c>
      <c r="I621" s="14" t="b">
        <v>0</v>
      </c>
      <c r="J621" s="200" t="s">
        <v>382</v>
      </c>
      <c r="K621" s="10"/>
      <c r="L621" s="200" t="s">
        <v>5369</v>
      </c>
      <c r="M621" s="10"/>
      <c r="N621" s="10"/>
      <c r="O621" s="200">
        <v>1131.0</v>
      </c>
      <c r="P621" s="10"/>
      <c r="Q621" s="234" t="b">
        <v>1</v>
      </c>
      <c r="R621" s="10"/>
    </row>
    <row r="622">
      <c r="A622" s="10" t="s">
        <v>3318</v>
      </c>
      <c r="B622" s="10" t="s">
        <v>65</v>
      </c>
      <c r="C622" s="11">
        <v>46087.0</v>
      </c>
      <c r="D622" s="10" t="s">
        <v>5370</v>
      </c>
      <c r="E622" s="10" t="s">
        <v>5371</v>
      </c>
      <c r="F622" s="10"/>
      <c r="G622" s="200" t="s">
        <v>5372</v>
      </c>
      <c r="H622" s="10" t="s">
        <v>5373</v>
      </c>
      <c r="I622" s="14" t="b">
        <v>1</v>
      </c>
      <c r="J622" s="200" t="s">
        <v>382</v>
      </c>
      <c r="K622" s="10"/>
      <c r="L622" s="10"/>
      <c r="M622" s="10"/>
      <c r="N622" s="10"/>
      <c r="O622" s="200">
        <v>50.0</v>
      </c>
      <c r="P622" s="17">
        <v>2042957.0</v>
      </c>
      <c r="Q622" s="234" t="b">
        <v>1</v>
      </c>
      <c r="R622" s="10"/>
    </row>
    <row r="623">
      <c r="A623" s="10" t="s">
        <v>3328</v>
      </c>
      <c r="B623" s="10" t="s">
        <v>65</v>
      </c>
      <c r="C623" s="11">
        <v>46088.0</v>
      </c>
      <c r="D623" s="10" t="s">
        <v>5374</v>
      </c>
      <c r="E623" s="10" t="s">
        <v>5375</v>
      </c>
      <c r="F623" s="10"/>
      <c r="G623" s="200" t="s">
        <v>5376</v>
      </c>
      <c r="H623" s="10" t="s">
        <v>5377</v>
      </c>
      <c r="I623" s="14" t="b">
        <v>0</v>
      </c>
      <c r="J623" s="200" t="s">
        <v>382</v>
      </c>
      <c r="K623" s="10"/>
      <c r="L623" s="10"/>
      <c r="M623" s="10"/>
      <c r="N623" s="10"/>
      <c r="O623" s="200">
        <v>31.07</v>
      </c>
      <c r="P623" s="10"/>
      <c r="Q623" s="234" t="b">
        <v>1</v>
      </c>
      <c r="R623" s="10"/>
    </row>
    <row r="624">
      <c r="A624" s="10" t="s">
        <v>3347</v>
      </c>
      <c r="B624" s="10" t="s">
        <v>65</v>
      </c>
      <c r="C624" s="11">
        <v>46089.0</v>
      </c>
      <c r="D624" s="10" t="s">
        <v>3175</v>
      </c>
      <c r="E624" s="10" t="s">
        <v>5378</v>
      </c>
      <c r="F624" s="10"/>
      <c r="G624" s="200" t="s">
        <v>5379</v>
      </c>
      <c r="H624" s="10" t="s">
        <v>3593</v>
      </c>
      <c r="I624" s="14" t="b">
        <v>1</v>
      </c>
      <c r="J624" s="200" t="s">
        <v>382</v>
      </c>
      <c r="K624" s="10"/>
      <c r="L624" s="10"/>
      <c r="M624" s="10"/>
      <c r="N624" s="10"/>
      <c r="O624" s="200">
        <v>204.0</v>
      </c>
      <c r="P624" s="17">
        <v>204.0</v>
      </c>
      <c r="Q624" s="234" t="b">
        <v>1</v>
      </c>
      <c r="R624" s="10"/>
    </row>
    <row r="625">
      <c r="A625" s="10" t="s">
        <v>3350</v>
      </c>
      <c r="B625" s="10" t="s">
        <v>65</v>
      </c>
      <c r="C625" s="11">
        <v>46089.0</v>
      </c>
      <c r="D625" s="10" t="s">
        <v>4992</v>
      </c>
      <c r="E625" s="10" t="s">
        <v>5380</v>
      </c>
      <c r="F625" s="10"/>
      <c r="G625" s="200" t="s">
        <v>5381</v>
      </c>
      <c r="H625" s="10" t="s">
        <v>5177</v>
      </c>
      <c r="I625" s="14" t="b">
        <v>1</v>
      </c>
      <c r="J625" s="200" t="s">
        <v>382</v>
      </c>
      <c r="K625" s="10"/>
      <c r="L625" s="10"/>
      <c r="M625" s="10"/>
      <c r="N625" s="10"/>
      <c r="O625" s="200">
        <v>110.0</v>
      </c>
      <c r="P625" s="17">
        <v>2049351.0</v>
      </c>
      <c r="Q625" s="234" t="b">
        <v>1</v>
      </c>
      <c r="R625" s="10"/>
    </row>
    <row r="626">
      <c r="A626" s="10" t="s">
        <v>3353</v>
      </c>
      <c r="B626" s="10" t="s">
        <v>65</v>
      </c>
      <c r="C626" s="11">
        <v>46089.0</v>
      </c>
      <c r="D626" s="10" t="s">
        <v>163</v>
      </c>
      <c r="E626" s="10" t="s">
        <v>5384</v>
      </c>
      <c r="F626" s="10"/>
      <c r="G626" s="200" t="s">
        <v>5385</v>
      </c>
      <c r="H626" s="10" t="s">
        <v>5386</v>
      </c>
      <c r="I626" s="14" t="b">
        <v>1</v>
      </c>
      <c r="J626" s="200" t="s">
        <v>382</v>
      </c>
      <c r="K626" s="10"/>
      <c r="L626" s="10"/>
      <c r="M626" s="10"/>
      <c r="N626" s="10"/>
      <c r="O626" s="200">
        <v>37.46</v>
      </c>
      <c r="P626" s="17">
        <v>2049360.0</v>
      </c>
      <c r="Q626" s="234" t="b">
        <v>1</v>
      </c>
      <c r="R626" s="10"/>
    </row>
    <row r="627">
      <c r="A627" s="10" t="s">
        <v>3333</v>
      </c>
      <c r="B627" s="10" t="s">
        <v>65</v>
      </c>
      <c r="C627" s="11">
        <v>46088.0</v>
      </c>
      <c r="D627" s="10" t="s">
        <v>202</v>
      </c>
      <c r="E627" s="10" t="s">
        <v>5387</v>
      </c>
      <c r="F627" s="10"/>
      <c r="G627" s="200" t="s">
        <v>5388</v>
      </c>
      <c r="H627" s="10" t="s">
        <v>481</v>
      </c>
      <c r="I627" s="14" t="b">
        <v>0</v>
      </c>
      <c r="J627" s="200" t="s">
        <v>382</v>
      </c>
      <c r="K627" s="10"/>
      <c r="L627" s="10"/>
      <c r="M627" s="10"/>
      <c r="N627" s="10"/>
      <c r="O627" s="200">
        <v>184.0</v>
      </c>
      <c r="P627" s="10"/>
      <c r="Q627" s="234" t="b">
        <v>1</v>
      </c>
      <c r="R627" s="10"/>
    </row>
    <row r="628">
      <c r="A628" s="10" t="s">
        <v>3336</v>
      </c>
      <c r="B628" s="10" t="s">
        <v>65</v>
      </c>
      <c r="C628" s="11">
        <v>46088.0</v>
      </c>
      <c r="D628" s="10" t="s">
        <v>163</v>
      </c>
      <c r="E628" s="10" t="s">
        <v>5389</v>
      </c>
      <c r="F628" s="10"/>
      <c r="G628" s="200" t="s">
        <v>5390</v>
      </c>
      <c r="H628" s="10" t="s">
        <v>5391</v>
      </c>
      <c r="I628" s="14" t="b">
        <v>1</v>
      </c>
      <c r="J628" s="200" t="s">
        <v>382</v>
      </c>
      <c r="K628" s="10"/>
      <c r="L628" s="10"/>
      <c r="M628" s="10"/>
      <c r="N628" s="10"/>
      <c r="O628" s="200">
        <v>78.06</v>
      </c>
      <c r="P628" s="17">
        <v>2046084.0</v>
      </c>
      <c r="Q628" s="234" t="b">
        <v>1</v>
      </c>
      <c r="R628" s="10"/>
    </row>
    <row r="629">
      <c r="A629" s="10" t="s">
        <v>3322</v>
      </c>
      <c r="B629" s="10" t="s">
        <v>65</v>
      </c>
      <c r="C629" s="11">
        <v>46087.0</v>
      </c>
      <c r="D629" s="10" t="s">
        <v>189</v>
      </c>
      <c r="E629" s="10" t="s">
        <v>5392</v>
      </c>
      <c r="F629" s="10"/>
      <c r="G629" s="200" t="s">
        <v>5394</v>
      </c>
      <c r="H629" s="10" t="s">
        <v>114</v>
      </c>
      <c r="I629" s="14" t="b">
        <v>0</v>
      </c>
      <c r="J629" s="200" t="s">
        <v>382</v>
      </c>
      <c r="K629" s="10"/>
      <c r="L629" s="10"/>
      <c r="M629" s="10"/>
      <c r="N629" s="10"/>
      <c r="O629" s="200">
        <v>294.78</v>
      </c>
      <c r="P629" s="10"/>
      <c r="Q629" s="234" t="b">
        <v>1</v>
      </c>
      <c r="R629" s="10"/>
    </row>
    <row r="630">
      <c r="A630" s="10" t="s">
        <v>3324</v>
      </c>
      <c r="B630" s="10" t="s">
        <v>65</v>
      </c>
      <c r="C630" s="11">
        <v>46087.0</v>
      </c>
      <c r="D630" s="10" t="s">
        <v>5080</v>
      </c>
      <c r="E630" s="10" t="s">
        <v>5395</v>
      </c>
      <c r="F630" s="10"/>
      <c r="G630" s="200" t="s">
        <v>5396</v>
      </c>
      <c r="H630" s="10" t="s">
        <v>5397</v>
      </c>
      <c r="I630" s="14" t="b">
        <v>0</v>
      </c>
      <c r="J630" s="200" t="s">
        <v>382</v>
      </c>
      <c r="K630" s="10"/>
      <c r="L630" s="200" t="s">
        <v>5398</v>
      </c>
      <c r="M630" s="10"/>
      <c r="N630" s="10"/>
      <c r="O630" s="200">
        <v>2642.06</v>
      </c>
      <c r="P630" s="10"/>
      <c r="Q630" s="234" t="b">
        <v>1</v>
      </c>
      <c r="R630" s="10"/>
    </row>
    <row r="631">
      <c r="A631" s="10" t="s">
        <v>3303</v>
      </c>
      <c r="B631" s="10" t="s">
        <v>65</v>
      </c>
      <c r="C631" s="11">
        <v>46086.0</v>
      </c>
      <c r="D631" s="10" t="s">
        <v>131</v>
      </c>
      <c r="E631" s="10" t="s">
        <v>5401</v>
      </c>
      <c r="F631" s="10"/>
      <c r="G631" s="200" t="s">
        <v>5402</v>
      </c>
      <c r="H631" s="10" t="s">
        <v>136</v>
      </c>
      <c r="I631" s="14" t="b">
        <v>0</v>
      </c>
      <c r="J631" s="200" t="s">
        <v>382</v>
      </c>
      <c r="K631" s="10"/>
      <c r="L631" s="200" t="s">
        <v>5404</v>
      </c>
      <c r="M631" s="200" t="s">
        <v>5405</v>
      </c>
      <c r="N631" s="10"/>
      <c r="O631" s="200">
        <v>5324.5</v>
      </c>
      <c r="P631" s="10"/>
      <c r="Q631" s="234" t="b">
        <v>1</v>
      </c>
      <c r="R631" s="10"/>
    </row>
    <row r="632">
      <c r="A632" s="10" t="s">
        <v>3359</v>
      </c>
      <c r="B632" s="10" t="s">
        <v>65</v>
      </c>
      <c r="C632" s="11">
        <v>46090.0</v>
      </c>
      <c r="D632" s="10" t="s">
        <v>2736</v>
      </c>
      <c r="E632" s="10" t="s">
        <v>5406</v>
      </c>
      <c r="F632" s="10"/>
      <c r="G632" s="200" t="s">
        <v>5407</v>
      </c>
      <c r="H632" s="10" t="s">
        <v>287</v>
      </c>
      <c r="I632" s="14" t="b">
        <v>0</v>
      </c>
      <c r="J632" s="200" t="s">
        <v>382</v>
      </c>
      <c r="K632" s="10"/>
      <c r="L632" s="10"/>
      <c r="M632" s="10"/>
      <c r="N632" s="10"/>
      <c r="O632" s="200">
        <v>101.5</v>
      </c>
      <c r="P632" s="10"/>
      <c r="Q632" s="234" t="b">
        <v>1</v>
      </c>
      <c r="R632" s="10"/>
    </row>
    <row r="633">
      <c r="A633" s="10" t="s">
        <v>3361</v>
      </c>
      <c r="B633" s="10" t="s">
        <v>65</v>
      </c>
      <c r="C633" s="11">
        <v>46090.0</v>
      </c>
      <c r="D633" s="10" t="s">
        <v>1888</v>
      </c>
      <c r="E633" s="10" t="s">
        <v>5411</v>
      </c>
      <c r="F633" s="10"/>
      <c r="G633" s="200" t="s">
        <v>5412</v>
      </c>
      <c r="H633" s="10" t="s">
        <v>149</v>
      </c>
      <c r="I633" s="14" t="b">
        <v>0</v>
      </c>
      <c r="J633" s="200" t="s">
        <v>382</v>
      </c>
      <c r="K633" s="10"/>
      <c r="L633" s="10"/>
      <c r="M633" s="10"/>
      <c r="N633" s="10"/>
      <c r="O633" s="200">
        <v>387.42</v>
      </c>
      <c r="P633" s="10"/>
      <c r="Q633" s="234" t="b">
        <v>1</v>
      </c>
      <c r="R633" s="10"/>
    </row>
    <row r="634">
      <c r="A634" s="10" t="s">
        <v>3369</v>
      </c>
      <c r="B634" s="10" t="s">
        <v>65</v>
      </c>
      <c r="C634" s="11">
        <v>46091.0</v>
      </c>
      <c r="D634" s="10" t="s">
        <v>163</v>
      </c>
      <c r="E634" s="10" t="s">
        <v>5414</v>
      </c>
      <c r="F634" s="10"/>
      <c r="G634" s="200" t="s">
        <v>5415</v>
      </c>
      <c r="H634" s="10" t="s">
        <v>5184</v>
      </c>
      <c r="I634" s="14" t="b">
        <v>1</v>
      </c>
      <c r="J634" s="200" t="s">
        <v>382</v>
      </c>
      <c r="K634" s="10"/>
      <c r="L634" s="10"/>
      <c r="M634" s="10"/>
      <c r="N634" s="10"/>
      <c r="O634" s="200">
        <v>39.83</v>
      </c>
      <c r="P634" s="17">
        <v>2052506.0</v>
      </c>
      <c r="Q634" s="234" t="b">
        <v>1</v>
      </c>
      <c r="R634" s="10"/>
    </row>
    <row r="635">
      <c r="A635" s="10" t="s">
        <v>3386</v>
      </c>
      <c r="B635" s="10" t="s">
        <v>65</v>
      </c>
      <c r="C635" s="11">
        <v>46091.0</v>
      </c>
      <c r="D635" s="10" t="s">
        <v>163</v>
      </c>
      <c r="E635" s="10" t="s">
        <v>5416</v>
      </c>
      <c r="F635" s="10"/>
      <c r="G635" s="200" t="s">
        <v>5417</v>
      </c>
      <c r="H635" s="10" t="s">
        <v>5419</v>
      </c>
      <c r="I635" s="14" t="b">
        <v>1</v>
      </c>
      <c r="J635" s="200" t="s">
        <v>382</v>
      </c>
      <c r="K635" s="10"/>
      <c r="L635" s="10"/>
      <c r="M635" s="10"/>
      <c r="N635" s="10"/>
      <c r="O635" s="200">
        <v>89.4</v>
      </c>
      <c r="P635" s="17">
        <v>2052508.0</v>
      </c>
      <c r="Q635" s="234" t="b">
        <v>1</v>
      </c>
      <c r="R635" s="10"/>
    </row>
    <row r="636">
      <c r="A636" s="10" t="s">
        <v>3399</v>
      </c>
      <c r="B636" s="10" t="s">
        <v>65</v>
      </c>
      <c r="C636" s="11">
        <v>46091.0</v>
      </c>
      <c r="D636" s="10" t="s">
        <v>163</v>
      </c>
      <c r="E636" s="10" t="s">
        <v>5422</v>
      </c>
      <c r="F636" s="10"/>
      <c r="G636" s="200" t="s">
        <v>5423</v>
      </c>
      <c r="H636" s="10" t="s">
        <v>157</v>
      </c>
      <c r="I636" s="14" t="b">
        <v>1</v>
      </c>
      <c r="J636" s="200" t="s">
        <v>382</v>
      </c>
      <c r="K636" s="10"/>
      <c r="L636" s="10"/>
      <c r="M636" s="10"/>
      <c r="N636" s="10"/>
      <c r="O636" s="200">
        <v>29.99</v>
      </c>
      <c r="P636" s="17">
        <v>2052510.0</v>
      </c>
      <c r="Q636" s="234" t="b">
        <v>1</v>
      </c>
      <c r="R636" s="10"/>
    </row>
    <row r="637">
      <c r="A637" s="10"/>
      <c r="B637" s="10"/>
      <c r="C637" s="11"/>
      <c r="D637" s="10"/>
      <c r="E637" s="10"/>
      <c r="F637" s="10"/>
      <c r="G637" s="10"/>
      <c r="H637" s="10"/>
      <c r="I637" s="14"/>
      <c r="J637" s="10"/>
      <c r="K637" s="10"/>
      <c r="L637" s="10"/>
      <c r="M637" s="10"/>
      <c r="N637" s="10"/>
      <c r="O637" s="10"/>
      <c r="P637" s="10"/>
      <c r="Q637" s="14"/>
      <c r="R637" s="10"/>
    </row>
    <row r="638">
      <c r="A638" s="10" t="s">
        <v>3408</v>
      </c>
      <c r="B638" s="10" t="s">
        <v>65</v>
      </c>
      <c r="C638" s="11">
        <v>46093.0</v>
      </c>
      <c r="D638" s="17">
        <v>8.627274E7</v>
      </c>
      <c r="E638" s="10" t="s">
        <v>5425</v>
      </c>
      <c r="F638" s="10"/>
      <c r="G638" s="200" t="s">
        <v>5426</v>
      </c>
      <c r="H638" s="10" t="s">
        <v>195</v>
      </c>
      <c r="I638" s="14" t="b">
        <v>1</v>
      </c>
      <c r="J638" s="200" t="s">
        <v>382</v>
      </c>
      <c r="K638" s="10"/>
      <c r="L638" s="10"/>
      <c r="M638" s="10"/>
      <c r="N638" s="10"/>
      <c r="O638" s="200">
        <v>8.75</v>
      </c>
      <c r="P638" s="17">
        <v>2055513.0</v>
      </c>
      <c r="Q638" s="234" t="b">
        <v>1</v>
      </c>
      <c r="R638" s="10"/>
    </row>
    <row r="639">
      <c r="A639" s="17">
        <v>6.5522662E7</v>
      </c>
      <c r="B639" s="10" t="s">
        <v>65</v>
      </c>
      <c r="C639" s="11">
        <v>46091.0</v>
      </c>
      <c r="D639" s="10" t="s">
        <v>751</v>
      </c>
      <c r="E639" s="10" t="s">
        <v>5428</v>
      </c>
      <c r="F639" s="10"/>
      <c r="G639" s="200" t="s">
        <v>5429</v>
      </c>
      <c r="H639" s="10" t="s">
        <v>205</v>
      </c>
      <c r="I639" s="14" t="b">
        <v>0</v>
      </c>
      <c r="J639" s="200" t="s">
        <v>382</v>
      </c>
      <c r="K639" s="10"/>
      <c r="L639" s="10"/>
      <c r="M639" s="10"/>
      <c r="N639" s="10"/>
      <c r="O639" s="200">
        <v>156.0</v>
      </c>
      <c r="P639" s="10"/>
      <c r="Q639" s="234" t="b">
        <v>1</v>
      </c>
      <c r="R639" s="10"/>
    </row>
    <row r="640">
      <c r="A640" s="10" t="s">
        <v>3229</v>
      </c>
      <c r="B640" s="10" t="s">
        <v>65</v>
      </c>
      <c r="C640" s="11">
        <v>46084.0</v>
      </c>
      <c r="D640" s="17">
        <v>1.5832353E7</v>
      </c>
      <c r="E640" s="10" t="s">
        <v>5430</v>
      </c>
      <c r="F640" s="10"/>
      <c r="G640" s="200" t="s">
        <v>5431</v>
      </c>
      <c r="H640" s="10" t="s">
        <v>5432</v>
      </c>
      <c r="I640" s="14" t="b">
        <v>1</v>
      </c>
      <c r="J640" s="200" t="s">
        <v>382</v>
      </c>
      <c r="K640" s="10"/>
      <c r="L640" s="10"/>
      <c r="M640" s="10"/>
      <c r="N640" s="10"/>
      <c r="O640" s="200">
        <v>118.0</v>
      </c>
      <c r="P640" s="17">
        <v>2037251.0</v>
      </c>
      <c r="Q640" s="234" t="b">
        <v>1</v>
      </c>
      <c r="R640" s="10"/>
    </row>
    <row r="641">
      <c r="A641" s="10" t="s">
        <v>3421</v>
      </c>
      <c r="B641" s="10" t="s">
        <v>65</v>
      </c>
      <c r="C641" s="11">
        <v>46094.0</v>
      </c>
      <c r="D641" s="10" t="s">
        <v>163</v>
      </c>
      <c r="E641" s="10" t="s">
        <v>5433</v>
      </c>
      <c r="F641" s="10"/>
      <c r="G641" s="200" t="s">
        <v>5434</v>
      </c>
      <c r="H641" s="10" t="s">
        <v>529</v>
      </c>
      <c r="I641" s="14" t="b">
        <v>1</v>
      </c>
      <c r="J641" s="200" t="s">
        <v>382</v>
      </c>
      <c r="K641" s="10"/>
      <c r="L641" s="10"/>
      <c r="M641" s="10"/>
      <c r="N641" s="10"/>
      <c r="O641" s="200">
        <v>79.43</v>
      </c>
      <c r="P641" s="17">
        <v>2057730.0</v>
      </c>
      <c r="Q641" s="234" t="b">
        <v>1</v>
      </c>
      <c r="R641" s="10"/>
    </row>
    <row r="642">
      <c r="A642" s="10" t="s">
        <v>3412</v>
      </c>
      <c r="B642" s="10" t="s">
        <v>65</v>
      </c>
      <c r="C642" s="11">
        <v>46093.0</v>
      </c>
      <c r="D642" s="10" t="s">
        <v>3175</v>
      </c>
      <c r="E642" s="10" t="s">
        <v>5435</v>
      </c>
      <c r="F642" s="10"/>
      <c r="G642" s="200" t="s">
        <v>5436</v>
      </c>
      <c r="H642" s="10" t="s">
        <v>3425</v>
      </c>
      <c r="I642" s="14" t="b">
        <v>1</v>
      </c>
      <c r="J642" s="200" t="s">
        <v>382</v>
      </c>
      <c r="K642" s="10"/>
      <c r="L642" s="10"/>
      <c r="M642" s="10"/>
      <c r="N642" s="10"/>
      <c r="O642" s="200">
        <v>45.0</v>
      </c>
      <c r="P642" s="17">
        <v>2055150.0</v>
      </c>
      <c r="Q642" s="234" t="b">
        <v>1</v>
      </c>
      <c r="R642" s="10"/>
    </row>
    <row r="643">
      <c r="A643" s="10" t="s">
        <v>3436</v>
      </c>
      <c r="B643" s="10" t="s">
        <v>65</v>
      </c>
      <c r="C643" s="11">
        <v>46095.0</v>
      </c>
      <c r="D643" s="10" t="s">
        <v>163</v>
      </c>
      <c r="E643" s="10" t="s">
        <v>5438</v>
      </c>
      <c r="F643" s="10"/>
      <c r="G643" s="200" t="s">
        <v>5439</v>
      </c>
      <c r="H643" s="10" t="s">
        <v>195</v>
      </c>
      <c r="I643" s="14" t="b">
        <v>1</v>
      </c>
      <c r="J643" s="200" t="s">
        <v>382</v>
      </c>
      <c r="K643" s="10"/>
      <c r="L643" s="10"/>
      <c r="M643" s="10"/>
      <c r="N643" s="10"/>
      <c r="O643" s="200">
        <v>165.56</v>
      </c>
      <c r="P643" s="17">
        <v>2058918.0</v>
      </c>
      <c r="Q643" s="234" t="b">
        <v>1</v>
      </c>
      <c r="R643" s="10"/>
    </row>
    <row r="644">
      <c r="A644" s="10" t="s">
        <v>3449</v>
      </c>
      <c r="B644" s="10" t="s">
        <v>65</v>
      </c>
      <c r="C644" s="11">
        <v>46095.0</v>
      </c>
      <c r="D644" s="10" t="s">
        <v>751</v>
      </c>
      <c r="E644" s="10" t="s">
        <v>5441</v>
      </c>
      <c r="F644" s="10"/>
      <c r="G644" s="200" t="s">
        <v>5442</v>
      </c>
      <c r="H644" s="10" t="s">
        <v>481</v>
      </c>
      <c r="I644" s="14" t="b">
        <v>0</v>
      </c>
      <c r="J644" s="200" t="s">
        <v>382</v>
      </c>
      <c r="K644" s="10"/>
      <c r="L644" s="10"/>
      <c r="M644" s="10"/>
      <c r="N644" s="10"/>
      <c r="O644" s="200">
        <v>299.0</v>
      </c>
      <c r="P644" s="10"/>
      <c r="Q644" s="234" t="b">
        <v>1</v>
      </c>
      <c r="R644" s="10"/>
    </row>
    <row r="645">
      <c r="A645" s="10"/>
      <c r="B645" s="10"/>
      <c r="C645" s="11"/>
      <c r="D645" s="10"/>
      <c r="E645" s="10"/>
      <c r="F645" s="10"/>
      <c r="G645" s="10"/>
      <c r="H645" s="10"/>
      <c r="I645" s="14"/>
      <c r="J645" s="10"/>
      <c r="K645" s="10"/>
      <c r="L645" s="10"/>
      <c r="M645" s="10"/>
      <c r="N645" s="10"/>
      <c r="O645" s="10"/>
      <c r="P645" s="10"/>
      <c r="Q645" s="14"/>
      <c r="R645" s="10"/>
    </row>
    <row r="646">
      <c r="A646" s="17">
        <v>3.5233473E7</v>
      </c>
      <c r="B646" s="10" t="s">
        <v>65</v>
      </c>
      <c r="C646" s="11">
        <v>46095.0</v>
      </c>
      <c r="D646" s="10" t="s">
        <v>5445</v>
      </c>
      <c r="E646" s="10" t="s">
        <v>5446</v>
      </c>
      <c r="F646" s="10"/>
      <c r="G646" s="200" t="s">
        <v>5447</v>
      </c>
      <c r="H646" s="10" t="s">
        <v>5448</v>
      </c>
      <c r="I646" s="14" t="b">
        <v>1</v>
      </c>
      <c r="J646" s="200" t="s">
        <v>382</v>
      </c>
      <c r="K646" s="10"/>
      <c r="L646" s="10"/>
      <c r="M646" s="10"/>
      <c r="N646" s="10"/>
      <c r="O646" s="200">
        <v>170.0</v>
      </c>
      <c r="P646" s="17">
        <v>2059094.0</v>
      </c>
      <c r="Q646" s="234" t="b">
        <v>1</v>
      </c>
      <c r="R646" s="10"/>
    </row>
    <row r="647">
      <c r="A647" s="10" t="s">
        <v>3453</v>
      </c>
      <c r="B647" s="10" t="s">
        <v>65</v>
      </c>
      <c r="C647" s="11">
        <v>46095.0</v>
      </c>
      <c r="D647" s="17">
        <v>8.627274E7</v>
      </c>
      <c r="E647" s="10" t="s">
        <v>5451</v>
      </c>
      <c r="F647" s="10"/>
      <c r="G647" s="200" t="s">
        <v>5452</v>
      </c>
      <c r="H647" s="10" t="s">
        <v>529</v>
      </c>
      <c r="I647" s="14" t="b">
        <v>1</v>
      </c>
      <c r="J647" s="200" t="s">
        <v>382</v>
      </c>
      <c r="K647" s="10"/>
      <c r="L647" s="10"/>
      <c r="M647" s="10"/>
      <c r="N647" s="10"/>
      <c r="O647" s="200">
        <v>38.36</v>
      </c>
      <c r="P647" s="17">
        <v>2059539.0</v>
      </c>
      <c r="Q647" s="234" t="b">
        <v>1</v>
      </c>
      <c r="R647" s="10"/>
    </row>
    <row r="648">
      <c r="A648" s="10" t="s">
        <v>3463</v>
      </c>
      <c r="B648" s="10" t="s">
        <v>65</v>
      </c>
      <c r="C648" s="11">
        <v>46095.0</v>
      </c>
      <c r="D648" s="10" t="s">
        <v>189</v>
      </c>
      <c r="E648" s="10" t="s">
        <v>5453</v>
      </c>
      <c r="F648" s="10"/>
      <c r="G648" s="200" t="s">
        <v>5454</v>
      </c>
      <c r="H648" s="10" t="s">
        <v>114</v>
      </c>
      <c r="I648" s="14" t="b">
        <v>0</v>
      </c>
      <c r="J648" s="200" t="s">
        <v>382</v>
      </c>
      <c r="K648" s="10"/>
      <c r="L648" s="10"/>
      <c r="M648" s="10"/>
      <c r="N648" s="10"/>
      <c r="O648" s="200">
        <v>296.4</v>
      </c>
      <c r="P648" s="10"/>
      <c r="Q648" s="234" t="b">
        <v>1</v>
      </c>
      <c r="R648" s="10"/>
    </row>
    <row r="649">
      <c r="A649" s="10" t="s">
        <v>3477</v>
      </c>
      <c r="B649" s="10" t="s">
        <v>65</v>
      </c>
      <c r="C649" s="11">
        <v>46097.0</v>
      </c>
      <c r="D649" s="10" t="s">
        <v>163</v>
      </c>
      <c r="E649" s="10" t="s">
        <v>5455</v>
      </c>
      <c r="F649" s="10"/>
      <c r="G649" s="200" t="s">
        <v>5456</v>
      </c>
      <c r="H649" s="10" t="s">
        <v>529</v>
      </c>
      <c r="I649" s="14" t="b">
        <v>1</v>
      </c>
      <c r="J649" s="200" t="s">
        <v>382</v>
      </c>
      <c r="K649" s="10"/>
      <c r="L649" s="10"/>
      <c r="M649" s="10"/>
      <c r="N649" s="10"/>
      <c r="O649" s="200">
        <v>14.98</v>
      </c>
      <c r="P649" s="17">
        <v>2065613.0</v>
      </c>
      <c r="Q649" s="234" t="b">
        <v>1</v>
      </c>
      <c r="R649" s="10"/>
    </row>
    <row r="650">
      <c r="A650" s="10" t="s">
        <v>3465</v>
      </c>
      <c r="B650" s="10" t="s">
        <v>65</v>
      </c>
      <c r="C650" s="11">
        <v>46096.0</v>
      </c>
      <c r="D650" s="10" t="s">
        <v>163</v>
      </c>
      <c r="E650" s="10" t="s">
        <v>5458</v>
      </c>
      <c r="F650" s="10"/>
      <c r="G650" s="200" t="s">
        <v>5459</v>
      </c>
      <c r="H650" s="10" t="s">
        <v>195</v>
      </c>
      <c r="I650" s="14" t="b">
        <v>1</v>
      </c>
      <c r="J650" s="200" t="s">
        <v>382</v>
      </c>
      <c r="K650" s="10"/>
      <c r="L650" s="10"/>
      <c r="M650" s="10"/>
      <c r="N650" s="10"/>
      <c r="O650" s="200">
        <v>103.92</v>
      </c>
      <c r="P650" s="17">
        <v>2063442.0</v>
      </c>
      <c r="Q650" s="234" t="b">
        <v>1</v>
      </c>
      <c r="R650" s="10"/>
    </row>
    <row r="651">
      <c r="A651" s="10" t="s">
        <v>3472</v>
      </c>
      <c r="B651" s="10" t="s">
        <v>65</v>
      </c>
      <c r="C651" s="11">
        <v>46096.0</v>
      </c>
      <c r="D651" s="10" t="s">
        <v>4992</v>
      </c>
      <c r="E651" s="10" t="s">
        <v>5460</v>
      </c>
      <c r="F651" s="10"/>
      <c r="G651" s="200" t="s">
        <v>5461</v>
      </c>
      <c r="H651" s="10" t="s">
        <v>5177</v>
      </c>
      <c r="I651" s="14" t="b">
        <v>1</v>
      </c>
      <c r="J651" s="200" t="s">
        <v>382</v>
      </c>
      <c r="K651" s="10"/>
      <c r="L651" s="10"/>
      <c r="M651" s="10"/>
      <c r="N651" s="10"/>
      <c r="O651" s="200">
        <v>190.0</v>
      </c>
      <c r="P651" s="17">
        <v>2063436.0</v>
      </c>
      <c r="Q651" s="234" t="b">
        <v>1</v>
      </c>
      <c r="R651" s="10"/>
    </row>
    <row r="652">
      <c r="A652" s="10" t="s">
        <v>3475</v>
      </c>
      <c r="B652" s="10" t="s">
        <v>65</v>
      </c>
      <c r="C652" s="11">
        <v>46096.0</v>
      </c>
      <c r="D652" s="10" t="s">
        <v>3175</v>
      </c>
      <c r="E652" s="10" t="s">
        <v>5463</v>
      </c>
      <c r="F652" s="10"/>
      <c r="G652" s="200" t="s">
        <v>5464</v>
      </c>
      <c r="H652" s="10" t="s">
        <v>3425</v>
      </c>
      <c r="I652" s="14" t="b">
        <v>1</v>
      </c>
      <c r="J652" s="200" t="s">
        <v>382</v>
      </c>
      <c r="K652" s="10"/>
      <c r="L652" s="10"/>
      <c r="M652" s="10"/>
      <c r="N652" s="10"/>
      <c r="O652" s="200">
        <v>210.0</v>
      </c>
      <c r="P652" s="17">
        <v>2063430.0</v>
      </c>
      <c r="Q652" s="234" t="b">
        <v>1</v>
      </c>
      <c r="R652" s="10"/>
    </row>
    <row r="653">
      <c r="A653" s="10" t="s">
        <v>3479</v>
      </c>
      <c r="B653" s="10" t="s">
        <v>65</v>
      </c>
      <c r="C653" s="11">
        <v>46097.0</v>
      </c>
      <c r="D653" s="10" t="s">
        <v>751</v>
      </c>
      <c r="E653" s="10" t="s">
        <v>5465</v>
      </c>
      <c r="F653" s="10"/>
      <c r="G653" s="200" t="s">
        <v>5466</v>
      </c>
      <c r="H653" s="10" t="s">
        <v>481</v>
      </c>
      <c r="I653" s="14" t="b">
        <v>0</v>
      </c>
      <c r="J653" s="200" t="s">
        <v>382</v>
      </c>
      <c r="K653" s="10"/>
      <c r="L653" s="10"/>
      <c r="M653" s="10"/>
      <c r="N653" s="10"/>
      <c r="O653" s="200">
        <v>276.0</v>
      </c>
      <c r="P653" s="10"/>
      <c r="Q653" s="234" t="b">
        <v>1</v>
      </c>
      <c r="R653" s="10"/>
    </row>
    <row r="654">
      <c r="A654" s="10" t="s">
        <v>3415</v>
      </c>
      <c r="B654" s="10" t="s">
        <v>65</v>
      </c>
      <c r="C654" s="11">
        <v>46093.0</v>
      </c>
      <c r="D654" s="10" t="s">
        <v>131</v>
      </c>
      <c r="E654" s="10" t="s">
        <v>5469</v>
      </c>
      <c r="F654" s="10"/>
      <c r="G654" s="200" t="s">
        <v>5470</v>
      </c>
      <c r="H654" s="10" t="s">
        <v>5471</v>
      </c>
      <c r="I654" s="14" t="b">
        <v>0</v>
      </c>
      <c r="J654" s="200" t="s">
        <v>382</v>
      </c>
      <c r="K654" s="10"/>
      <c r="L654" s="200" t="s">
        <v>5472</v>
      </c>
      <c r="M654" s="10"/>
      <c r="N654" s="10"/>
      <c r="O654" s="200">
        <v>1017.67</v>
      </c>
      <c r="P654" s="10"/>
      <c r="Q654" s="234" t="b">
        <v>1</v>
      </c>
      <c r="R654" s="10"/>
    </row>
    <row r="655">
      <c r="A655" s="10" t="s">
        <v>3488</v>
      </c>
      <c r="B655" s="10" t="s">
        <v>65</v>
      </c>
      <c r="C655" s="11">
        <v>46098.0</v>
      </c>
      <c r="D655" s="10" t="s">
        <v>163</v>
      </c>
      <c r="E655" s="10" t="s">
        <v>5474</v>
      </c>
      <c r="F655" s="10"/>
      <c r="G655" s="200" t="s">
        <v>5475</v>
      </c>
      <c r="H655" s="10" t="s">
        <v>529</v>
      </c>
      <c r="I655" s="14" t="b">
        <v>1</v>
      </c>
      <c r="J655" s="200" t="s">
        <v>382</v>
      </c>
      <c r="K655" s="10"/>
      <c r="L655" s="10"/>
      <c r="M655" s="10"/>
      <c r="N655" s="10"/>
      <c r="O655" s="200">
        <v>70.22</v>
      </c>
      <c r="P655" s="17">
        <v>2067261.0</v>
      </c>
      <c r="Q655" s="234" t="b">
        <v>1</v>
      </c>
      <c r="R655" s="10"/>
    </row>
    <row r="656">
      <c r="A656" s="10" t="s">
        <v>3482</v>
      </c>
      <c r="B656" s="10" t="s">
        <v>65</v>
      </c>
      <c r="C656" s="11">
        <v>46097.0</v>
      </c>
      <c r="D656" s="10" t="s">
        <v>5080</v>
      </c>
      <c r="E656" s="10" t="s">
        <v>5476</v>
      </c>
      <c r="F656" s="10"/>
      <c r="G656" s="200" t="s">
        <v>5477</v>
      </c>
      <c r="H656" s="10" t="s">
        <v>5478</v>
      </c>
      <c r="I656" s="14" t="b">
        <v>0</v>
      </c>
      <c r="J656" s="200" t="s">
        <v>382</v>
      </c>
      <c r="K656" s="10"/>
      <c r="L656" s="200" t="s">
        <v>5481</v>
      </c>
      <c r="M656" s="10"/>
      <c r="N656" s="10"/>
      <c r="O656" s="200">
        <v>2802.06</v>
      </c>
      <c r="P656" s="10"/>
      <c r="Q656" s="234" t="b">
        <v>1</v>
      </c>
      <c r="R656" s="10"/>
    </row>
    <row r="657">
      <c r="A657" s="10" t="s">
        <v>3516</v>
      </c>
      <c r="B657" s="10" t="s">
        <v>65</v>
      </c>
      <c r="C657" s="11">
        <v>46099.0</v>
      </c>
      <c r="D657" s="10" t="s">
        <v>2067</v>
      </c>
      <c r="E657" s="10" t="s">
        <v>5482</v>
      </c>
      <c r="F657" s="10"/>
      <c r="G657" s="200" t="s">
        <v>5483</v>
      </c>
      <c r="H657" s="10" t="s">
        <v>287</v>
      </c>
      <c r="I657" s="14" t="b">
        <v>1</v>
      </c>
      <c r="J657" s="200" t="s">
        <v>382</v>
      </c>
      <c r="K657" s="10"/>
      <c r="L657" s="10"/>
      <c r="M657" s="10"/>
      <c r="N657" s="10"/>
      <c r="O657" s="200">
        <v>215.0</v>
      </c>
      <c r="P657" s="17">
        <v>2069079.0</v>
      </c>
      <c r="Q657" s="234" t="b">
        <v>1</v>
      </c>
      <c r="R657" s="10"/>
    </row>
    <row r="658">
      <c r="A658" s="10" t="s">
        <v>3520</v>
      </c>
      <c r="B658" s="10" t="s">
        <v>65</v>
      </c>
      <c r="C658" s="11">
        <v>46099.0</v>
      </c>
      <c r="D658" s="17">
        <v>8.627274E7</v>
      </c>
      <c r="E658" s="10" t="s">
        <v>5484</v>
      </c>
      <c r="F658" s="10"/>
      <c r="G658" s="200" t="s">
        <v>5485</v>
      </c>
      <c r="H658" s="10" t="s">
        <v>195</v>
      </c>
      <c r="I658" s="14" t="b">
        <v>1</v>
      </c>
      <c r="J658" s="200" t="s">
        <v>382</v>
      </c>
      <c r="K658" s="10"/>
      <c r="L658" s="10"/>
      <c r="M658" s="10"/>
      <c r="N658" s="10"/>
      <c r="O658" s="200">
        <v>77.08</v>
      </c>
      <c r="P658" s="17">
        <v>2069082.0</v>
      </c>
      <c r="Q658" s="234" t="b">
        <v>1</v>
      </c>
      <c r="R658" s="10"/>
    </row>
    <row r="659">
      <c r="A659" s="10" t="s">
        <v>3533</v>
      </c>
      <c r="B659" s="10" t="s">
        <v>65</v>
      </c>
      <c r="C659" s="11">
        <v>46099.0</v>
      </c>
      <c r="D659" s="10" t="s">
        <v>189</v>
      </c>
      <c r="E659" s="10" t="s">
        <v>5486</v>
      </c>
      <c r="F659" s="10"/>
      <c r="G659" s="200" t="s">
        <v>5487</v>
      </c>
      <c r="H659" s="10" t="s">
        <v>195</v>
      </c>
      <c r="I659" s="14" t="b">
        <v>0</v>
      </c>
      <c r="J659" s="200" t="s">
        <v>382</v>
      </c>
      <c r="K659" s="10"/>
      <c r="L659" s="10"/>
      <c r="M659" s="10"/>
      <c r="N659" s="10"/>
      <c r="O659" s="200">
        <v>294.13</v>
      </c>
      <c r="P659" s="10"/>
      <c r="Q659" s="234" t="b">
        <v>1</v>
      </c>
      <c r="R659" s="10"/>
    </row>
    <row r="660">
      <c r="A660" s="10" t="s">
        <v>3537</v>
      </c>
      <c r="B660" s="10" t="s">
        <v>65</v>
      </c>
      <c r="C660" s="11">
        <v>46099.0</v>
      </c>
      <c r="D660" s="10" t="s">
        <v>1888</v>
      </c>
      <c r="E660" s="10" t="s">
        <v>5489</v>
      </c>
      <c r="F660" s="10"/>
      <c r="G660" s="200" t="s">
        <v>5490</v>
      </c>
      <c r="H660" s="10" t="s">
        <v>149</v>
      </c>
      <c r="I660" s="14" t="b">
        <v>0</v>
      </c>
      <c r="J660" s="200" t="s">
        <v>382</v>
      </c>
      <c r="K660" s="10"/>
      <c r="L660" s="200" t="s">
        <v>5491</v>
      </c>
      <c r="M660" s="10"/>
      <c r="N660" s="10"/>
      <c r="O660" s="200">
        <v>505.08</v>
      </c>
      <c r="P660" s="10"/>
      <c r="Q660" s="234" t="b">
        <v>1</v>
      </c>
      <c r="R660" s="10"/>
    </row>
    <row r="661">
      <c r="A661" s="10" t="s">
        <v>3548</v>
      </c>
      <c r="B661" s="10" t="s">
        <v>65</v>
      </c>
      <c r="C661" s="11">
        <v>46100.0</v>
      </c>
      <c r="D661" s="10" t="s">
        <v>1888</v>
      </c>
      <c r="E661" s="10" t="s">
        <v>5492</v>
      </c>
      <c r="F661" s="10"/>
      <c r="G661" s="200" t="s">
        <v>5493</v>
      </c>
      <c r="H661" s="10" t="s">
        <v>149</v>
      </c>
      <c r="I661" s="14" t="b">
        <v>0</v>
      </c>
      <c r="J661" s="200" t="s">
        <v>382</v>
      </c>
      <c r="K661" s="10"/>
      <c r="L661" s="10"/>
      <c r="M661" s="10"/>
      <c r="N661" s="10"/>
      <c r="O661" s="200">
        <v>294.42</v>
      </c>
      <c r="P661" s="10"/>
      <c r="Q661" s="234" t="b">
        <v>1</v>
      </c>
      <c r="R661" s="10"/>
    </row>
    <row r="662">
      <c r="A662" s="10" t="s">
        <v>4748</v>
      </c>
      <c r="B662" s="10" t="s">
        <v>65</v>
      </c>
      <c r="C662" s="11">
        <v>46100.0</v>
      </c>
      <c r="D662" s="10" t="s">
        <v>246</v>
      </c>
      <c r="E662" s="10" t="s">
        <v>5494</v>
      </c>
      <c r="F662" s="10"/>
      <c r="G662" s="200" t="s">
        <v>5495</v>
      </c>
      <c r="H662" s="10" t="s">
        <v>250</v>
      </c>
      <c r="I662" s="14" t="b">
        <v>0</v>
      </c>
      <c r="J662" s="200" t="s">
        <v>382</v>
      </c>
      <c r="K662" s="10"/>
      <c r="L662" s="10"/>
      <c r="M662" s="10"/>
      <c r="N662" s="10"/>
      <c r="O662" s="200">
        <v>594.38</v>
      </c>
      <c r="P662" s="10"/>
      <c r="Q662" s="234" t="b">
        <v>1</v>
      </c>
      <c r="R662" s="10"/>
      <c r="S662" s="16">
        <v>12.12</v>
      </c>
    </row>
    <row r="663">
      <c r="A663" s="10" t="s">
        <v>3565</v>
      </c>
      <c r="B663" s="10" t="s">
        <v>65</v>
      </c>
      <c r="C663" s="11">
        <v>46100.0</v>
      </c>
      <c r="D663" s="10" t="s">
        <v>5080</v>
      </c>
      <c r="E663" s="10" t="s">
        <v>5497</v>
      </c>
      <c r="F663" s="10"/>
      <c r="G663" s="200" t="s">
        <v>5498</v>
      </c>
      <c r="H663" s="10" t="s">
        <v>5499</v>
      </c>
      <c r="I663" s="14" t="b">
        <v>0</v>
      </c>
      <c r="J663" s="200" t="s">
        <v>382</v>
      </c>
      <c r="K663" s="10"/>
      <c r="L663" s="200" t="s">
        <v>5500</v>
      </c>
      <c r="M663" s="10"/>
      <c r="N663" s="10"/>
      <c r="O663" s="200">
        <v>1910.45</v>
      </c>
      <c r="P663" s="10"/>
      <c r="Q663" s="234" t="b">
        <v>1</v>
      </c>
      <c r="R663" s="10"/>
    </row>
    <row r="664">
      <c r="A664" s="10" t="s">
        <v>3572</v>
      </c>
      <c r="B664" s="10" t="s">
        <v>65</v>
      </c>
      <c r="C664" s="11">
        <v>46100.0</v>
      </c>
      <c r="D664" s="10" t="s">
        <v>983</v>
      </c>
      <c r="E664" s="10" t="s">
        <v>5501</v>
      </c>
      <c r="F664" s="10"/>
      <c r="G664" s="200" t="s">
        <v>5502</v>
      </c>
      <c r="H664" s="10" t="s">
        <v>287</v>
      </c>
      <c r="I664" s="14" t="b">
        <v>1</v>
      </c>
      <c r="J664" s="200" t="s">
        <v>382</v>
      </c>
      <c r="K664" s="10"/>
      <c r="L664" s="10"/>
      <c r="M664" s="10"/>
      <c r="N664" s="10"/>
      <c r="O664" s="200">
        <v>25.8</v>
      </c>
      <c r="P664" s="17">
        <v>2071371.0</v>
      </c>
      <c r="Q664" s="234" t="b">
        <v>1</v>
      </c>
      <c r="R664" s="10"/>
    </row>
    <row r="665">
      <c r="A665" s="10" t="s">
        <v>3500</v>
      </c>
      <c r="B665" s="10" t="s">
        <v>65</v>
      </c>
      <c r="C665" s="11">
        <v>46098.0</v>
      </c>
      <c r="D665" s="10" t="s">
        <v>131</v>
      </c>
      <c r="E665" s="10" t="s">
        <v>5503</v>
      </c>
      <c r="F665" s="10"/>
      <c r="G665" s="200" t="s">
        <v>5504</v>
      </c>
      <c r="H665" s="10" t="s">
        <v>171</v>
      </c>
      <c r="I665" s="14" t="b">
        <v>0</v>
      </c>
      <c r="J665" s="200" t="s">
        <v>382</v>
      </c>
      <c r="K665" s="10"/>
      <c r="L665" s="200" t="s">
        <v>5505</v>
      </c>
      <c r="M665" s="10"/>
      <c r="N665" s="10"/>
      <c r="O665" s="200">
        <v>20292.6</v>
      </c>
      <c r="P665" s="10"/>
      <c r="Q665" s="234" t="b">
        <v>1</v>
      </c>
      <c r="R665" s="10"/>
    </row>
    <row r="666">
      <c r="A666" s="10" t="s">
        <v>3577</v>
      </c>
      <c r="B666" s="10" t="s">
        <v>65</v>
      </c>
      <c r="C666" s="11">
        <v>46103.0</v>
      </c>
      <c r="D666" s="10" t="s">
        <v>3175</v>
      </c>
      <c r="E666" s="10" t="s">
        <v>5507</v>
      </c>
      <c r="F666" s="10"/>
      <c r="G666" s="200" t="s">
        <v>5508</v>
      </c>
      <c r="H666" s="10" t="s">
        <v>3593</v>
      </c>
      <c r="I666" s="14" t="b">
        <v>1</v>
      </c>
      <c r="J666" s="200" t="s">
        <v>382</v>
      </c>
      <c r="K666" s="10"/>
      <c r="L666" s="10"/>
      <c r="M666" s="10"/>
      <c r="N666" s="10"/>
      <c r="O666" s="200">
        <v>204.0</v>
      </c>
      <c r="P666" s="17">
        <v>2079038.0</v>
      </c>
      <c r="Q666" s="234" t="b">
        <v>1</v>
      </c>
      <c r="R666" s="10"/>
    </row>
    <row r="667">
      <c r="A667" s="10" t="s">
        <v>3580</v>
      </c>
      <c r="B667" s="10" t="s">
        <v>65</v>
      </c>
      <c r="C667" s="11">
        <v>46103.0</v>
      </c>
      <c r="D667" s="10" t="s">
        <v>5445</v>
      </c>
      <c r="E667" s="10" t="s">
        <v>5509</v>
      </c>
      <c r="F667" s="10"/>
      <c r="G667" s="200" t="s">
        <v>5510</v>
      </c>
      <c r="H667" s="10" t="s">
        <v>5448</v>
      </c>
      <c r="I667" s="14" t="b">
        <v>1</v>
      </c>
      <c r="J667" s="200" t="s">
        <v>382</v>
      </c>
      <c r="K667" s="10"/>
      <c r="L667" s="10"/>
      <c r="M667" s="10"/>
      <c r="N667" s="10"/>
      <c r="O667" s="200">
        <v>53.0</v>
      </c>
      <c r="P667" s="17">
        <v>2079181.0</v>
      </c>
      <c r="Q667" s="234" t="b">
        <v>1</v>
      </c>
      <c r="R667" s="10"/>
    </row>
    <row r="668">
      <c r="A668" s="10" t="s">
        <v>3584</v>
      </c>
      <c r="B668" s="10" t="s">
        <v>65</v>
      </c>
      <c r="C668" s="11">
        <v>46103.0</v>
      </c>
      <c r="D668" s="10" t="s">
        <v>5445</v>
      </c>
      <c r="E668" s="10" t="s">
        <v>5509</v>
      </c>
      <c r="F668" s="10"/>
      <c r="G668" s="200" t="s">
        <v>5511</v>
      </c>
      <c r="H668" s="10" t="s">
        <v>5448</v>
      </c>
      <c r="I668" s="14" t="b">
        <v>1</v>
      </c>
      <c r="J668" s="200" t="s">
        <v>382</v>
      </c>
      <c r="K668" s="10"/>
      <c r="L668" s="10"/>
      <c r="M668" s="10"/>
      <c r="N668" s="10"/>
      <c r="O668" s="200">
        <v>221.0</v>
      </c>
      <c r="P668" s="17">
        <v>2079076.0</v>
      </c>
      <c r="Q668" s="234" t="b">
        <v>1</v>
      </c>
      <c r="R668" s="10"/>
    </row>
    <row r="669">
      <c r="A669" s="10" t="s">
        <v>3606</v>
      </c>
      <c r="B669" s="10" t="s">
        <v>65</v>
      </c>
      <c r="C669" s="11">
        <v>46104.0</v>
      </c>
      <c r="D669" s="10" t="s">
        <v>215</v>
      </c>
      <c r="E669" s="10" t="s">
        <v>5513</v>
      </c>
      <c r="F669" s="10"/>
      <c r="G669" s="200" t="s">
        <v>5516</v>
      </c>
      <c r="H669" s="10" t="s">
        <v>965</v>
      </c>
      <c r="I669" s="14" t="b">
        <v>1</v>
      </c>
      <c r="J669" s="200" t="s">
        <v>382</v>
      </c>
      <c r="K669" s="10"/>
      <c r="L669" s="10"/>
      <c r="M669" s="10"/>
      <c r="N669" s="10"/>
      <c r="O669" s="200">
        <v>159.9</v>
      </c>
      <c r="P669" s="17">
        <v>2079855.0</v>
      </c>
      <c r="Q669" s="234" t="b">
        <v>1</v>
      </c>
      <c r="R669" s="10"/>
    </row>
    <row r="670">
      <c r="A670" s="10" t="s">
        <v>3621</v>
      </c>
      <c r="B670" s="10" t="s">
        <v>65</v>
      </c>
      <c r="C670" s="11">
        <v>46104.0</v>
      </c>
      <c r="D670" s="10" t="s">
        <v>215</v>
      </c>
      <c r="E670" s="10" t="s">
        <v>5513</v>
      </c>
      <c r="F670" s="10"/>
      <c r="G670" s="200" t="s">
        <v>5518</v>
      </c>
      <c r="H670" s="10" t="s">
        <v>965</v>
      </c>
      <c r="I670" s="14" t="b">
        <v>1</v>
      </c>
      <c r="J670" s="200" t="s">
        <v>382</v>
      </c>
      <c r="K670" s="10"/>
      <c r="L670" s="10"/>
      <c r="M670" s="10"/>
      <c r="N670" s="10"/>
      <c r="O670" s="200">
        <v>30.4</v>
      </c>
      <c r="P670" s="17">
        <v>2079854.0</v>
      </c>
      <c r="Q670" s="234" t="b">
        <v>1</v>
      </c>
      <c r="R670" s="10"/>
    </row>
    <row r="671">
      <c r="A671" s="10" t="s">
        <v>3586</v>
      </c>
      <c r="B671" s="10" t="s">
        <v>65</v>
      </c>
      <c r="C671" s="11">
        <v>46103.0</v>
      </c>
      <c r="D671" s="10" t="s">
        <v>2736</v>
      </c>
      <c r="E671" s="10" t="s">
        <v>5519</v>
      </c>
      <c r="F671" s="10"/>
      <c r="G671" s="200" t="s">
        <v>5520</v>
      </c>
      <c r="H671" s="10" t="s">
        <v>114</v>
      </c>
      <c r="I671" s="14" t="b">
        <v>0</v>
      </c>
      <c r="J671" s="200" t="s">
        <v>382</v>
      </c>
      <c r="K671" s="10"/>
      <c r="L671" s="10"/>
      <c r="M671" s="10"/>
      <c r="N671" s="10"/>
      <c r="O671" s="200">
        <v>262.35</v>
      </c>
      <c r="P671" s="10"/>
      <c r="Q671" s="234" t="b">
        <v>1</v>
      </c>
      <c r="R671" s="10"/>
    </row>
    <row r="672">
      <c r="A672" s="10" t="s">
        <v>3628</v>
      </c>
      <c r="B672" s="10" t="s">
        <v>65</v>
      </c>
      <c r="C672" s="11">
        <v>46104.0</v>
      </c>
      <c r="D672" s="10" t="s">
        <v>163</v>
      </c>
      <c r="E672" s="10" t="s">
        <v>5521</v>
      </c>
      <c r="F672" s="10"/>
      <c r="G672" s="200" t="s">
        <v>5522</v>
      </c>
      <c r="H672" s="10" t="s">
        <v>157</v>
      </c>
      <c r="I672" s="14" t="b">
        <v>1</v>
      </c>
      <c r="J672" s="200" t="s">
        <v>382</v>
      </c>
      <c r="K672" s="10"/>
      <c r="L672" s="10"/>
      <c r="M672" s="10"/>
      <c r="N672" s="10"/>
      <c r="O672" s="200">
        <v>11.98</v>
      </c>
      <c r="P672" s="17">
        <v>2081225.0</v>
      </c>
      <c r="Q672" s="234" t="b">
        <v>1</v>
      </c>
      <c r="R672" s="10"/>
    </row>
    <row r="673">
      <c r="A673" s="10" t="s">
        <v>3630</v>
      </c>
      <c r="B673" s="10" t="s">
        <v>65</v>
      </c>
      <c r="C673" s="11">
        <v>46104.0</v>
      </c>
      <c r="D673" s="10" t="s">
        <v>246</v>
      </c>
      <c r="E673" s="10" t="s">
        <v>5524</v>
      </c>
      <c r="F673" s="10"/>
      <c r="G673" s="200" t="s">
        <v>5525</v>
      </c>
      <c r="H673" s="10" t="s">
        <v>250</v>
      </c>
      <c r="I673" s="14" t="b">
        <v>0</v>
      </c>
      <c r="J673" s="200" t="s">
        <v>382</v>
      </c>
      <c r="K673" s="10"/>
      <c r="L673" s="10"/>
      <c r="M673" s="10"/>
      <c r="N673" s="10"/>
      <c r="O673" s="200">
        <v>223.35</v>
      </c>
      <c r="P673" s="10"/>
      <c r="Q673" s="234" t="b">
        <v>1</v>
      </c>
      <c r="R673" s="10"/>
      <c r="S673" s="16">
        <v>4.55</v>
      </c>
    </row>
    <row r="674">
      <c r="A674" s="10" t="s">
        <v>3511</v>
      </c>
      <c r="B674" s="10" t="s">
        <v>65</v>
      </c>
      <c r="C674" s="11">
        <v>46098.0</v>
      </c>
      <c r="D674" s="10" t="s">
        <v>131</v>
      </c>
      <c r="E674" s="10" t="s">
        <v>5526</v>
      </c>
      <c r="F674" s="10"/>
      <c r="G674" s="200" t="s">
        <v>5527</v>
      </c>
      <c r="H674" s="10" t="s">
        <v>136</v>
      </c>
      <c r="I674" s="14" t="b">
        <v>0</v>
      </c>
      <c r="J674" s="200" t="s">
        <v>382</v>
      </c>
      <c r="K674" s="10"/>
      <c r="L674" s="200" t="s">
        <v>5528</v>
      </c>
      <c r="M674" s="10"/>
      <c r="N674" s="10"/>
      <c r="O674" s="200">
        <v>12223.8</v>
      </c>
      <c r="P674" s="10"/>
      <c r="Q674" s="234" t="b">
        <v>1</v>
      </c>
      <c r="R674" s="10"/>
    </row>
    <row r="675">
      <c r="A675" s="10" t="s">
        <v>3658</v>
      </c>
      <c r="B675" s="10" t="s">
        <v>65</v>
      </c>
      <c r="C675" s="11">
        <v>46108.0</v>
      </c>
      <c r="D675" s="10" t="s">
        <v>983</v>
      </c>
      <c r="E675" s="10" t="s">
        <v>5529</v>
      </c>
      <c r="F675" s="10"/>
      <c r="G675" s="200" t="s">
        <v>5530</v>
      </c>
      <c r="H675" s="10" t="s">
        <v>1185</v>
      </c>
      <c r="I675" s="14" t="b">
        <v>1</v>
      </c>
      <c r="J675" s="200" t="s">
        <v>382</v>
      </c>
      <c r="K675" s="10"/>
      <c r="L675" s="10"/>
      <c r="M675" s="10"/>
      <c r="N675" s="10"/>
      <c r="O675" s="200">
        <v>6.0</v>
      </c>
      <c r="P675" s="17">
        <v>2087058.0</v>
      </c>
      <c r="Q675" s="234" t="b">
        <v>1</v>
      </c>
      <c r="R675" s="10"/>
    </row>
    <row r="676">
      <c r="A676" s="10" t="s">
        <v>3664</v>
      </c>
      <c r="B676" s="10" t="s">
        <v>65</v>
      </c>
      <c r="C676" s="11">
        <v>46108.0</v>
      </c>
      <c r="D676" s="10" t="s">
        <v>434</v>
      </c>
      <c r="E676" s="10" t="s">
        <v>5532</v>
      </c>
      <c r="F676" s="10"/>
      <c r="G676" s="200" t="s">
        <v>5533</v>
      </c>
      <c r="H676" s="10" t="s">
        <v>5043</v>
      </c>
      <c r="I676" s="14" t="b">
        <v>1</v>
      </c>
      <c r="J676" s="200" t="s">
        <v>382</v>
      </c>
      <c r="K676" s="10"/>
      <c r="L676" s="10"/>
      <c r="M676" s="10"/>
      <c r="N676" s="10"/>
      <c r="O676" s="200">
        <v>40.46</v>
      </c>
      <c r="P676" s="17">
        <v>2088043.0</v>
      </c>
      <c r="Q676" s="234" t="b">
        <v>1</v>
      </c>
      <c r="R676" s="10"/>
    </row>
    <row r="677">
      <c r="A677" s="10" t="s">
        <v>3669</v>
      </c>
      <c r="B677" s="10" t="s">
        <v>65</v>
      </c>
      <c r="C677" s="11">
        <v>46108.0</v>
      </c>
      <c r="D677" s="10" t="s">
        <v>163</v>
      </c>
      <c r="E677" s="10" t="s">
        <v>5536</v>
      </c>
      <c r="F677" s="10"/>
      <c r="G677" s="200" t="s">
        <v>5537</v>
      </c>
      <c r="H677" s="10" t="s">
        <v>5538</v>
      </c>
      <c r="I677" s="14" t="b">
        <v>1</v>
      </c>
      <c r="J677" s="200" t="s">
        <v>382</v>
      </c>
      <c r="K677" s="10"/>
      <c r="L677" s="10"/>
      <c r="M677" s="10"/>
      <c r="N677" s="10"/>
      <c r="O677" s="200">
        <v>66.12</v>
      </c>
      <c r="P677" s="17">
        <v>2088039.0</v>
      </c>
      <c r="Q677" s="234" t="b">
        <v>1</v>
      </c>
      <c r="R677" s="10"/>
    </row>
    <row r="678">
      <c r="A678" s="10" t="s">
        <v>3678</v>
      </c>
      <c r="B678" s="10" t="s">
        <v>65</v>
      </c>
      <c r="C678" s="11">
        <v>46108.0</v>
      </c>
      <c r="D678" s="10" t="s">
        <v>1888</v>
      </c>
      <c r="E678" s="10" t="s">
        <v>5539</v>
      </c>
      <c r="F678" s="10"/>
      <c r="G678" s="200" t="s">
        <v>5540</v>
      </c>
      <c r="H678" s="10" t="s">
        <v>149</v>
      </c>
      <c r="I678" s="14" t="b">
        <v>0</v>
      </c>
      <c r="J678" s="200" t="s">
        <v>382</v>
      </c>
      <c r="K678" s="10"/>
      <c r="L678" s="10"/>
      <c r="M678" s="10"/>
      <c r="N678" s="10"/>
      <c r="O678" s="200">
        <v>230.88</v>
      </c>
      <c r="P678" s="10"/>
      <c r="Q678" s="234" t="b">
        <v>1</v>
      </c>
      <c r="R678" s="10"/>
    </row>
    <row r="679">
      <c r="A679" s="10" t="s">
        <v>3686</v>
      </c>
      <c r="B679" s="10" t="s">
        <v>65</v>
      </c>
      <c r="C679" s="11">
        <v>46108.0</v>
      </c>
      <c r="D679" s="10" t="s">
        <v>1888</v>
      </c>
      <c r="E679" s="10" t="s">
        <v>5539</v>
      </c>
      <c r="F679" s="10"/>
      <c r="G679" s="200" t="s">
        <v>5541</v>
      </c>
      <c r="H679" s="10" t="s">
        <v>149</v>
      </c>
      <c r="I679" s="14" t="b">
        <v>0</v>
      </c>
      <c r="J679" s="200" t="s">
        <v>382</v>
      </c>
      <c r="K679" s="10"/>
      <c r="L679" s="10"/>
      <c r="M679" s="10"/>
      <c r="N679" s="10"/>
      <c r="O679" s="200">
        <v>207.36</v>
      </c>
      <c r="P679" s="10"/>
      <c r="Q679" s="234" t="b">
        <v>1</v>
      </c>
      <c r="R679" s="10"/>
    </row>
    <row r="680">
      <c r="A680" s="10" t="s">
        <v>3641</v>
      </c>
      <c r="B680" s="10" t="s">
        <v>65</v>
      </c>
      <c r="C680" s="11">
        <v>46107.0</v>
      </c>
      <c r="D680" s="10" t="s">
        <v>163</v>
      </c>
      <c r="E680" s="10" t="s">
        <v>5543</v>
      </c>
      <c r="F680" s="10"/>
      <c r="G680" s="200" t="s">
        <v>5544</v>
      </c>
      <c r="H680" s="10" t="s">
        <v>1010</v>
      </c>
      <c r="I680" s="14" t="b">
        <v>1</v>
      </c>
      <c r="J680" s="200" t="s">
        <v>382</v>
      </c>
      <c r="K680" s="10"/>
      <c r="L680" s="10"/>
      <c r="M680" s="10"/>
      <c r="N680" s="10"/>
      <c r="O680" s="200">
        <v>83.87</v>
      </c>
      <c r="P680" s="17">
        <v>2086937.0</v>
      </c>
      <c r="Q680" s="234" t="b">
        <v>1</v>
      </c>
      <c r="R680" s="10"/>
    </row>
    <row r="681">
      <c r="A681" s="10" t="s">
        <v>3689</v>
      </c>
      <c r="B681" s="10" t="s">
        <v>65</v>
      </c>
      <c r="C681" s="11">
        <v>46109.0</v>
      </c>
      <c r="D681" s="17">
        <v>8.627274E7</v>
      </c>
      <c r="E681" s="10" t="s">
        <v>5547</v>
      </c>
      <c r="F681" s="10"/>
      <c r="G681" s="200" t="s">
        <v>5548</v>
      </c>
      <c r="H681" s="10" t="s">
        <v>195</v>
      </c>
      <c r="I681" s="14" t="b">
        <v>1</v>
      </c>
      <c r="J681" s="200" t="s">
        <v>382</v>
      </c>
      <c r="K681" s="10"/>
      <c r="L681" s="10"/>
      <c r="M681" s="10"/>
      <c r="N681" s="10"/>
      <c r="O681" s="200">
        <v>159.16</v>
      </c>
      <c r="P681" s="17">
        <v>2091809.0</v>
      </c>
      <c r="Q681" s="234" t="b">
        <v>1</v>
      </c>
      <c r="R681" s="10"/>
    </row>
    <row r="682">
      <c r="A682" s="10" t="s">
        <v>3695</v>
      </c>
      <c r="B682" s="10" t="s">
        <v>65</v>
      </c>
      <c r="C682" s="11">
        <v>46109.0</v>
      </c>
      <c r="D682" s="17">
        <v>8.627274E7</v>
      </c>
      <c r="E682" s="10" t="s">
        <v>5547</v>
      </c>
      <c r="F682" s="10"/>
      <c r="G682" s="200" t="s">
        <v>5549</v>
      </c>
      <c r="H682" s="10" t="s">
        <v>195</v>
      </c>
      <c r="I682" s="14" t="b">
        <v>1</v>
      </c>
      <c r="J682" s="200" t="s">
        <v>382</v>
      </c>
      <c r="K682" s="10"/>
      <c r="L682" s="10"/>
      <c r="M682" s="10"/>
      <c r="N682" s="10"/>
      <c r="O682" s="200">
        <v>8.99</v>
      </c>
      <c r="P682" s="17">
        <v>2091812.0</v>
      </c>
      <c r="Q682" s="234" t="b">
        <v>1</v>
      </c>
      <c r="R682" s="10"/>
    </row>
    <row r="683">
      <c r="A683" s="10" t="s">
        <v>3697</v>
      </c>
      <c r="B683" s="10" t="s">
        <v>65</v>
      </c>
      <c r="C683" s="11">
        <v>46109.0</v>
      </c>
      <c r="D683" s="10" t="s">
        <v>163</v>
      </c>
      <c r="E683" s="10" t="s">
        <v>5551</v>
      </c>
      <c r="F683" s="10"/>
      <c r="G683" s="200" t="s">
        <v>5552</v>
      </c>
      <c r="H683" s="10" t="s">
        <v>195</v>
      </c>
      <c r="I683" s="14" t="b">
        <v>1</v>
      </c>
      <c r="J683" s="200" t="s">
        <v>382</v>
      </c>
      <c r="K683" s="10"/>
      <c r="L683" s="10"/>
      <c r="M683" s="10"/>
      <c r="N683" s="10"/>
      <c r="O683" s="200">
        <v>168.04</v>
      </c>
      <c r="P683" s="17">
        <v>2091806.0</v>
      </c>
      <c r="Q683" s="234" t="b">
        <v>1</v>
      </c>
      <c r="R683" s="10"/>
    </row>
    <row r="684">
      <c r="A684" s="10"/>
      <c r="B684" s="10"/>
      <c r="C684" s="11"/>
      <c r="D684" s="10"/>
      <c r="E684" s="10"/>
      <c r="F684" s="10"/>
      <c r="G684" s="10"/>
      <c r="H684" s="10"/>
      <c r="I684" s="14"/>
      <c r="J684" s="10"/>
      <c r="K684" s="10"/>
      <c r="L684" s="10"/>
      <c r="M684" s="10"/>
      <c r="N684" s="10"/>
      <c r="O684" s="10"/>
      <c r="P684" s="10"/>
      <c r="Q684" s="14"/>
      <c r="R684" s="10"/>
    </row>
    <row r="685">
      <c r="A685" s="10" t="s">
        <v>3707</v>
      </c>
      <c r="B685" s="10" t="s">
        <v>65</v>
      </c>
      <c r="C685" s="11">
        <v>46110.0</v>
      </c>
      <c r="D685" s="10" t="s">
        <v>3175</v>
      </c>
      <c r="E685" s="10" t="s">
        <v>5553</v>
      </c>
      <c r="F685" s="10"/>
      <c r="G685" s="200" t="s">
        <v>5554</v>
      </c>
      <c r="H685" s="10" t="s">
        <v>3593</v>
      </c>
      <c r="I685" s="14" t="b">
        <v>1</v>
      </c>
      <c r="J685" s="200" t="s">
        <v>382</v>
      </c>
      <c r="K685" s="10"/>
      <c r="L685" s="10"/>
      <c r="M685" s="10"/>
      <c r="N685" s="10"/>
      <c r="O685" s="200">
        <v>207.0</v>
      </c>
      <c r="P685" s="17">
        <v>2094932.0</v>
      </c>
      <c r="Q685" s="234" t="b">
        <v>1</v>
      </c>
      <c r="R685" s="10"/>
    </row>
    <row r="686">
      <c r="A686" s="10" t="s">
        <v>3709</v>
      </c>
      <c r="B686" s="10" t="s">
        <v>65</v>
      </c>
      <c r="C686" s="11">
        <v>46110.0</v>
      </c>
      <c r="D686" s="10" t="s">
        <v>5445</v>
      </c>
      <c r="E686" s="10" t="s">
        <v>5557</v>
      </c>
      <c r="F686" s="10"/>
      <c r="G686" s="200" t="s">
        <v>5558</v>
      </c>
      <c r="H686" s="10" t="s">
        <v>5559</v>
      </c>
      <c r="I686" s="14" t="b">
        <v>1</v>
      </c>
      <c r="J686" s="200" t="s">
        <v>382</v>
      </c>
      <c r="K686" s="10"/>
      <c r="L686" s="10"/>
      <c r="M686" s="10"/>
      <c r="N686" s="10"/>
      <c r="O686" s="200">
        <v>264.0</v>
      </c>
      <c r="P686" s="17">
        <v>2094942.0</v>
      </c>
      <c r="Q686" s="234" t="b">
        <v>1</v>
      </c>
      <c r="R686" s="10"/>
    </row>
    <row r="687">
      <c r="A687" s="10" t="s">
        <v>3712</v>
      </c>
      <c r="B687" s="10" t="s">
        <v>65</v>
      </c>
      <c r="C687" s="11">
        <v>46110.0</v>
      </c>
      <c r="D687" s="10" t="s">
        <v>5560</v>
      </c>
      <c r="E687" s="10" t="s">
        <v>5561</v>
      </c>
      <c r="F687" s="10"/>
      <c r="G687" s="200" t="s">
        <v>5562</v>
      </c>
      <c r="H687" s="10" t="s">
        <v>5563</v>
      </c>
      <c r="I687" s="14" t="b">
        <v>1</v>
      </c>
      <c r="J687" s="200" t="s">
        <v>382</v>
      </c>
      <c r="K687" s="10"/>
      <c r="L687" s="10"/>
      <c r="M687" s="10"/>
      <c r="N687" s="10"/>
      <c r="O687" s="200">
        <v>191.0</v>
      </c>
      <c r="P687" s="17">
        <v>2094939.0</v>
      </c>
      <c r="Q687" s="234" t="b">
        <v>1</v>
      </c>
      <c r="R687" s="10"/>
    </row>
    <row r="688">
      <c r="A688" s="10" t="s">
        <v>3705</v>
      </c>
      <c r="B688" s="10" t="s">
        <v>65</v>
      </c>
      <c r="C688" s="11">
        <v>46109.0</v>
      </c>
      <c r="D688" s="10" t="s">
        <v>751</v>
      </c>
      <c r="E688" s="10" t="s">
        <v>5565</v>
      </c>
      <c r="F688" s="10"/>
      <c r="G688" s="200" t="s">
        <v>5566</v>
      </c>
      <c r="H688" s="10" t="s">
        <v>481</v>
      </c>
      <c r="I688" s="14" t="b">
        <v>0</v>
      </c>
      <c r="J688" s="200" t="s">
        <v>382</v>
      </c>
      <c r="K688" s="10"/>
      <c r="L688" s="10"/>
      <c r="M688" s="10"/>
      <c r="N688" s="10"/>
      <c r="O688" s="200">
        <v>339.25</v>
      </c>
      <c r="P688" s="10"/>
      <c r="Q688" s="234" t="b">
        <v>1</v>
      </c>
      <c r="R688" s="10"/>
    </row>
    <row r="689">
      <c r="A689" s="10" t="s">
        <v>3638</v>
      </c>
      <c r="B689" s="10" t="s">
        <v>65</v>
      </c>
      <c r="C689" s="11">
        <v>46106.0</v>
      </c>
      <c r="D689" s="10" t="s">
        <v>751</v>
      </c>
      <c r="E689" s="10" t="s">
        <v>5567</v>
      </c>
      <c r="F689" s="10"/>
      <c r="G689" s="200" t="s">
        <v>5568</v>
      </c>
      <c r="H689" s="10" t="s">
        <v>481</v>
      </c>
      <c r="I689" s="14" t="b">
        <v>0</v>
      </c>
      <c r="J689" s="200" t="s">
        <v>382</v>
      </c>
      <c r="K689" s="10"/>
      <c r="L689" s="10"/>
      <c r="M689" s="10"/>
      <c r="N689" s="10"/>
      <c r="O689" s="200">
        <v>115.0</v>
      </c>
      <c r="P689" s="10"/>
      <c r="Q689" s="234" t="b">
        <v>1</v>
      </c>
      <c r="R689" s="10"/>
    </row>
    <row r="690">
      <c r="A690" s="10" t="s">
        <v>3574</v>
      </c>
      <c r="B690" s="10" t="s">
        <v>65</v>
      </c>
      <c r="C690" s="11">
        <v>46102.0</v>
      </c>
      <c r="D690" s="10" t="s">
        <v>751</v>
      </c>
      <c r="E690" s="10" t="s">
        <v>5569</v>
      </c>
      <c r="F690" s="10"/>
      <c r="G690" s="200" t="s">
        <v>5570</v>
      </c>
      <c r="H690" s="10" t="s">
        <v>481</v>
      </c>
      <c r="I690" s="14" t="b">
        <v>0</v>
      </c>
      <c r="J690" s="200" t="s">
        <v>382</v>
      </c>
      <c r="K690" s="10"/>
      <c r="L690" s="10"/>
      <c r="M690" s="10"/>
      <c r="N690" s="10"/>
      <c r="O690" s="200">
        <v>264.5</v>
      </c>
      <c r="P690" s="10"/>
      <c r="Q690" s="234" t="b">
        <v>1</v>
      </c>
      <c r="R690" s="10"/>
    </row>
    <row r="691">
      <c r="A691" s="10" t="s">
        <v>3715</v>
      </c>
      <c r="B691" s="10" t="s">
        <v>65</v>
      </c>
      <c r="C691" s="11">
        <v>46111.0</v>
      </c>
      <c r="D691" s="10" t="s">
        <v>163</v>
      </c>
      <c r="E691" s="10" t="s">
        <v>5572</v>
      </c>
      <c r="F691" s="10"/>
      <c r="G691" s="200" t="s">
        <v>5573</v>
      </c>
      <c r="H691" s="10" t="s">
        <v>1010</v>
      </c>
      <c r="I691" s="14" t="b">
        <v>1</v>
      </c>
      <c r="J691" s="200" t="s">
        <v>382</v>
      </c>
      <c r="K691" s="10"/>
      <c r="L691" s="10"/>
      <c r="M691" s="10"/>
      <c r="N691" s="10"/>
      <c r="O691" s="200">
        <v>160.01</v>
      </c>
      <c r="P691" s="17">
        <v>2097052.0</v>
      </c>
      <c r="Q691" s="234" t="b">
        <v>1</v>
      </c>
      <c r="R691" s="10"/>
    </row>
    <row r="692">
      <c r="A692" s="10" t="s">
        <v>3724</v>
      </c>
      <c r="B692" s="10" t="s">
        <v>65</v>
      </c>
      <c r="C692" s="11">
        <v>46111.0</v>
      </c>
      <c r="D692" s="17">
        <v>8.627274E7</v>
      </c>
      <c r="E692" s="10" t="s">
        <v>5576</v>
      </c>
      <c r="F692" s="10"/>
      <c r="G692" s="200" t="s">
        <v>5577</v>
      </c>
      <c r="H692" s="10" t="s">
        <v>1010</v>
      </c>
      <c r="I692" s="14" t="b">
        <v>1</v>
      </c>
      <c r="J692" s="200" t="s">
        <v>382</v>
      </c>
      <c r="K692" s="10"/>
      <c r="L692" s="10"/>
      <c r="M692" s="10"/>
      <c r="N692" s="10"/>
      <c r="O692" s="200">
        <v>255.65</v>
      </c>
      <c r="P692" s="17">
        <v>2097044.0</v>
      </c>
      <c r="Q692" s="234" t="b">
        <v>1</v>
      </c>
      <c r="R692" s="10"/>
    </row>
    <row r="693">
      <c r="A693" s="10" t="s">
        <v>3737</v>
      </c>
      <c r="B693" s="10" t="s">
        <v>65</v>
      </c>
      <c r="C693" s="11">
        <v>46111.0</v>
      </c>
      <c r="D693" s="10" t="s">
        <v>5560</v>
      </c>
      <c r="E693" s="10" t="s">
        <v>5578</v>
      </c>
      <c r="F693" s="10"/>
      <c r="G693" s="200" t="s">
        <v>5579</v>
      </c>
      <c r="H693" s="10" t="s">
        <v>5580</v>
      </c>
      <c r="I693" s="14" t="b">
        <v>1</v>
      </c>
      <c r="J693" s="200" t="s">
        <v>382</v>
      </c>
      <c r="K693" s="10"/>
      <c r="L693" s="10"/>
      <c r="M693" s="10"/>
      <c r="N693" s="10"/>
      <c r="O693" s="200">
        <v>106.0</v>
      </c>
      <c r="P693" s="17">
        <v>2096925.0</v>
      </c>
      <c r="Q693" s="234" t="b">
        <v>1</v>
      </c>
      <c r="R693" s="10"/>
    </row>
    <row r="694">
      <c r="A694" s="10" t="s">
        <v>3739</v>
      </c>
      <c r="B694" s="10" t="s">
        <v>65</v>
      </c>
      <c r="C694" s="11">
        <v>46111.0</v>
      </c>
      <c r="D694" s="10" t="s">
        <v>3175</v>
      </c>
      <c r="E694" s="10" t="s">
        <v>5582</v>
      </c>
      <c r="F694" s="10"/>
      <c r="G694" s="200" t="s">
        <v>5583</v>
      </c>
      <c r="H694" s="10" t="s">
        <v>5584</v>
      </c>
      <c r="I694" s="14" t="b">
        <v>1</v>
      </c>
      <c r="J694" s="200" t="s">
        <v>382</v>
      </c>
      <c r="K694" s="10"/>
      <c r="L694" s="10"/>
      <c r="M694" s="10"/>
      <c r="N694" s="10"/>
      <c r="O694" s="200">
        <v>106.0</v>
      </c>
      <c r="P694" s="17">
        <v>2097026.0</v>
      </c>
      <c r="Q694" s="234" t="b">
        <v>1</v>
      </c>
      <c r="R694" s="10"/>
    </row>
    <row r="695">
      <c r="A695" s="10" t="s">
        <v>3741</v>
      </c>
      <c r="B695" s="10" t="s">
        <v>65</v>
      </c>
      <c r="C695" s="11">
        <v>46111.0</v>
      </c>
      <c r="D695" s="10" t="s">
        <v>5445</v>
      </c>
      <c r="E695" s="10" t="s">
        <v>5588</v>
      </c>
      <c r="F695" s="10"/>
      <c r="G695" s="200" t="s">
        <v>5590</v>
      </c>
      <c r="H695" s="10" t="s">
        <v>5448</v>
      </c>
      <c r="I695" s="14" t="b">
        <v>1</v>
      </c>
      <c r="J695" s="200" t="s">
        <v>382</v>
      </c>
      <c r="K695" s="10"/>
      <c r="L695" s="10"/>
      <c r="M695" s="10"/>
      <c r="N695" s="10"/>
      <c r="O695" s="200">
        <v>108.0</v>
      </c>
      <c r="P695" s="17">
        <v>2097031.0</v>
      </c>
      <c r="Q695" s="234" t="b">
        <v>1</v>
      </c>
      <c r="R695" s="10"/>
    </row>
    <row r="696">
      <c r="A696" s="10" t="s">
        <v>3788</v>
      </c>
      <c r="B696" s="10" t="s">
        <v>65</v>
      </c>
      <c r="C696" s="11">
        <v>46114.0</v>
      </c>
      <c r="D696" s="10" t="s">
        <v>557</v>
      </c>
      <c r="E696" s="10" t="s">
        <v>5591</v>
      </c>
      <c r="F696" s="10"/>
      <c r="G696" s="200" t="s">
        <v>5592</v>
      </c>
      <c r="H696" s="10" t="s">
        <v>3160</v>
      </c>
      <c r="I696" s="14" t="b">
        <v>1</v>
      </c>
      <c r="J696" s="10" t="s">
        <v>382</v>
      </c>
      <c r="K696" s="10"/>
      <c r="L696" s="10"/>
      <c r="M696" s="10"/>
      <c r="N696" s="10"/>
      <c r="O696" s="200">
        <v>77.91</v>
      </c>
      <c r="P696" s="17">
        <v>2102115.0</v>
      </c>
      <c r="Q696" s="234" t="b">
        <v>1</v>
      </c>
      <c r="R696" s="10"/>
    </row>
    <row r="697">
      <c r="A697" s="10" t="s">
        <v>3800</v>
      </c>
      <c r="B697" s="10" t="s">
        <v>65</v>
      </c>
      <c r="C697" s="11">
        <v>46114.0</v>
      </c>
      <c r="D697" s="10" t="s">
        <v>557</v>
      </c>
      <c r="E697" s="10" t="s">
        <v>5594</v>
      </c>
      <c r="F697" s="10"/>
      <c r="G697" s="200" t="s">
        <v>5595</v>
      </c>
      <c r="H697" s="10" t="s">
        <v>5596</v>
      </c>
      <c r="I697" s="14" t="b">
        <v>1</v>
      </c>
      <c r="J697" s="200" t="s">
        <v>382</v>
      </c>
      <c r="K697" s="10"/>
      <c r="L697" s="10"/>
      <c r="M697" s="10"/>
      <c r="N697" s="10"/>
      <c r="O697" s="200">
        <v>19.95</v>
      </c>
      <c r="P697" s="17">
        <v>2102121.0</v>
      </c>
      <c r="Q697" s="234" t="b">
        <v>1</v>
      </c>
      <c r="R697" s="10"/>
    </row>
    <row r="698">
      <c r="A698" s="10" t="s">
        <v>3770</v>
      </c>
      <c r="B698" s="10" t="s">
        <v>65</v>
      </c>
      <c r="C698" s="11">
        <v>46113.0</v>
      </c>
      <c r="D698" s="10" t="s">
        <v>5599</v>
      </c>
      <c r="E698" s="10" t="s">
        <v>5600</v>
      </c>
      <c r="F698" s="10"/>
      <c r="G698" s="200" t="s">
        <v>5601</v>
      </c>
      <c r="H698" s="10" t="s">
        <v>157</v>
      </c>
      <c r="I698" s="14" t="b">
        <v>1</v>
      </c>
      <c r="J698" s="200" t="s">
        <v>382</v>
      </c>
      <c r="K698" s="10"/>
      <c r="L698" s="10"/>
      <c r="M698" s="10"/>
      <c r="N698" s="10"/>
      <c r="O698" s="200">
        <v>15.37</v>
      </c>
      <c r="P698" s="17">
        <v>2100903.0</v>
      </c>
      <c r="Q698" s="234" t="b">
        <v>1</v>
      </c>
      <c r="R698" s="10"/>
    </row>
    <row r="699">
      <c r="A699" s="10" t="s">
        <v>3744</v>
      </c>
      <c r="B699" s="10" t="s">
        <v>65</v>
      </c>
      <c r="C699" s="11">
        <v>46112.0</v>
      </c>
      <c r="D699" s="10" t="s">
        <v>5599</v>
      </c>
      <c r="E699" s="10" t="s">
        <v>5602</v>
      </c>
      <c r="F699" s="10"/>
      <c r="G699" s="200" t="s">
        <v>5603</v>
      </c>
      <c r="H699" s="10" t="s">
        <v>157</v>
      </c>
      <c r="I699" s="14" t="b">
        <v>1</v>
      </c>
      <c r="J699" s="200" t="s">
        <v>382</v>
      </c>
      <c r="K699" s="10"/>
      <c r="L699" s="10"/>
      <c r="M699" s="10"/>
      <c r="N699" s="10"/>
      <c r="O699" s="200">
        <v>3.8</v>
      </c>
      <c r="P699" s="17">
        <v>2098996.0</v>
      </c>
      <c r="Q699" s="234" t="b">
        <v>1</v>
      </c>
      <c r="R699" s="10"/>
    </row>
    <row r="700">
      <c r="A700" s="10" t="s">
        <v>3747</v>
      </c>
      <c r="B700" s="10" t="s">
        <v>65</v>
      </c>
      <c r="C700" s="11">
        <v>46112.0</v>
      </c>
      <c r="D700" s="10" t="s">
        <v>3175</v>
      </c>
      <c r="E700" s="10" t="s">
        <v>5604</v>
      </c>
      <c r="F700" s="10"/>
      <c r="G700" s="200" t="s">
        <v>5605</v>
      </c>
      <c r="H700" s="10" t="s">
        <v>3425</v>
      </c>
      <c r="I700" s="14" t="b">
        <v>1</v>
      </c>
      <c r="J700" s="200" t="s">
        <v>382</v>
      </c>
      <c r="K700" s="10"/>
      <c r="L700" s="10"/>
      <c r="M700" s="10"/>
      <c r="N700" s="10"/>
      <c r="O700" s="200">
        <v>49.0</v>
      </c>
      <c r="P700" s="17">
        <v>2099001.0</v>
      </c>
      <c r="Q700" s="234" t="b">
        <v>1</v>
      </c>
      <c r="R700" s="10"/>
    </row>
    <row r="701">
      <c r="A701" s="10" t="s">
        <v>3751</v>
      </c>
      <c r="B701" s="10" t="s">
        <v>65</v>
      </c>
      <c r="C701" s="11">
        <v>46112.0</v>
      </c>
      <c r="D701" s="10" t="s">
        <v>751</v>
      </c>
      <c r="E701" s="10" t="s">
        <v>5607</v>
      </c>
      <c r="F701" s="10"/>
      <c r="G701" s="200" t="s">
        <v>5608</v>
      </c>
      <c r="H701" s="10" t="s">
        <v>481</v>
      </c>
      <c r="I701" s="14" t="b">
        <v>0</v>
      </c>
      <c r="J701" s="200" t="s">
        <v>382</v>
      </c>
      <c r="K701" s="10"/>
      <c r="L701" s="10"/>
      <c r="M701" s="10"/>
      <c r="N701" s="10"/>
      <c r="O701" s="200">
        <v>178.25</v>
      </c>
      <c r="P701" s="10"/>
      <c r="Q701" s="234" t="b">
        <v>1</v>
      </c>
      <c r="R701" s="10"/>
    </row>
    <row r="702">
      <c r="A702" s="10" t="s">
        <v>3773</v>
      </c>
      <c r="B702" s="10" t="s">
        <v>65</v>
      </c>
      <c r="C702" s="11">
        <v>46113.0</v>
      </c>
      <c r="D702" s="10" t="s">
        <v>775</v>
      </c>
      <c r="E702" s="10" t="s">
        <v>5611</v>
      </c>
      <c r="F702" s="10"/>
      <c r="G702" s="200" t="s">
        <v>5612</v>
      </c>
      <c r="H702" s="10" t="s">
        <v>5613</v>
      </c>
      <c r="I702" s="14" t="b">
        <v>0</v>
      </c>
      <c r="J702" s="200" t="s">
        <v>382</v>
      </c>
      <c r="K702" s="10"/>
      <c r="L702" s="10"/>
      <c r="M702" s="10"/>
      <c r="N702" s="10"/>
      <c r="O702" s="200">
        <v>410.22</v>
      </c>
      <c r="P702" s="10"/>
      <c r="Q702" s="234" t="b">
        <v>1</v>
      </c>
      <c r="R702" s="10"/>
    </row>
    <row r="703">
      <c r="A703" s="10" t="s">
        <v>3777</v>
      </c>
      <c r="B703" s="10" t="s">
        <v>65</v>
      </c>
      <c r="C703" s="11">
        <v>46113.0</v>
      </c>
      <c r="D703" s="10" t="s">
        <v>1888</v>
      </c>
      <c r="E703" s="10" t="s">
        <v>5614</v>
      </c>
      <c r="F703" s="10"/>
      <c r="G703" s="200" t="s">
        <v>5615</v>
      </c>
      <c r="H703" s="10" t="s">
        <v>149</v>
      </c>
      <c r="I703" s="14" t="b">
        <v>0</v>
      </c>
      <c r="J703" s="200" t="s">
        <v>382</v>
      </c>
      <c r="K703" s="10"/>
      <c r="L703" s="10"/>
      <c r="M703" s="10"/>
      <c r="N703" s="10"/>
      <c r="O703" s="200">
        <v>392.4</v>
      </c>
      <c r="P703" s="10"/>
      <c r="Q703" s="234" t="b">
        <v>1</v>
      </c>
      <c r="R703" s="10"/>
    </row>
    <row r="704">
      <c r="A704" s="10" t="s">
        <v>3754</v>
      </c>
      <c r="B704" s="10" t="s">
        <v>65</v>
      </c>
      <c r="C704" s="11">
        <v>46112.0</v>
      </c>
      <c r="D704" s="10" t="s">
        <v>131</v>
      </c>
      <c r="E704" s="10" t="s">
        <v>5618</v>
      </c>
      <c r="F704" s="10"/>
      <c r="G704" s="200" t="s">
        <v>5619</v>
      </c>
      <c r="H704" s="10" t="s">
        <v>5620</v>
      </c>
      <c r="I704" s="14" t="b">
        <v>0</v>
      </c>
      <c r="J704" s="200" t="s">
        <v>382</v>
      </c>
      <c r="K704" s="10"/>
      <c r="L704" s="10"/>
      <c r="M704" s="10"/>
      <c r="N704" s="10"/>
      <c r="O704" s="200">
        <v>1225.09</v>
      </c>
      <c r="P704" s="10"/>
      <c r="Q704" s="234" t="b">
        <v>1</v>
      </c>
      <c r="R704" s="10"/>
    </row>
    <row r="705">
      <c r="A705" s="10" t="s">
        <v>3781</v>
      </c>
      <c r="B705" s="10" t="s">
        <v>65</v>
      </c>
      <c r="C705" s="11">
        <v>46113.0</v>
      </c>
      <c r="D705" s="10" t="s">
        <v>5080</v>
      </c>
      <c r="E705" s="10" t="s">
        <v>5621</v>
      </c>
      <c r="F705" s="10"/>
      <c r="G705" s="200" t="s">
        <v>5622</v>
      </c>
      <c r="H705" s="10" t="s">
        <v>5623</v>
      </c>
      <c r="I705" s="14" t="b">
        <v>0</v>
      </c>
      <c r="J705" s="200" t="s">
        <v>382</v>
      </c>
      <c r="K705" s="10"/>
      <c r="L705" s="200" t="s">
        <v>5624</v>
      </c>
      <c r="M705" s="10"/>
      <c r="N705" s="10"/>
      <c r="O705" s="200">
        <v>2349.58</v>
      </c>
      <c r="P705" s="10"/>
      <c r="Q705" s="234" t="b">
        <v>1</v>
      </c>
      <c r="R705" s="10"/>
    </row>
    <row r="706">
      <c r="A706" s="10" t="s">
        <v>3758</v>
      </c>
      <c r="B706" s="10" t="s">
        <v>65</v>
      </c>
      <c r="C706" s="11">
        <v>46112.0</v>
      </c>
      <c r="D706" s="10" t="s">
        <v>131</v>
      </c>
      <c r="E706" s="10" t="s">
        <v>5626</v>
      </c>
      <c r="F706" s="10"/>
      <c r="G706" s="200" t="s">
        <v>5627</v>
      </c>
      <c r="H706" s="10" t="s">
        <v>171</v>
      </c>
      <c r="I706" s="14" t="b">
        <v>0</v>
      </c>
      <c r="J706" s="200" t="s">
        <v>382</v>
      </c>
      <c r="K706" s="10"/>
      <c r="L706" s="200" t="s">
        <v>5628</v>
      </c>
      <c r="M706" s="200" t="s">
        <v>5629</v>
      </c>
      <c r="N706" s="10"/>
      <c r="O706" s="200">
        <v>29502.71</v>
      </c>
      <c r="P706" s="10"/>
      <c r="Q706" s="234" t="b">
        <v>1</v>
      </c>
      <c r="R706" s="10"/>
    </row>
    <row r="707">
      <c r="A707" s="10" t="s">
        <v>3803</v>
      </c>
      <c r="B707" s="10" t="s">
        <v>65</v>
      </c>
      <c r="C707" s="11">
        <v>46114.0</v>
      </c>
      <c r="D707" s="17">
        <v>8.627274E7</v>
      </c>
      <c r="E707" s="10" t="s">
        <v>5630</v>
      </c>
      <c r="F707" s="10"/>
      <c r="G707" s="200" t="s">
        <v>5631</v>
      </c>
      <c r="H707" s="10" t="s">
        <v>529</v>
      </c>
      <c r="I707" s="14" t="b">
        <v>1</v>
      </c>
      <c r="J707" s="200" t="s">
        <v>382</v>
      </c>
      <c r="K707" s="10"/>
      <c r="L707" s="10"/>
      <c r="M707" s="10"/>
      <c r="N707" s="10"/>
      <c r="O707" s="200">
        <v>132.61</v>
      </c>
      <c r="P707" s="17">
        <v>2103654.0</v>
      </c>
      <c r="Q707" s="234" t="b">
        <v>1</v>
      </c>
      <c r="R707" s="10"/>
    </row>
    <row r="708">
      <c r="A708" s="10" t="s">
        <v>3829</v>
      </c>
      <c r="B708" s="10" t="s">
        <v>65</v>
      </c>
      <c r="C708" s="11">
        <v>46116.0</v>
      </c>
      <c r="D708" s="10" t="s">
        <v>751</v>
      </c>
      <c r="E708" s="10" t="s">
        <v>5632</v>
      </c>
      <c r="F708" s="10"/>
      <c r="G708" s="200" t="s">
        <v>5633</v>
      </c>
      <c r="H708" s="10" t="s">
        <v>481</v>
      </c>
      <c r="I708" s="14" t="b">
        <v>0</v>
      </c>
      <c r="J708" s="200" t="s">
        <v>382</v>
      </c>
      <c r="K708" s="10"/>
      <c r="L708" s="10"/>
      <c r="M708" s="10"/>
      <c r="N708" s="10"/>
      <c r="O708" s="200">
        <v>207.0</v>
      </c>
      <c r="P708" s="10"/>
      <c r="Q708" s="234" t="b">
        <v>1</v>
      </c>
      <c r="R708" s="10"/>
    </row>
    <row r="709">
      <c r="A709" s="10" t="s">
        <v>3849</v>
      </c>
      <c r="B709" s="10" t="s">
        <v>65</v>
      </c>
      <c r="C709" s="11">
        <v>46120.0</v>
      </c>
      <c r="D709" s="10" t="s">
        <v>557</v>
      </c>
      <c r="E709" s="10" t="s">
        <v>5634</v>
      </c>
      <c r="F709" s="10"/>
      <c r="G709" s="200" t="s">
        <v>5636</v>
      </c>
      <c r="H709" s="10" t="s">
        <v>5637</v>
      </c>
      <c r="I709" s="14" t="b">
        <v>1</v>
      </c>
      <c r="J709" s="200" t="s">
        <v>382</v>
      </c>
      <c r="K709" s="10"/>
      <c r="L709" s="10"/>
      <c r="M709" s="10"/>
      <c r="N709" s="10"/>
      <c r="O709" s="200">
        <v>79.99</v>
      </c>
      <c r="P709" s="17">
        <v>2114493.0</v>
      </c>
      <c r="Q709" s="234" t="b">
        <v>1</v>
      </c>
      <c r="R709" s="10"/>
    </row>
    <row r="710">
      <c r="A710" s="10" t="s">
        <v>3853</v>
      </c>
      <c r="B710" s="10" t="s">
        <v>65</v>
      </c>
      <c r="C710" s="11">
        <v>46120.0</v>
      </c>
      <c r="D710" s="10" t="s">
        <v>163</v>
      </c>
      <c r="E710" s="10" t="s">
        <v>5640</v>
      </c>
      <c r="F710" s="10"/>
      <c r="G710" s="200" t="s">
        <v>5641</v>
      </c>
      <c r="H710" s="10" t="s">
        <v>1010</v>
      </c>
      <c r="I710" s="14" t="b">
        <v>1</v>
      </c>
      <c r="J710" s="200" t="s">
        <v>382</v>
      </c>
      <c r="K710" s="10"/>
      <c r="L710" s="10"/>
      <c r="M710" s="10"/>
      <c r="N710" s="10"/>
      <c r="O710" s="200">
        <v>33.74</v>
      </c>
      <c r="P710" s="17">
        <v>2114496.0</v>
      </c>
      <c r="Q710" s="234" t="b">
        <v>1</v>
      </c>
      <c r="R710" s="10"/>
    </row>
    <row r="711">
      <c r="A711" s="10" t="s">
        <v>3916</v>
      </c>
      <c r="B711" s="10" t="s">
        <v>65</v>
      </c>
      <c r="C711" s="11">
        <v>46124.0</v>
      </c>
      <c r="D711" s="10" t="s">
        <v>5445</v>
      </c>
      <c r="E711" s="10" t="s">
        <v>5642</v>
      </c>
      <c r="F711" s="10"/>
      <c r="G711" s="200" t="s">
        <v>5643</v>
      </c>
      <c r="H711" s="10" t="s">
        <v>5448</v>
      </c>
      <c r="I711" s="14" t="b">
        <v>1</v>
      </c>
      <c r="J711" s="200" t="s">
        <v>382</v>
      </c>
      <c r="K711" s="10"/>
      <c r="L711" s="10"/>
      <c r="M711" s="10"/>
      <c r="N711" s="10"/>
      <c r="O711" s="200">
        <v>267.0</v>
      </c>
      <c r="P711" s="17">
        <v>2121460.0</v>
      </c>
      <c r="Q711" s="234" t="b">
        <v>1</v>
      </c>
      <c r="R711" s="10"/>
    </row>
    <row r="712">
      <c r="A712" s="10" t="s">
        <v>3920</v>
      </c>
      <c r="B712" s="10" t="s">
        <v>65</v>
      </c>
      <c r="C712" s="11">
        <v>46124.0</v>
      </c>
      <c r="D712" s="10" t="s">
        <v>5560</v>
      </c>
      <c r="E712" s="10" t="s">
        <v>5644</v>
      </c>
      <c r="F712" s="10"/>
      <c r="G712" s="200" t="s">
        <v>5645</v>
      </c>
      <c r="H712" s="10" t="s">
        <v>5646</v>
      </c>
      <c r="I712" s="14" t="b">
        <v>1</v>
      </c>
      <c r="J712" s="200" t="s">
        <v>382</v>
      </c>
      <c r="K712" s="10"/>
      <c r="L712" s="10"/>
      <c r="M712" s="10"/>
      <c r="N712" s="10"/>
      <c r="O712" s="200">
        <v>40.0</v>
      </c>
      <c r="P712" s="17">
        <v>2121484.0</v>
      </c>
      <c r="Q712" s="234" t="b">
        <v>1</v>
      </c>
      <c r="R712" s="10"/>
    </row>
    <row r="713">
      <c r="A713" s="10" t="s">
        <v>3923</v>
      </c>
      <c r="B713" s="10" t="s">
        <v>65</v>
      </c>
      <c r="C713" s="11">
        <v>46124.0</v>
      </c>
      <c r="D713" s="10" t="s">
        <v>3175</v>
      </c>
      <c r="E713" s="10" t="s">
        <v>5647</v>
      </c>
      <c r="F713" s="10"/>
      <c r="G713" s="200" t="s">
        <v>5648</v>
      </c>
      <c r="H713" s="10" t="s">
        <v>5649</v>
      </c>
      <c r="I713" s="14" t="b">
        <v>1</v>
      </c>
      <c r="J713" s="200" t="s">
        <v>382</v>
      </c>
      <c r="K713" s="10"/>
      <c r="L713" s="10"/>
      <c r="M713" s="10"/>
      <c r="N713" s="10"/>
      <c r="O713" s="200">
        <v>227.0</v>
      </c>
      <c r="P713" s="17">
        <v>2122800.0</v>
      </c>
      <c r="Q713" s="234" t="b">
        <v>1</v>
      </c>
      <c r="R713" s="10"/>
    </row>
    <row r="714">
      <c r="A714" s="17">
        <v>2.9050868E7</v>
      </c>
      <c r="B714" s="10" t="s">
        <v>65</v>
      </c>
      <c r="C714" s="11">
        <v>46117.0</v>
      </c>
      <c r="D714" s="10" t="s">
        <v>5445</v>
      </c>
      <c r="E714" s="10" t="s">
        <v>5650</v>
      </c>
      <c r="F714" s="10"/>
      <c r="G714" s="200" t="s">
        <v>5651</v>
      </c>
      <c r="H714" s="10" t="s">
        <v>5652</v>
      </c>
      <c r="I714" s="14" t="b">
        <v>1</v>
      </c>
      <c r="J714" s="200" t="s">
        <v>382</v>
      </c>
      <c r="K714" s="10"/>
      <c r="L714" s="10"/>
      <c r="M714" s="10"/>
      <c r="N714" s="10"/>
      <c r="O714" s="200">
        <v>411.0</v>
      </c>
      <c r="P714" s="17">
        <v>2109797.0</v>
      </c>
      <c r="Q714" s="234" t="b">
        <v>1</v>
      </c>
      <c r="R714" s="10"/>
    </row>
    <row r="715">
      <c r="A715" s="10" t="s">
        <v>3837</v>
      </c>
      <c r="B715" s="10" t="s">
        <v>65</v>
      </c>
      <c r="C715" s="11">
        <v>46117.0</v>
      </c>
      <c r="D715" s="10" t="s">
        <v>5654</v>
      </c>
      <c r="E715" s="10" t="s">
        <v>5655</v>
      </c>
      <c r="F715" s="10"/>
      <c r="G715" s="200" t="s">
        <v>5656</v>
      </c>
      <c r="H715" s="10" t="s">
        <v>5657</v>
      </c>
      <c r="I715" s="14" t="b">
        <v>1</v>
      </c>
      <c r="J715" s="200" t="s">
        <v>382</v>
      </c>
      <c r="K715" s="10"/>
      <c r="L715" s="10"/>
      <c r="M715" s="10"/>
      <c r="N715" s="10"/>
      <c r="O715" s="200">
        <v>246.0</v>
      </c>
      <c r="P715" s="17">
        <v>2109806.0</v>
      </c>
      <c r="Q715" s="234" t="b">
        <v>1</v>
      </c>
      <c r="R715" s="10"/>
    </row>
    <row r="716">
      <c r="A716" s="10" t="s">
        <v>3840</v>
      </c>
      <c r="B716" s="10" t="s">
        <v>65</v>
      </c>
      <c r="C716" s="11">
        <v>46117.0</v>
      </c>
      <c r="D716" s="10" t="s">
        <v>3175</v>
      </c>
      <c r="E716" s="10" t="s">
        <v>5658</v>
      </c>
      <c r="F716" s="10"/>
      <c r="G716" s="200" t="s">
        <v>5659</v>
      </c>
      <c r="H716" s="10" t="s">
        <v>3593</v>
      </c>
      <c r="I716" s="14" t="b">
        <v>1</v>
      </c>
      <c r="J716" s="200" t="s">
        <v>382</v>
      </c>
      <c r="K716" s="10"/>
      <c r="L716" s="10"/>
      <c r="M716" s="10"/>
      <c r="N716" s="10"/>
      <c r="O716" s="200">
        <v>313.0</v>
      </c>
      <c r="P716" s="17">
        <v>2109815.0</v>
      </c>
      <c r="Q716" s="234" t="b">
        <v>1</v>
      </c>
      <c r="R716" s="10"/>
    </row>
    <row r="717">
      <c r="A717" s="10" t="s">
        <v>3844</v>
      </c>
      <c r="B717" s="10" t="s">
        <v>65</v>
      </c>
      <c r="C717" s="11">
        <v>46117.0</v>
      </c>
      <c r="D717" s="10" t="s">
        <v>5560</v>
      </c>
      <c r="E717" s="10" t="s">
        <v>5662</v>
      </c>
      <c r="F717" s="10"/>
      <c r="G717" s="200" t="s">
        <v>5663</v>
      </c>
      <c r="H717" s="10" t="s">
        <v>5563</v>
      </c>
      <c r="I717" s="14" t="b">
        <v>1</v>
      </c>
      <c r="J717" s="200" t="s">
        <v>382</v>
      </c>
      <c r="K717" s="10"/>
      <c r="L717" s="10"/>
      <c r="M717" s="10"/>
      <c r="N717" s="10"/>
      <c r="O717" s="200">
        <v>103.0</v>
      </c>
      <c r="P717" s="17">
        <v>2109819.0</v>
      </c>
      <c r="Q717" s="234" t="b">
        <v>1</v>
      </c>
      <c r="R717" s="10"/>
    </row>
    <row r="718">
      <c r="A718" s="10" t="s">
        <v>3865</v>
      </c>
      <c r="B718" s="10" t="s">
        <v>65</v>
      </c>
      <c r="C718" s="11">
        <v>46122.0</v>
      </c>
      <c r="D718" s="17">
        <v>8.627274E7</v>
      </c>
      <c r="E718" s="10" t="s">
        <v>5665</v>
      </c>
      <c r="F718" s="10"/>
      <c r="G718" s="200" t="s">
        <v>5666</v>
      </c>
      <c r="H718" s="10" t="s">
        <v>195</v>
      </c>
      <c r="I718" s="14" t="b">
        <v>1</v>
      </c>
      <c r="J718" s="200" t="s">
        <v>382</v>
      </c>
      <c r="K718" s="10"/>
      <c r="L718" s="10"/>
      <c r="M718" s="10"/>
      <c r="N718" s="10"/>
      <c r="O718" s="200">
        <v>340.92</v>
      </c>
      <c r="P718" s="17">
        <v>2118298.0</v>
      </c>
      <c r="Q718" s="234" t="b">
        <v>1</v>
      </c>
      <c r="R718" s="10"/>
    </row>
    <row r="719">
      <c r="A719" s="10" t="s">
        <v>3928</v>
      </c>
      <c r="B719" s="10" t="s">
        <v>65</v>
      </c>
      <c r="C719" s="11">
        <v>46124.0</v>
      </c>
      <c r="D719" s="10" t="s">
        <v>2736</v>
      </c>
      <c r="E719" s="10" t="s">
        <v>5667</v>
      </c>
      <c r="F719" s="10"/>
      <c r="G719" s="200" t="s">
        <v>5669</v>
      </c>
      <c r="H719" s="10" t="s">
        <v>529</v>
      </c>
      <c r="I719" s="14" t="b">
        <v>0</v>
      </c>
      <c r="J719" s="200" t="s">
        <v>382</v>
      </c>
      <c r="K719" s="10"/>
      <c r="L719" s="10"/>
      <c r="M719" s="10"/>
      <c r="N719" s="10"/>
      <c r="O719" s="200">
        <v>31.97</v>
      </c>
      <c r="P719" s="10"/>
      <c r="Q719" s="234" t="b">
        <v>1</v>
      </c>
      <c r="R719" s="10"/>
    </row>
    <row r="720">
      <c r="A720" s="10" t="s">
        <v>3874</v>
      </c>
      <c r="B720" s="10" t="s">
        <v>65</v>
      </c>
      <c r="C720" s="11">
        <v>46122.0</v>
      </c>
      <c r="D720" s="10" t="s">
        <v>202</v>
      </c>
      <c r="E720" s="10" t="s">
        <v>5671</v>
      </c>
      <c r="F720" s="10"/>
      <c r="G720" s="200" t="s">
        <v>5672</v>
      </c>
      <c r="H720" s="10" t="s">
        <v>481</v>
      </c>
      <c r="I720" s="14" t="b">
        <v>0</v>
      </c>
      <c r="J720" s="200" t="s">
        <v>382</v>
      </c>
      <c r="K720" s="10"/>
      <c r="L720" s="10"/>
      <c r="M720" s="10"/>
      <c r="N720" s="10"/>
      <c r="O720" s="200">
        <v>184.0</v>
      </c>
      <c r="P720" s="10"/>
      <c r="Q720" s="234" t="b">
        <v>1</v>
      </c>
      <c r="R720" s="10"/>
    </row>
    <row r="721">
      <c r="A721" s="10" t="s">
        <v>3856</v>
      </c>
      <c r="B721" s="10" t="s">
        <v>65</v>
      </c>
      <c r="C721" s="11">
        <v>46121.0</v>
      </c>
      <c r="D721" s="10" t="s">
        <v>751</v>
      </c>
      <c r="E721" s="10" t="s">
        <v>5673</v>
      </c>
      <c r="F721" s="10"/>
      <c r="G721" s="200" t="s">
        <v>5674</v>
      </c>
      <c r="H721" s="10" t="s">
        <v>481</v>
      </c>
      <c r="I721" s="14" t="b">
        <v>0</v>
      </c>
      <c r="J721" s="200" t="s">
        <v>382</v>
      </c>
      <c r="K721" s="10"/>
      <c r="L721" s="10"/>
      <c r="M721" s="10"/>
      <c r="N721" s="10"/>
      <c r="O721" s="200">
        <v>287.5</v>
      </c>
      <c r="P721" s="10"/>
      <c r="Q721" s="234" t="b">
        <v>1</v>
      </c>
      <c r="R721" s="10"/>
    </row>
    <row r="722">
      <c r="A722" s="10" t="s">
        <v>3877</v>
      </c>
      <c r="B722" s="10" t="s">
        <v>65</v>
      </c>
      <c r="C722" s="11">
        <v>46122.0</v>
      </c>
      <c r="D722" s="10" t="s">
        <v>246</v>
      </c>
      <c r="E722" s="10" t="s">
        <v>5676</v>
      </c>
      <c r="F722" s="10"/>
      <c r="G722" s="200" t="s">
        <v>5677</v>
      </c>
      <c r="H722" s="10" t="s">
        <v>250</v>
      </c>
      <c r="I722" s="14" t="b">
        <v>0</v>
      </c>
      <c r="J722" s="200" t="s">
        <v>382</v>
      </c>
      <c r="K722" s="10"/>
      <c r="L722" s="10"/>
      <c r="M722" s="10"/>
      <c r="N722" s="10"/>
      <c r="O722" s="200">
        <v>900.57</v>
      </c>
      <c r="P722" s="10"/>
      <c r="Q722" s="234" t="b">
        <v>1</v>
      </c>
      <c r="R722" s="10"/>
      <c r="S722" s="16">
        <v>19.49</v>
      </c>
    </row>
    <row r="723">
      <c r="A723" s="10" t="s">
        <v>3859</v>
      </c>
      <c r="B723" s="10" t="s">
        <v>65</v>
      </c>
      <c r="C723" s="11">
        <v>46121.0</v>
      </c>
      <c r="D723" s="10" t="s">
        <v>189</v>
      </c>
      <c r="E723" s="10" t="s">
        <v>5678</v>
      </c>
      <c r="F723" s="10"/>
      <c r="G723" s="200" t="s">
        <v>5679</v>
      </c>
      <c r="H723" s="10" t="s">
        <v>114</v>
      </c>
      <c r="I723" s="14" t="b">
        <v>0</v>
      </c>
      <c r="J723" s="200" t="s">
        <v>382</v>
      </c>
      <c r="K723" s="10"/>
      <c r="L723" s="10"/>
      <c r="M723" s="10"/>
      <c r="N723" s="10"/>
      <c r="O723" s="200">
        <v>301.2</v>
      </c>
      <c r="P723" s="10"/>
      <c r="Q723" s="234" t="b">
        <v>1</v>
      </c>
      <c r="R723" s="10"/>
    </row>
    <row r="724">
      <c r="A724" s="10" t="s">
        <v>3937</v>
      </c>
      <c r="B724" s="10" t="s">
        <v>65</v>
      </c>
      <c r="C724" s="11">
        <v>46125.0</v>
      </c>
      <c r="D724" s="10" t="s">
        <v>3175</v>
      </c>
      <c r="E724" s="10" t="s">
        <v>5681</v>
      </c>
      <c r="F724" s="10"/>
      <c r="G724" s="200" t="s">
        <v>5682</v>
      </c>
      <c r="H724" s="10" t="s">
        <v>3593</v>
      </c>
      <c r="I724" s="14" t="b">
        <v>1</v>
      </c>
      <c r="J724" s="200" t="s">
        <v>382</v>
      </c>
      <c r="K724" s="10"/>
      <c r="L724" s="10"/>
      <c r="M724" s="10"/>
      <c r="N724" s="10"/>
      <c r="O724" s="200">
        <v>60.0</v>
      </c>
      <c r="P724" s="17">
        <v>2124417.0</v>
      </c>
      <c r="Q724" s="234" t="b">
        <v>1</v>
      </c>
      <c r="R724" s="10"/>
    </row>
    <row r="725">
      <c r="A725" s="10" t="s">
        <v>3940</v>
      </c>
      <c r="B725" s="10" t="s">
        <v>65</v>
      </c>
      <c r="C725" s="11">
        <v>46125.0</v>
      </c>
      <c r="D725" s="10" t="s">
        <v>751</v>
      </c>
      <c r="E725" s="10" t="s">
        <v>5683</v>
      </c>
      <c r="F725" s="10"/>
      <c r="G725" s="200" t="s">
        <v>5684</v>
      </c>
      <c r="H725" s="10" t="s">
        <v>481</v>
      </c>
      <c r="I725" s="14" t="b">
        <v>0</v>
      </c>
      <c r="J725" s="200" t="s">
        <v>382</v>
      </c>
      <c r="K725" s="10"/>
      <c r="L725" s="10"/>
      <c r="M725" s="10"/>
      <c r="N725" s="10"/>
      <c r="O725" s="200">
        <v>161.0</v>
      </c>
      <c r="P725" s="10"/>
      <c r="Q725" s="234" t="b">
        <v>1</v>
      </c>
      <c r="R725" s="10"/>
    </row>
    <row r="726">
      <c r="A726" s="10" t="s">
        <v>3913</v>
      </c>
      <c r="B726" s="10" t="s">
        <v>65</v>
      </c>
      <c r="C726" s="11">
        <v>46123.0</v>
      </c>
      <c r="D726" s="10" t="s">
        <v>5560</v>
      </c>
      <c r="E726" s="10" t="s">
        <v>5686</v>
      </c>
      <c r="F726" s="10"/>
      <c r="G726" s="200" t="s">
        <v>5688</v>
      </c>
      <c r="H726" s="10" t="s">
        <v>5563</v>
      </c>
      <c r="I726" s="14" t="b">
        <v>1</v>
      </c>
      <c r="J726" s="200" t="s">
        <v>382</v>
      </c>
      <c r="K726" s="10"/>
      <c r="L726" s="10"/>
      <c r="M726" s="10"/>
      <c r="N726" s="10"/>
      <c r="O726" s="200">
        <v>111.0</v>
      </c>
      <c r="P726" s="17">
        <v>2120431.0</v>
      </c>
      <c r="Q726" s="234" t="b">
        <v>1</v>
      </c>
      <c r="R726" s="10"/>
    </row>
    <row r="727">
      <c r="A727" s="10" t="s">
        <v>3904</v>
      </c>
      <c r="B727" s="10" t="s">
        <v>65</v>
      </c>
      <c r="C727" s="11">
        <v>46122.0</v>
      </c>
      <c r="D727" s="10" t="s">
        <v>5080</v>
      </c>
      <c r="E727" s="10" t="s">
        <v>5689</v>
      </c>
      <c r="F727" s="10"/>
      <c r="G727" s="200" t="s">
        <v>5690</v>
      </c>
      <c r="H727" s="10" t="s">
        <v>5478</v>
      </c>
      <c r="I727" s="14" t="b">
        <v>0</v>
      </c>
      <c r="J727" s="200" t="s">
        <v>382</v>
      </c>
      <c r="K727" s="10"/>
      <c r="L727" s="200" t="s">
        <v>5691</v>
      </c>
      <c r="M727" s="10"/>
      <c r="N727" s="10"/>
      <c r="O727" s="200">
        <v>3522.75</v>
      </c>
      <c r="P727" s="10"/>
      <c r="Q727" s="234" t="b">
        <v>1</v>
      </c>
      <c r="R727" s="10"/>
    </row>
    <row r="728">
      <c r="A728" s="10" t="s">
        <v>3945</v>
      </c>
      <c r="B728" s="10" t="s">
        <v>65</v>
      </c>
      <c r="C728" s="11">
        <v>46126.0</v>
      </c>
      <c r="D728" s="10" t="s">
        <v>163</v>
      </c>
      <c r="E728" s="10" t="s">
        <v>5692</v>
      </c>
      <c r="F728" s="10"/>
      <c r="G728" s="200" t="s">
        <v>5693</v>
      </c>
      <c r="H728" s="10" t="s">
        <v>1010</v>
      </c>
      <c r="I728" s="14" t="b">
        <v>1</v>
      </c>
      <c r="J728" s="200" t="s">
        <v>382</v>
      </c>
      <c r="K728" s="10"/>
      <c r="L728" s="10"/>
      <c r="M728" s="10"/>
      <c r="N728" s="10"/>
      <c r="O728" s="200">
        <v>35.34</v>
      </c>
      <c r="P728" s="17">
        <v>2125715.0</v>
      </c>
      <c r="Q728" s="234" t="b">
        <v>1</v>
      </c>
      <c r="R728" s="10"/>
    </row>
    <row r="729">
      <c r="A729" s="10" t="s">
        <v>3953</v>
      </c>
      <c r="B729" s="10" t="s">
        <v>65</v>
      </c>
      <c r="C729" s="11">
        <v>46126.0</v>
      </c>
      <c r="D729" s="10" t="s">
        <v>131</v>
      </c>
      <c r="E729" s="10" t="s">
        <v>5695</v>
      </c>
      <c r="F729" s="10"/>
      <c r="G729" s="200" t="s">
        <v>5696</v>
      </c>
      <c r="H729" s="10" t="s">
        <v>171</v>
      </c>
      <c r="I729" s="14" t="b">
        <v>0</v>
      </c>
      <c r="J729" s="200" t="s">
        <v>382</v>
      </c>
      <c r="K729" s="10"/>
      <c r="L729" s="200" t="s">
        <v>5697</v>
      </c>
      <c r="M729" s="10"/>
      <c r="N729" s="10"/>
      <c r="O729" s="200">
        <v>10688.97</v>
      </c>
      <c r="P729" s="10"/>
      <c r="Q729" s="234" t="b">
        <v>1</v>
      </c>
      <c r="R729" s="10"/>
      <c r="S729" s="16">
        <v>120.2</v>
      </c>
    </row>
    <row r="730">
      <c r="A730" s="10" t="s">
        <v>3968</v>
      </c>
      <c r="B730" s="10" t="s">
        <v>65</v>
      </c>
      <c r="C730" s="11">
        <v>46129.0</v>
      </c>
      <c r="D730" s="17">
        <v>8.627274E7</v>
      </c>
      <c r="E730" s="10" t="s">
        <v>5698</v>
      </c>
      <c r="F730" s="10"/>
      <c r="G730" s="200" t="s">
        <v>5699</v>
      </c>
      <c r="H730" s="10" t="s">
        <v>1010</v>
      </c>
      <c r="I730" s="14" t="b">
        <v>1</v>
      </c>
      <c r="J730" s="200" t="s">
        <v>382</v>
      </c>
      <c r="K730" s="10"/>
      <c r="L730" s="10"/>
      <c r="M730" s="10"/>
      <c r="N730" s="10"/>
      <c r="O730" s="200">
        <v>186.39</v>
      </c>
      <c r="P730" s="17">
        <v>2130988.0</v>
      </c>
      <c r="Q730" s="234" t="b">
        <v>1</v>
      </c>
      <c r="R730" s="10"/>
    </row>
    <row r="731">
      <c r="A731" s="10" t="s">
        <v>3987</v>
      </c>
      <c r="B731" s="10" t="s">
        <v>65</v>
      </c>
      <c r="C731" s="11">
        <v>46129.0</v>
      </c>
      <c r="D731" s="10" t="s">
        <v>163</v>
      </c>
      <c r="E731" s="10" t="s">
        <v>5700</v>
      </c>
      <c r="F731" s="10"/>
      <c r="G731" s="200" t="s">
        <v>5701</v>
      </c>
      <c r="H731" s="10" t="s">
        <v>195</v>
      </c>
      <c r="I731" s="14" t="b">
        <v>1</v>
      </c>
      <c r="J731" s="200" t="s">
        <v>382</v>
      </c>
      <c r="K731" s="10"/>
      <c r="L731" s="10"/>
      <c r="M731" s="10"/>
      <c r="N731" s="10"/>
      <c r="O731" s="200">
        <v>116.91</v>
      </c>
      <c r="P731" s="17">
        <v>2130989.0</v>
      </c>
      <c r="Q731" s="234" t="b">
        <v>1</v>
      </c>
      <c r="R731" s="10"/>
    </row>
    <row r="732">
      <c r="A732" s="10" t="s">
        <v>3964</v>
      </c>
      <c r="B732" s="10" t="s">
        <v>65</v>
      </c>
      <c r="C732" s="11">
        <v>46128.0</v>
      </c>
      <c r="D732" s="10" t="s">
        <v>973</v>
      </c>
      <c r="E732" s="10" t="s">
        <v>5702</v>
      </c>
      <c r="F732" s="10"/>
      <c r="G732" s="200" t="s">
        <v>5703</v>
      </c>
      <c r="H732" s="10" t="s">
        <v>4507</v>
      </c>
      <c r="I732" s="14" t="b">
        <v>1</v>
      </c>
      <c r="J732" s="200" t="s">
        <v>382</v>
      </c>
      <c r="K732" s="10"/>
      <c r="L732" s="10"/>
      <c r="M732" s="10"/>
      <c r="N732" s="10"/>
      <c r="O732" s="200">
        <v>4.0</v>
      </c>
      <c r="P732" s="17">
        <v>2129532.0</v>
      </c>
      <c r="Q732" s="234" t="b">
        <v>1</v>
      </c>
      <c r="R732" s="10"/>
    </row>
    <row r="733">
      <c r="A733" s="17">
        <v>8.0358386E7</v>
      </c>
      <c r="B733" s="10" t="s">
        <v>65</v>
      </c>
      <c r="C733" s="11">
        <v>46129.0</v>
      </c>
      <c r="D733" s="10" t="s">
        <v>5560</v>
      </c>
      <c r="E733" s="10" t="s">
        <v>5705</v>
      </c>
      <c r="F733" s="10"/>
      <c r="G733" s="200" t="s">
        <v>5706</v>
      </c>
      <c r="H733" s="10" t="s">
        <v>5563</v>
      </c>
      <c r="I733" s="14" t="b">
        <v>1</v>
      </c>
      <c r="J733" s="200" t="s">
        <v>382</v>
      </c>
      <c r="K733" s="10"/>
      <c r="L733" s="10"/>
      <c r="M733" s="10"/>
      <c r="N733" s="10"/>
      <c r="O733" s="200">
        <v>75.0</v>
      </c>
      <c r="P733" s="17">
        <v>2131266.0</v>
      </c>
      <c r="Q733" s="234" t="b">
        <v>1</v>
      </c>
      <c r="R733" s="10"/>
    </row>
    <row r="734">
      <c r="A734" s="10" t="s">
        <v>3998</v>
      </c>
      <c r="B734" s="10" t="s">
        <v>65</v>
      </c>
      <c r="C734" s="11">
        <v>46130.0</v>
      </c>
      <c r="D734" s="10" t="s">
        <v>202</v>
      </c>
      <c r="E734" s="10" t="s">
        <v>5707</v>
      </c>
      <c r="F734" s="10"/>
      <c r="G734" s="200" t="s">
        <v>5708</v>
      </c>
      <c r="H734" s="10" t="s">
        <v>481</v>
      </c>
      <c r="I734" s="14" t="b">
        <v>0</v>
      </c>
      <c r="J734" s="200" t="s">
        <v>382</v>
      </c>
      <c r="K734" s="10"/>
      <c r="L734" s="10"/>
      <c r="M734" s="10"/>
      <c r="N734" s="10"/>
      <c r="O734" s="200">
        <v>161.0</v>
      </c>
      <c r="P734" s="10"/>
      <c r="Q734" s="234" t="b">
        <v>1</v>
      </c>
      <c r="R734" s="10"/>
    </row>
    <row r="735">
      <c r="A735" s="10" t="s">
        <v>4000</v>
      </c>
      <c r="B735" s="10" t="s">
        <v>65</v>
      </c>
      <c r="C735" s="11">
        <v>46130.0</v>
      </c>
      <c r="D735" s="10" t="s">
        <v>1888</v>
      </c>
      <c r="E735" s="10" t="s">
        <v>5709</v>
      </c>
      <c r="F735" s="10"/>
      <c r="G735" s="200" t="s">
        <v>5710</v>
      </c>
      <c r="H735" s="10" t="s">
        <v>149</v>
      </c>
      <c r="I735" s="14" t="b">
        <v>0</v>
      </c>
      <c r="J735" s="200" t="s">
        <v>382</v>
      </c>
      <c r="K735" s="10"/>
      <c r="L735" s="10"/>
      <c r="M735" s="10"/>
      <c r="N735" s="10"/>
      <c r="O735" s="200">
        <v>738.96</v>
      </c>
      <c r="P735" s="10"/>
      <c r="Q735" s="234" t="b">
        <v>1</v>
      </c>
      <c r="R735" s="10"/>
    </row>
    <row r="736">
      <c r="A736" s="10" t="s">
        <v>3826</v>
      </c>
      <c r="B736" s="10" t="s">
        <v>65</v>
      </c>
      <c r="C736" s="11">
        <v>46115.0</v>
      </c>
      <c r="D736" s="17">
        <v>8.627274E7</v>
      </c>
      <c r="E736" s="10" t="s">
        <v>5711</v>
      </c>
      <c r="F736" s="10"/>
      <c r="G736" s="200" t="s">
        <v>5713</v>
      </c>
      <c r="H736" s="10" t="s">
        <v>5714</v>
      </c>
      <c r="I736" s="14" t="b">
        <v>1</v>
      </c>
      <c r="J736" s="200" t="s">
        <v>382</v>
      </c>
      <c r="K736" s="10"/>
      <c r="L736" s="10"/>
      <c r="M736" s="10"/>
      <c r="N736" s="10"/>
      <c r="O736" s="200">
        <v>44.61</v>
      </c>
      <c r="P736" s="17">
        <v>2103193.0</v>
      </c>
      <c r="Q736" s="234" t="b">
        <v>1</v>
      </c>
      <c r="R736" s="10"/>
    </row>
    <row r="737">
      <c r="A737" s="10" t="s">
        <v>4012</v>
      </c>
      <c r="B737" s="10" t="s">
        <v>65</v>
      </c>
      <c r="C737" s="11">
        <v>46130.0</v>
      </c>
      <c r="D737" s="10" t="s">
        <v>5560</v>
      </c>
      <c r="E737" s="10" t="s">
        <v>5715</v>
      </c>
      <c r="F737" s="10"/>
      <c r="G737" s="200" t="s">
        <v>5716</v>
      </c>
      <c r="H737" s="10" t="s">
        <v>5563</v>
      </c>
      <c r="I737" s="14" t="b">
        <v>1</v>
      </c>
      <c r="J737" s="200" t="s">
        <v>382</v>
      </c>
      <c r="K737" s="10"/>
      <c r="L737" s="10"/>
      <c r="M737" s="10"/>
      <c r="N737" s="10"/>
      <c r="O737" s="200">
        <v>120.0</v>
      </c>
      <c r="P737" s="17">
        <v>2133439.0</v>
      </c>
      <c r="Q737" s="234" t="b">
        <v>1</v>
      </c>
      <c r="R737" s="10"/>
    </row>
    <row r="738">
      <c r="A738" s="10"/>
      <c r="B738" s="10"/>
      <c r="C738" s="11"/>
      <c r="D738" s="10"/>
      <c r="E738" s="10"/>
      <c r="F738" s="10"/>
      <c r="G738" s="10"/>
      <c r="H738" s="10"/>
      <c r="I738" s="14"/>
      <c r="J738" s="10"/>
      <c r="K738" s="10"/>
      <c r="L738" s="10"/>
      <c r="M738" s="10"/>
      <c r="N738" s="10"/>
      <c r="O738" s="10"/>
      <c r="P738" s="10"/>
      <c r="Q738" s="14"/>
      <c r="R738" s="10"/>
    </row>
    <row r="739">
      <c r="A739" s="10"/>
      <c r="B739" s="10"/>
      <c r="C739" s="11"/>
      <c r="D739" s="10"/>
      <c r="E739" s="10"/>
      <c r="F739" s="10"/>
      <c r="G739" s="10"/>
      <c r="H739" s="10"/>
      <c r="I739" s="14"/>
      <c r="J739" s="10"/>
      <c r="K739" s="10"/>
      <c r="L739" s="10"/>
      <c r="M739" s="10"/>
      <c r="N739" s="10"/>
      <c r="O739" s="10"/>
      <c r="P739" s="10"/>
      <c r="Q739" s="14"/>
      <c r="R739" s="10"/>
    </row>
    <row r="740">
      <c r="A740" s="10" t="s">
        <v>3960</v>
      </c>
      <c r="B740" s="10" t="s">
        <v>65</v>
      </c>
      <c r="C740" s="11">
        <v>46126.0</v>
      </c>
      <c r="D740" s="10" t="s">
        <v>131</v>
      </c>
      <c r="E740" s="10" t="s">
        <v>5719</v>
      </c>
      <c r="F740" s="10"/>
      <c r="G740" s="200" t="s">
        <v>5720</v>
      </c>
      <c r="H740" s="10" t="s">
        <v>136</v>
      </c>
      <c r="I740" s="14" t="b">
        <v>0</v>
      </c>
      <c r="J740" s="200" t="s">
        <v>382</v>
      </c>
      <c r="K740" s="10"/>
      <c r="L740" s="200" t="s">
        <v>5721</v>
      </c>
      <c r="M740" s="10"/>
      <c r="N740" s="10"/>
      <c r="O740" s="200">
        <v>6462.87</v>
      </c>
      <c r="P740" s="10"/>
      <c r="Q740" s="234" t="b">
        <v>1</v>
      </c>
      <c r="R740" s="10"/>
    </row>
    <row r="741">
      <c r="A741" s="10" t="s">
        <v>3764</v>
      </c>
      <c r="B741" s="10" t="s">
        <v>65</v>
      </c>
      <c r="C741" s="11">
        <v>46112.0</v>
      </c>
      <c r="D741" s="10" t="s">
        <v>131</v>
      </c>
      <c r="E741" s="10" t="s">
        <v>5723</v>
      </c>
      <c r="F741" s="10"/>
      <c r="G741" s="200" t="s">
        <v>5724</v>
      </c>
      <c r="H741" s="10" t="s">
        <v>5725</v>
      </c>
      <c r="I741" s="14" t="b">
        <v>0</v>
      </c>
      <c r="J741" s="200" t="s">
        <v>382</v>
      </c>
      <c r="K741" s="10"/>
      <c r="L741" s="200" t="s">
        <v>5726</v>
      </c>
      <c r="M741" s="10"/>
      <c r="N741" s="10"/>
      <c r="O741" s="200">
        <v>13829.03</v>
      </c>
      <c r="P741" s="10"/>
      <c r="Q741" s="234" t="b">
        <v>1</v>
      </c>
      <c r="R741" s="10"/>
    </row>
    <row r="742">
      <c r="A742" s="10" t="s">
        <v>4015</v>
      </c>
      <c r="B742" s="10" t="s">
        <v>65</v>
      </c>
      <c r="C742" s="11">
        <v>46132.0</v>
      </c>
      <c r="D742" s="10" t="s">
        <v>2736</v>
      </c>
      <c r="E742" s="10" t="s">
        <v>5728</v>
      </c>
      <c r="F742" s="10"/>
      <c r="G742" s="200" t="s">
        <v>5729</v>
      </c>
      <c r="H742" s="10" t="s">
        <v>1010</v>
      </c>
      <c r="I742" s="14" t="b">
        <v>0</v>
      </c>
      <c r="J742" s="200" t="s">
        <v>382</v>
      </c>
      <c r="K742" s="10"/>
      <c r="L742" s="10"/>
      <c r="M742" s="10"/>
      <c r="N742" s="10"/>
      <c r="O742" s="200">
        <v>263.79</v>
      </c>
      <c r="P742" s="10"/>
      <c r="Q742" s="234" t="b">
        <v>1</v>
      </c>
      <c r="R742" s="10"/>
    </row>
    <row r="743">
      <c r="A743" s="10"/>
      <c r="B743" s="10"/>
      <c r="C743" s="11"/>
      <c r="D743" s="10"/>
      <c r="E743" s="10"/>
      <c r="F743" s="10"/>
      <c r="G743" s="10"/>
      <c r="H743" s="10"/>
      <c r="I743" s="14"/>
      <c r="J743" s="10"/>
      <c r="K743" s="10"/>
      <c r="L743" s="10"/>
      <c r="M743" s="10"/>
      <c r="N743" s="10"/>
      <c r="O743" s="10"/>
      <c r="P743" s="17"/>
      <c r="Q743" s="14"/>
      <c r="R743" s="10"/>
    </row>
    <row r="744">
      <c r="A744" s="10" t="s">
        <v>4033</v>
      </c>
      <c r="B744" s="10" t="s">
        <v>65</v>
      </c>
      <c r="C744" s="11">
        <v>46132.0</v>
      </c>
      <c r="D744" s="10" t="s">
        <v>5560</v>
      </c>
      <c r="E744" s="10" t="s">
        <v>5730</v>
      </c>
      <c r="F744" s="10"/>
      <c r="G744" s="200" t="s">
        <v>5731</v>
      </c>
      <c r="H744" s="10" t="s">
        <v>5563</v>
      </c>
      <c r="I744" s="14" t="b">
        <v>1</v>
      </c>
      <c r="J744" s="200" t="s">
        <v>382</v>
      </c>
      <c r="K744" s="10"/>
      <c r="L744" s="10"/>
      <c r="M744" s="10"/>
      <c r="N744" s="10"/>
      <c r="O744" s="200">
        <v>160.0</v>
      </c>
      <c r="P744" s="17">
        <v>2138200.0</v>
      </c>
      <c r="Q744" s="234" t="b">
        <v>1</v>
      </c>
      <c r="R744" s="10"/>
    </row>
    <row r="745">
      <c r="A745" s="10" t="s">
        <v>4036</v>
      </c>
      <c r="B745" s="10" t="s">
        <v>65</v>
      </c>
      <c r="C745" s="11">
        <v>46132.0</v>
      </c>
      <c r="D745" s="10" t="s">
        <v>3175</v>
      </c>
      <c r="E745" s="10" t="s">
        <v>5732</v>
      </c>
      <c r="F745" s="10"/>
      <c r="G745" s="200" t="s">
        <v>5733</v>
      </c>
      <c r="H745" s="10" t="s">
        <v>3593</v>
      </c>
      <c r="I745" s="14" t="b">
        <v>1</v>
      </c>
      <c r="J745" s="200" t="s">
        <v>382</v>
      </c>
      <c r="K745" s="10"/>
      <c r="L745" s="10"/>
      <c r="M745" s="10"/>
      <c r="N745" s="10"/>
      <c r="O745" s="200">
        <v>91.0</v>
      </c>
      <c r="P745" s="17">
        <v>2138194.0</v>
      </c>
      <c r="Q745" s="234" t="b">
        <v>1</v>
      </c>
      <c r="R745" s="10"/>
    </row>
    <row r="746">
      <c r="A746" s="10" t="s">
        <v>4039</v>
      </c>
      <c r="B746" s="10" t="s">
        <v>65</v>
      </c>
      <c r="C746" s="11">
        <v>46132.0</v>
      </c>
      <c r="D746" s="10" t="s">
        <v>557</v>
      </c>
      <c r="E746" s="10" t="s">
        <v>5734</v>
      </c>
      <c r="F746" s="10"/>
      <c r="G746" s="200" t="s">
        <v>5735</v>
      </c>
      <c r="H746" s="10" t="s">
        <v>1185</v>
      </c>
      <c r="I746" s="14" t="b">
        <v>1</v>
      </c>
      <c r="J746" s="200" t="s">
        <v>382</v>
      </c>
      <c r="K746" s="10"/>
      <c r="L746" s="10"/>
      <c r="M746" s="10"/>
      <c r="N746" s="10"/>
      <c r="O746" s="200">
        <v>27.96</v>
      </c>
      <c r="P746" s="17">
        <v>2138207.0</v>
      </c>
      <c r="Q746" s="234" t="b">
        <v>1</v>
      </c>
      <c r="R746" s="10"/>
    </row>
    <row r="747">
      <c r="A747" s="10" t="s">
        <v>4048</v>
      </c>
      <c r="B747" s="10" t="s">
        <v>65</v>
      </c>
      <c r="C747" s="11">
        <v>46132.0</v>
      </c>
      <c r="D747" s="10" t="s">
        <v>751</v>
      </c>
      <c r="E747" s="10" t="s">
        <v>5736</v>
      </c>
      <c r="F747" s="10"/>
      <c r="G747" s="200" t="s">
        <v>5737</v>
      </c>
      <c r="H747" s="10" t="s">
        <v>481</v>
      </c>
      <c r="I747" s="14" t="b">
        <v>0</v>
      </c>
      <c r="J747" s="200" t="s">
        <v>382</v>
      </c>
      <c r="K747" s="10"/>
      <c r="L747" s="10"/>
      <c r="M747" s="10"/>
      <c r="N747" s="10"/>
      <c r="O747" s="200">
        <v>184.0</v>
      </c>
      <c r="P747" s="10"/>
      <c r="Q747" s="234" t="b">
        <v>1</v>
      </c>
      <c r="R747" s="10"/>
    </row>
    <row r="748">
      <c r="A748" s="10" t="s">
        <v>4054</v>
      </c>
      <c r="B748" s="10" t="s">
        <v>65</v>
      </c>
      <c r="C748" s="11">
        <v>46133.0</v>
      </c>
      <c r="D748" s="10" t="s">
        <v>5654</v>
      </c>
      <c r="E748" s="10" t="s">
        <v>5738</v>
      </c>
      <c r="F748" s="10"/>
      <c r="G748" s="200" t="s">
        <v>5739</v>
      </c>
      <c r="H748" s="10" t="s">
        <v>5657</v>
      </c>
      <c r="I748" s="14" t="b">
        <v>1</v>
      </c>
      <c r="J748" s="200" t="s">
        <v>382</v>
      </c>
      <c r="K748" s="10"/>
      <c r="L748" s="10"/>
      <c r="M748" s="10"/>
      <c r="N748" s="10"/>
      <c r="O748" s="200">
        <v>134.0</v>
      </c>
      <c r="P748" s="17">
        <v>2140569.0</v>
      </c>
      <c r="Q748" s="234" t="b">
        <v>1</v>
      </c>
      <c r="R748" s="10"/>
    </row>
    <row r="749">
      <c r="A749" s="10" t="s">
        <v>4056</v>
      </c>
      <c r="B749" s="10" t="s">
        <v>65</v>
      </c>
      <c r="C749" s="11">
        <v>46133.0</v>
      </c>
      <c r="D749" s="10" t="s">
        <v>3175</v>
      </c>
      <c r="E749" s="10" t="s">
        <v>5742</v>
      </c>
      <c r="F749" s="10"/>
      <c r="G749" s="200" t="s">
        <v>5743</v>
      </c>
      <c r="H749" s="10" t="s">
        <v>3593</v>
      </c>
      <c r="I749" s="14" t="b">
        <v>1</v>
      </c>
      <c r="J749" s="200" t="s">
        <v>382</v>
      </c>
      <c r="K749" s="10"/>
      <c r="L749" s="10"/>
      <c r="M749" s="10"/>
      <c r="N749" s="10"/>
      <c r="O749" s="200">
        <v>331.0</v>
      </c>
      <c r="P749" s="17">
        <v>2141164.0</v>
      </c>
      <c r="Q749" s="234" t="b">
        <v>1</v>
      </c>
      <c r="R749" s="10"/>
    </row>
    <row r="750">
      <c r="A750" s="10" t="s">
        <v>4058</v>
      </c>
      <c r="B750" s="10" t="s">
        <v>65</v>
      </c>
      <c r="C750" s="11">
        <v>46133.0</v>
      </c>
      <c r="D750" s="10" t="s">
        <v>5445</v>
      </c>
      <c r="E750" s="10" t="s">
        <v>5744</v>
      </c>
      <c r="F750" s="10"/>
      <c r="G750" s="200" t="s">
        <v>5745</v>
      </c>
      <c r="H750" s="10" t="s">
        <v>5652</v>
      </c>
      <c r="I750" s="14" t="b">
        <v>1</v>
      </c>
      <c r="J750" s="200" t="s">
        <v>382</v>
      </c>
      <c r="K750" s="10"/>
      <c r="L750" s="10"/>
      <c r="M750" s="10"/>
      <c r="N750" s="10"/>
      <c r="O750" s="200">
        <v>314.0</v>
      </c>
      <c r="P750" s="17">
        <v>2141308.0</v>
      </c>
      <c r="Q750" s="234" t="b">
        <v>1</v>
      </c>
      <c r="R750" s="10"/>
    </row>
    <row r="751">
      <c r="A751" s="10" t="s">
        <v>4061</v>
      </c>
      <c r="B751" s="10" t="s">
        <v>65</v>
      </c>
      <c r="C751" s="11">
        <v>46133.0</v>
      </c>
      <c r="D751" s="10" t="s">
        <v>5560</v>
      </c>
      <c r="E751" s="10" t="s">
        <v>5746</v>
      </c>
      <c r="F751" s="10"/>
      <c r="G751" s="200" t="s">
        <v>5747</v>
      </c>
      <c r="H751" s="10" t="s">
        <v>5563</v>
      </c>
      <c r="I751" s="14" t="b">
        <v>1</v>
      </c>
      <c r="J751" s="200" t="s">
        <v>382</v>
      </c>
      <c r="K751" s="10"/>
      <c r="L751" s="10"/>
      <c r="M751" s="10"/>
      <c r="N751" s="10"/>
      <c r="O751" s="200">
        <v>108.0</v>
      </c>
      <c r="P751" s="17">
        <v>2141311.0</v>
      </c>
      <c r="Q751" s="234" t="b">
        <v>1</v>
      </c>
      <c r="R751" s="10"/>
    </row>
    <row r="752">
      <c r="A752" s="10" t="s">
        <v>3993</v>
      </c>
      <c r="B752" s="10" t="s">
        <v>65</v>
      </c>
      <c r="C752" s="11">
        <v>46129.0</v>
      </c>
      <c r="D752" s="10" t="s">
        <v>189</v>
      </c>
      <c r="E752" s="10" t="s">
        <v>5749</v>
      </c>
      <c r="F752" s="10"/>
      <c r="G752" s="200" t="s">
        <v>5751</v>
      </c>
      <c r="H752" s="10" t="s">
        <v>114</v>
      </c>
      <c r="I752" s="14" t="b">
        <v>0</v>
      </c>
      <c r="J752" s="200" t="s">
        <v>382</v>
      </c>
      <c r="K752" s="10"/>
      <c r="L752" s="10"/>
      <c r="M752" s="10"/>
      <c r="N752" s="10"/>
      <c r="O752" s="200">
        <v>176.18</v>
      </c>
      <c r="P752" s="10"/>
      <c r="Q752" s="234" t="b">
        <v>1</v>
      </c>
      <c r="R752" s="10"/>
    </row>
    <row r="753">
      <c r="A753" s="10" t="s">
        <v>4081</v>
      </c>
      <c r="B753" s="10" t="s">
        <v>65</v>
      </c>
      <c r="C753" s="11">
        <v>46136.0</v>
      </c>
      <c r="D753" s="17">
        <v>8.627274E7</v>
      </c>
      <c r="E753" s="10" t="s">
        <v>5752</v>
      </c>
      <c r="F753" s="10"/>
      <c r="G753" s="200" t="s">
        <v>5753</v>
      </c>
      <c r="H753" s="10" t="s">
        <v>1010</v>
      </c>
      <c r="I753" s="14" t="b">
        <v>1</v>
      </c>
      <c r="J753" s="200" t="s">
        <v>382</v>
      </c>
      <c r="K753" s="10"/>
      <c r="L753" s="10"/>
      <c r="M753" s="10"/>
      <c r="N753" s="10"/>
      <c r="O753" s="200">
        <v>318.63</v>
      </c>
      <c r="P753" s="17">
        <v>2146499.0</v>
      </c>
      <c r="Q753" s="234" t="b">
        <v>1</v>
      </c>
      <c r="R753" s="10"/>
    </row>
    <row r="754">
      <c r="A754" s="10" t="s">
        <v>4099</v>
      </c>
      <c r="B754" s="10" t="s">
        <v>65</v>
      </c>
      <c r="C754" s="11">
        <v>46136.0</v>
      </c>
      <c r="D754" s="10" t="s">
        <v>202</v>
      </c>
      <c r="E754" s="10" t="s">
        <v>5754</v>
      </c>
      <c r="F754" s="10"/>
      <c r="G754" s="200" t="s">
        <v>5755</v>
      </c>
      <c r="H754" s="10" t="s">
        <v>481</v>
      </c>
      <c r="I754" s="14" t="b">
        <v>0</v>
      </c>
      <c r="J754" s="200" t="s">
        <v>382</v>
      </c>
      <c r="K754" s="10"/>
      <c r="L754" s="10"/>
      <c r="M754" s="10"/>
      <c r="N754" s="10"/>
      <c r="O754" s="200">
        <v>230.0</v>
      </c>
      <c r="P754" s="10"/>
      <c r="Q754" s="234" t="b">
        <v>1</v>
      </c>
      <c r="R754" s="10"/>
    </row>
    <row r="755">
      <c r="A755" s="10" t="s">
        <v>4107</v>
      </c>
      <c r="B755" s="10" t="s">
        <v>65</v>
      </c>
      <c r="C755" s="11">
        <v>46138.0</v>
      </c>
      <c r="D755" s="10" t="s">
        <v>3175</v>
      </c>
      <c r="E755" s="10" t="s">
        <v>5756</v>
      </c>
      <c r="F755" s="10"/>
      <c r="G755" s="200" t="s">
        <v>5757</v>
      </c>
      <c r="H755" s="10" t="s">
        <v>3593</v>
      </c>
      <c r="I755" s="14" t="b">
        <v>1</v>
      </c>
      <c r="J755" s="200" t="s">
        <v>382</v>
      </c>
      <c r="K755" s="10"/>
      <c r="L755" s="10"/>
      <c r="M755" s="10"/>
      <c r="N755" s="10"/>
      <c r="O755" s="200">
        <v>230.25</v>
      </c>
      <c r="P755" s="17">
        <v>2151385.0</v>
      </c>
      <c r="Q755" s="234" t="b">
        <v>1</v>
      </c>
      <c r="R755" s="10"/>
    </row>
    <row r="756">
      <c r="A756" s="10" t="s">
        <v>4063</v>
      </c>
      <c r="B756" s="10" t="s">
        <v>65</v>
      </c>
      <c r="C756" s="11">
        <v>46134.0</v>
      </c>
      <c r="D756" s="10" t="s">
        <v>163</v>
      </c>
      <c r="E756" s="10" t="s">
        <v>5758</v>
      </c>
      <c r="F756" s="10"/>
      <c r="G756" s="200" t="s">
        <v>5760</v>
      </c>
      <c r="H756" s="10" t="s">
        <v>5183</v>
      </c>
      <c r="I756" s="14" t="b">
        <v>1</v>
      </c>
      <c r="J756" s="200" t="s">
        <v>382</v>
      </c>
      <c r="K756" s="10"/>
      <c r="L756" s="10"/>
      <c r="M756" s="10"/>
      <c r="N756" s="10"/>
      <c r="O756" s="200">
        <v>69.41</v>
      </c>
      <c r="P756" s="17">
        <v>2143216.0</v>
      </c>
      <c r="Q756" s="234" t="b">
        <v>1</v>
      </c>
      <c r="R756" s="10"/>
    </row>
    <row r="757">
      <c r="A757" s="10" t="s">
        <v>4073</v>
      </c>
      <c r="B757" s="10" t="s">
        <v>65</v>
      </c>
      <c r="C757" s="11">
        <v>46134.0</v>
      </c>
      <c r="D757" s="10" t="s">
        <v>557</v>
      </c>
      <c r="E757" s="10" t="s">
        <v>5762</v>
      </c>
      <c r="F757" s="10"/>
      <c r="G757" s="200" t="s">
        <v>5763</v>
      </c>
      <c r="H757" s="10" t="s">
        <v>5764</v>
      </c>
      <c r="I757" s="14" t="b">
        <v>1</v>
      </c>
      <c r="J757" s="200" t="s">
        <v>382</v>
      </c>
      <c r="K757" s="10"/>
      <c r="L757" s="10"/>
      <c r="M757" s="10"/>
      <c r="N757" s="10"/>
      <c r="O757" s="200">
        <v>199.99</v>
      </c>
      <c r="P757" s="17">
        <v>2143214.0</v>
      </c>
      <c r="Q757" s="234" t="b">
        <v>1</v>
      </c>
      <c r="R757" s="10"/>
    </row>
    <row r="758">
      <c r="A758" s="10" t="s">
        <v>4103</v>
      </c>
      <c r="B758" s="10" t="s">
        <v>65</v>
      </c>
      <c r="C758" s="11">
        <v>46137.0</v>
      </c>
      <c r="D758" s="10" t="s">
        <v>751</v>
      </c>
      <c r="E758" s="10" t="s">
        <v>5766</v>
      </c>
      <c r="F758" s="10"/>
      <c r="G758" s="200" t="s">
        <v>5767</v>
      </c>
      <c r="H758" s="10" t="s">
        <v>481</v>
      </c>
      <c r="I758" s="14" t="b">
        <v>0</v>
      </c>
      <c r="J758" s="200" t="s">
        <v>382</v>
      </c>
      <c r="K758" s="10"/>
      <c r="L758" s="10"/>
      <c r="M758" s="10"/>
      <c r="N758" s="10"/>
      <c r="O758" s="200">
        <v>172.5</v>
      </c>
      <c r="P758" s="10"/>
      <c r="Q758" s="234" t="b">
        <v>1</v>
      </c>
      <c r="R758" s="10"/>
    </row>
    <row r="759">
      <c r="A759" s="10" t="s">
        <v>4132</v>
      </c>
      <c r="B759" s="10" t="s">
        <v>65</v>
      </c>
      <c r="C759" s="11">
        <v>46140.0</v>
      </c>
      <c r="D759" s="10" t="s">
        <v>919</v>
      </c>
      <c r="E759" s="10" t="s">
        <v>5768</v>
      </c>
      <c r="F759" s="10"/>
      <c r="G759" s="200" t="s">
        <v>5769</v>
      </c>
      <c r="H759" s="10" t="s">
        <v>2376</v>
      </c>
      <c r="I759" s="14" t="b">
        <v>1</v>
      </c>
      <c r="J759" s="200" t="s">
        <v>382</v>
      </c>
      <c r="K759" s="10"/>
      <c r="L759" s="10"/>
      <c r="M759" s="10"/>
      <c r="N759" s="10"/>
      <c r="O759" s="200">
        <v>11.8</v>
      </c>
      <c r="P759" s="17">
        <v>2154166.0</v>
      </c>
      <c r="Q759" s="234" t="b">
        <v>1</v>
      </c>
      <c r="R759" s="10"/>
    </row>
    <row r="760">
      <c r="A760" s="10" t="s">
        <v>4137</v>
      </c>
      <c r="B760" s="10" t="s">
        <v>65</v>
      </c>
      <c r="C760" s="11">
        <v>46140.0</v>
      </c>
      <c r="D760" s="10" t="s">
        <v>153</v>
      </c>
      <c r="E760" s="10" t="s">
        <v>5770</v>
      </c>
      <c r="F760" s="10"/>
      <c r="G760" s="200" t="s">
        <v>5771</v>
      </c>
      <c r="H760" s="10" t="s">
        <v>157</v>
      </c>
      <c r="I760" s="14" t="b">
        <v>1</v>
      </c>
      <c r="J760" s="200" t="s">
        <v>382</v>
      </c>
      <c r="K760" s="10"/>
      <c r="L760" s="10"/>
      <c r="M760" s="10"/>
      <c r="N760" s="10"/>
      <c r="O760" s="200">
        <v>5.99</v>
      </c>
      <c r="P760" s="17">
        <v>2154165.0</v>
      </c>
      <c r="Q760" s="234" t="b">
        <v>1</v>
      </c>
      <c r="R760" s="10"/>
    </row>
    <row r="761">
      <c r="A761" s="10" t="s">
        <v>4113</v>
      </c>
      <c r="B761" s="10" t="s">
        <v>65</v>
      </c>
      <c r="C761" s="11">
        <v>46138.0</v>
      </c>
      <c r="D761" s="10" t="s">
        <v>5773</v>
      </c>
      <c r="E761" s="10" t="s">
        <v>5774</v>
      </c>
      <c r="F761" s="10"/>
      <c r="G761" s="200" t="s">
        <v>5775</v>
      </c>
      <c r="H761" s="10" t="s">
        <v>5776</v>
      </c>
      <c r="I761" s="14" t="b">
        <v>1</v>
      </c>
      <c r="J761" s="200" t="s">
        <v>382</v>
      </c>
      <c r="K761" s="10"/>
      <c r="L761" s="10"/>
      <c r="M761" s="10"/>
      <c r="N761" s="10"/>
      <c r="O761" s="200">
        <v>95.0</v>
      </c>
      <c r="P761" s="17">
        <v>2151376.0</v>
      </c>
      <c r="Q761" s="234" t="b">
        <v>1</v>
      </c>
      <c r="R761" s="10"/>
    </row>
    <row r="762">
      <c r="A762" s="10" t="s">
        <v>4115</v>
      </c>
      <c r="B762" s="10" t="s">
        <v>65</v>
      </c>
      <c r="C762" s="11">
        <v>46138.0</v>
      </c>
      <c r="D762" s="10" t="s">
        <v>5773</v>
      </c>
      <c r="E762" s="10" t="s">
        <v>5777</v>
      </c>
      <c r="F762" s="10"/>
      <c r="G762" s="200" t="s">
        <v>5778</v>
      </c>
      <c r="H762" s="10" t="s">
        <v>5779</v>
      </c>
      <c r="I762" s="14" t="b">
        <v>1</v>
      </c>
      <c r="J762" s="200" t="s">
        <v>382</v>
      </c>
      <c r="K762" s="10"/>
      <c r="L762" s="10"/>
      <c r="M762" s="10"/>
      <c r="N762" s="10"/>
      <c r="O762" s="200">
        <v>123.0</v>
      </c>
      <c r="P762" s="17">
        <v>2151372.0</v>
      </c>
      <c r="Q762" s="234" t="b">
        <v>1</v>
      </c>
      <c r="R762" s="10"/>
    </row>
    <row r="763">
      <c r="A763" s="10" t="s">
        <v>4118</v>
      </c>
      <c r="B763" s="10" t="s">
        <v>65</v>
      </c>
      <c r="C763" s="11">
        <v>46139.0</v>
      </c>
      <c r="D763" s="10" t="s">
        <v>246</v>
      </c>
      <c r="E763" s="10" t="s">
        <v>5780</v>
      </c>
      <c r="F763" s="10"/>
      <c r="G763" s="200" t="s">
        <v>5781</v>
      </c>
      <c r="H763" s="10" t="s">
        <v>250</v>
      </c>
      <c r="I763" s="14" t="b">
        <v>0</v>
      </c>
      <c r="J763" s="200" t="s">
        <v>382</v>
      </c>
      <c r="K763" s="10"/>
      <c r="L763" s="10"/>
      <c r="M763" s="10"/>
      <c r="N763" s="10"/>
      <c r="O763" s="200">
        <v>280.99</v>
      </c>
      <c r="P763" s="10"/>
      <c r="Q763" s="234" t="b">
        <v>1</v>
      </c>
      <c r="R763" s="10"/>
      <c r="S763" s="16">
        <v>5.73</v>
      </c>
    </row>
    <row r="764">
      <c r="A764" s="10" t="s">
        <v>4078</v>
      </c>
      <c r="B764" s="10" t="s">
        <v>65</v>
      </c>
      <c r="C764" s="11">
        <v>46134.0</v>
      </c>
      <c r="D764" s="10" t="s">
        <v>189</v>
      </c>
      <c r="E764" s="10" t="s">
        <v>5785</v>
      </c>
      <c r="F764" s="10"/>
      <c r="G764" s="200" t="s">
        <v>5786</v>
      </c>
      <c r="H764" s="10" t="s">
        <v>460</v>
      </c>
      <c r="I764" s="14" t="b">
        <v>1</v>
      </c>
      <c r="J764" s="200" t="s">
        <v>382</v>
      </c>
      <c r="K764" s="10"/>
      <c r="L764" s="10"/>
      <c r="M764" s="10"/>
      <c r="N764" s="10"/>
      <c r="O764" s="200">
        <v>314.12</v>
      </c>
      <c r="P764" s="17">
        <v>2154363.0</v>
      </c>
      <c r="Q764" s="234" t="b">
        <v>1</v>
      </c>
      <c r="R764" s="10"/>
    </row>
    <row r="765">
      <c r="A765" s="10" t="s">
        <v>4142</v>
      </c>
      <c r="B765" s="10" t="s">
        <v>65</v>
      </c>
      <c r="C765" s="11">
        <v>46140.0</v>
      </c>
      <c r="D765" s="10" t="s">
        <v>131</v>
      </c>
      <c r="E765" s="10" t="s">
        <v>5787</v>
      </c>
      <c r="F765" s="10"/>
      <c r="G765" s="200" t="s">
        <v>5788</v>
      </c>
      <c r="H765" s="10" t="s">
        <v>5789</v>
      </c>
      <c r="I765" s="14" t="b">
        <v>0</v>
      </c>
      <c r="J765" s="200" t="s">
        <v>382</v>
      </c>
      <c r="K765" s="10"/>
      <c r="L765" s="10"/>
      <c r="M765" s="10"/>
      <c r="N765" s="10"/>
      <c r="O765" s="200">
        <v>8.16</v>
      </c>
      <c r="P765" s="10"/>
      <c r="Q765" s="234" t="b">
        <v>1</v>
      </c>
      <c r="R765" s="10"/>
    </row>
    <row r="766">
      <c r="A766" s="10" t="s">
        <v>4149</v>
      </c>
      <c r="B766" s="10" t="s">
        <v>65</v>
      </c>
      <c r="C766" s="11">
        <v>46140.0</v>
      </c>
      <c r="D766" s="10" t="s">
        <v>131</v>
      </c>
      <c r="E766" s="10" t="s">
        <v>5790</v>
      </c>
      <c r="F766" s="10"/>
      <c r="G766" s="200" t="s">
        <v>5791</v>
      </c>
      <c r="H766" s="10" t="s">
        <v>5792</v>
      </c>
      <c r="I766" s="14" t="b">
        <v>0</v>
      </c>
      <c r="J766" s="200" t="s">
        <v>382</v>
      </c>
      <c r="K766" s="10"/>
      <c r="L766" s="10"/>
      <c r="M766" s="10"/>
      <c r="N766" s="10"/>
      <c r="O766" s="200">
        <v>139.61</v>
      </c>
      <c r="P766" s="10"/>
      <c r="Q766" s="234" t="b">
        <v>1</v>
      </c>
      <c r="R766" s="10"/>
    </row>
    <row r="767">
      <c r="A767" s="10" t="s">
        <v>4156</v>
      </c>
      <c r="B767" s="10" t="s">
        <v>65</v>
      </c>
      <c r="C767" s="11">
        <v>46140.0</v>
      </c>
      <c r="D767" s="10" t="s">
        <v>131</v>
      </c>
      <c r="E767" s="10" t="s">
        <v>5793</v>
      </c>
      <c r="F767" s="10"/>
      <c r="G767" s="200" t="s">
        <v>5794</v>
      </c>
      <c r="H767" s="10" t="s">
        <v>171</v>
      </c>
      <c r="I767" s="14" t="b">
        <v>0</v>
      </c>
      <c r="J767" s="200" t="s">
        <v>382</v>
      </c>
      <c r="K767" s="10"/>
      <c r="L767" s="200" t="s">
        <v>5795</v>
      </c>
      <c r="M767" s="10"/>
      <c r="N767" s="10"/>
      <c r="O767" s="200">
        <v>5837.22</v>
      </c>
      <c r="P767" s="10"/>
      <c r="Q767" s="234" t="b">
        <v>1</v>
      </c>
      <c r="R767" s="10"/>
    </row>
    <row r="768">
      <c r="A768" s="10" t="s">
        <v>4170</v>
      </c>
      <c r="B768" s="10" t="s">
        <v>65</v>
      </c>
      <c r="C768" s="11">
        <v>46142.0</v>
      </c>
      <c r="D768" s="10" t="s">
        <v>5797</v>
      </c>
      <c r="E768" s="10" t="s">
        <v>5798</v>
      </c>
      <c r="F768" s="10"/>
      <c r="G768" s="200" t="s">
        <v>5799</v>
      </c>
      <c r="H768" s="10" t="s">
        <v>5800</v>
      </c>
      <c r="I768" s="14" t="b">
        <v>1</v>
      </c>
      <c r="J768" s="200" t="s">
        <v>382</v>
      </c>
      <c r="K768" s="10"/>
      <c r="L768" s="10"/>
      <c r="M768" s="10"/>
      <c r="N768" s="10"/>
      <c r="O768" s="200">
        <v>25.0</v>
      </c>
      <c r="P768" s="17">
        <v>2157226.0</v>
      </c>
      <c r="Q768" s="234" t="b">
        <v>1</v>
      </c>
      <c r="R768" s="10"/>
    </row>
    <row r="769">
      <c r="A769" s="10" t="s">
        <v>4174</v>
      </c>
      <c r="B769" s="10" t="s">
        <v>65</v>
      </c>
      <c r="C769" s="11">
        <v>46142.0</v>
      </c>
      <c r="D769" s="17">
        <v>8.627274E7</v>
      </c>
      <c r="E769" s="10" t="s">
        <v>5801</v>
      </c>
      <c r="F769" s="10"/>
      <c r="G769" s="200" t="s">
        <v>5802</v>
      </c>
      <c r="H769" s="10" t="s">
        <v>195</v>
      </c>
      <c r="I769" s="14" t="b">
        <v>1</v>
      </c>
      <c r="J769" s="200" t="s">
        <v>382</v>
      </c>
      <c r="K769" s="10"/>
      <c r="L769" s="10"/>
      <c r="M769" s="10"/>
      <c r="N769" s="10"/>
      <c r="O769" s="200">
        <v>8.68</v>
      </c>
      <c r="P769" s="17">
        <v>2157217.0</v>
      </c>
      <c r="Q769" s="234" t="b">
        <v>1</v>
      </c>
      <c r="R769" s="10"/>
    </row>
    <row r="770">
      <c r="A770" s="10" t="s">
        <v>4178</v>
      </c>
      <c r="B770" s="10" t="s">
        <v>65</v>
      </c>
      <c r="C770" s="11">
        <v>46142.0</v>
      </c>
      <c r="D770" s="17">
        <v>8.627274E7</v>
      </c>
      <c r="E770" s="10" t="s">
        <v>5803</v>
      </c>
      <c r="F770" s="10"/>
      <c r="G770" s="200" t="s">
        <v>5804</v>
      </c>
      <c r="H770" s="10" t="s">
        <v>5805</v>
      </c>
      <c r="I770" s="14" t="b">
        <v>1</v>
      </c>
      <c r="J770" s="200" t="s">
        <v>382</v>
      </c>
      <c r="K770" s="10"/>
      <c r="L770" s="10"/>
      <c r="M770" s="10"/>
      <c r="N770" s="10"/>
      <c r="O770" s="200">
        <v>101.61</v>
      </c>
      <c r="P770" s="17">
        <v>2157484.0</v>
      </c>
      <c r="Q770" s="234" t="b">
        <v>1</v>
      </c>
      <c r="R770" s="10"/>
    </row>
    <row r="771">
      <c r="A771" s="10" t="s">
        <v>4204</v>
      </c>
      <c r="B771" s="10" t="s">
        <v>65</v>
      </c>
      <c r="C771" s="11">
        <v>46144.0</v>
      </c>
      <c r="D771" s="10" t="s">
        <v>202</v>
      </c>
      <c r="E771" s="10" t="s">
        <v>5806</v>
      </c>
      <c r="F771" s="10"/>
      <c r="G771" s="200" t="s">
        <v>5807</v>
      </c>
      <c r="H771" s="10" t="s">
        <v>481</v>
      </c>
      <c r="I771" s="14" t="b">
        <v>0</v>
      </c>
      <c r="J771" s="200" t="s">
        <v>382</v>
      </c>
      <c r="K771" s="10"/>
      <c r="L771" s="10"/>
      <c r="M771" s="10"/>
      <c r="N771" s="10"/>
      <c r="O771" s="200">
        <v>230.0</v>
      </c>
      <c r="P771" s="10"/>
      <c r="Q771" s="234" t="b">
        <v>1</v>
      </c>
      <c r="R771" s="10"/>
    </row>
    <row r="772">
      <c r="A772" s="10" t="s">
        <v>4199</v>
      </c>
      <c r="B772" s="10" t="s">
        <v>65</v>
      </c>
      <c r="C772" s="11">
        <v>46143.0</v>
      </c>
      <c r="D772" s="10" t="s">
        <v>3175</v>
      </c>
      <c r="E772" s="10" t="s">
        <v>5809</v>
      </c>
      <c r="F772" s="10"/>
      <c r="G772" s="200" t="s">
        <v>5811</v>
      </c>
      <c r="H772" s="10" t="s">
        <v>3593</v>
      </c>
      <c r="I772" s="14" t="b">
        <v>1</v>
      </c>
      <c r="J772" s="200" t="s">
        <v>382</v>
      </c>
      <c r="K772" s="10"/>
      <c r="L772" s="10"/>
      <c r="M772" s="10"/>
      <c r="N772" s="10"/>
      <c r="O772" s="200">
        <v>60.0</v>
      </c>
      <c r="P772" s="17">
        <v>2160059.0</v>
      </c>
      <c r="Q772" s="234" t="b">
        <v>1</v>
      </c>
      <c r="R772" s="10"/>
    </row>
    <row r="773">
      <c r="A773" s="10" t="s">
        <v>4165</v>
      </c>
      <c r="B773" s="10" t="s">
        <v>65</v>
      </c>
      <c r="C773" s="11">
        <v>46140.0</v>
      </c>
      <c r="D773" s="10" t="s">
        <v>131</v>
      </c>
      <c r="E773" s="10" t="s">
        <v>5812</v>
      </c>
      <c r="F773" s="10"/>
      <c r="G773" s="200" t="s">
        <v>5814</v>
      </c>
      <c r="H773" s="10" t="s">
        <v>136</v>
      </c>
      <c r="I773" s="14" t="b">
        <v>0</v>
      </c>
      <c r="J773" s="200" t="s">
        <v>382</v>
      </c>
      <c r="K773" s="10"/>
      <c r="L773" s="10"/>
      <c r="M773" s="10"/>
      <c r="N773" s="10"/>
      <c r="O773" s="200">
        <v>550.69</v>
      </c>
      <c r="P773" s="10"/>
      <c r="Q773" s="234" t="b">
        <v>1</v>
      </c>
      <c r="R773" s="10"/>
    </row>
    <row r="774">
      <c r="A774" s="10" t="s">
        <v>4207</v>
      </c>
      <c r="B774" s="10" t="s">
        <v>65</v>
      </c>
      <c r="C774" s="11">
        <v>46144.0</v>
      </c>
      <c r="D774" s="10" t="s">
        <v>3175</v>
      </c>
      <c r="E774" s="10" t="s">
        <v>5816</v>
      </c>
      <c r="F774" s="10"/>
      <c r="G774" s="200" t="s">
        <v>5817</v>
      </c>
      <c r="H774" s="10" t="s">
        <v>3593</v>
      </c>
      <c r="I774" s="14" t="b">
        <v>1</v>
      </c>
      <c r="J774" s="200" t="s">
        <v>382</v>
      </c>
      <c r="K774" s="10"/>
      <c r="L774" s="10"/>
      <c r="M774" s="10"/>
      <c r="N774" s="10"/>
      <c r="O774" s="200">
        <v>50.0</v>
      </c>
      <c r="P774" s="17">
        <v>2160881.0</v>
      </c>
      <c r="Q774" s="234" t="b">
        <v>1</v>
      </c>
      <c r="R774" s="10"/>
    </row>
    <row r="775">
      <c r="A775" s="10" t="s">
        <v>4209</v>
      </c>
      <c r="B775" s="10" t="s">
        <v>65</v>
      </c>
      <c r="C775" s="11">
        <v>46145.0</v>
      </c>
      <c r="D775" s="10" t="s">
        <v>163</v>
      </c>
      <c r="E775" s="10" t="s">
        <v>5818</v>
      </c>
      <c r="F775" s="10"/>
      <c r="G775" s="200" t="s">
        <v>5819</v>
      </c>
      <c r="H775" s="10" t="s">
        <v>157</v>
      </c>
      <c r="I775" s="14" t="b">
        <v>1</v>
      </c>
      <c r="J775" s="200" t="s">
        <v>382</v>
      </c>
      <c r="K775" s="10"/>
      <c r="L775" s="10"/>
      <c r="M775" s="10"/>
      <c r="N775" s="10"/>
      <c r="O775" s="200">
        <v>91.64</v>
      </c>
      <c r="P775" s="17">
        <v>2164132.0</v>
      </c>
      <c r="Q775" s="234" t="b">
        <v>1</v>
      </c>
      <c r="R775" s="10"/>
    </row>
    <row r="776">
      <c r="A776" s="10" t="s">
        <v>4202</v>
      </c>
      <c r="B776" s="10" t="s">
        <v>65</v>
      </c>
      <c r="C776" s="11">
        <v>46143.0</v>
      </c>
      <c r="D776" s="10" t="s">
        <v>189</v>
      </c>
      <c r="E776" s="10" t="s">
        <v>5822</v>
      </c>
      <c r="F776" s="10"/>
      <c r="G776" s="200" t="s">
        <v>5823</v>
      </c>
      <c r="H776" s="10" t="s">
        <v>195</v>
      </c>
      <c r="I776" s="14" t="b">
        <v>0</v>
      </c>
      <c r="J776" s="200" t="s">
        <v>382</v>
      </c>
      <c r="K776" s="10"/>
      <c r="L776" s="10"/>
      <c r="M776" s="10"/>
      <c r="N776" s="10"/>
      <c r="O776" s="200">
        <v>222.6</v>
      </c>
      <c r="P776" s="10"/>
      <c r="Q776" s="234" t="b">
        <v>1</v>
      </c>
      <c r="R776" s="10"/>
    </row>
    <row r="777">
      <c r="A777" s="10" t="s">
        <v>4225</v>
      </c>
      <c r="B777" s="10" t="s">
        <v>65</v>
      </c>
      <c r="C777" s="11">
        <v>46147.0</v>
      </c>
      <c r="D777" s="10" t="s">
        <v>163</v>
      </c>
      <c r="E777" s="10" t="s">
        <v>5826</v>
      </c>
      <c r="F777" s="10"/>
      <c r="G777" s="200" t="s">
        <v>5827</v>
      </c>
      <c r="H777" s="10" t="s">
        <v>1010</v>
      </c>
      <c r="I777" s="14" t="b">
        <v>1</v>
      </c>
      <c r="J777" s="200" t="s">
        <v>382</v>
      </c>
      <c r="K777" s="10"/>
      <c r="L777" s="10"/>
      <c r="M777" s="10"/>
      <c r="N777" s="10"/>
      <c r="O777" s="200">
        <v>93.23</v>
      </c>
      <c r="P777" s="17">
        <v>2166228.0</v>
      </c>
      <c r="Q777" s="234" t="b">
        <v>1</v>
      </c>
      <c r="R777" s="10"/>
    </row>
    <row r="778">
      <c r="A778" s="10" t="s">
        <v>4233</v>
      </c>
      <c r="B778" s="10" t="s">
        <v>65</v>
      </c>
      <c r="C778" s="11">
        <v>46147.0</v>
      </c>
      <c r="D778" s="10" t="s">
        <v>2736</v>
      </c>
      <c r="E778" s="10" t="s">
        <v>5828</v>
      </c>
      <c r="F778" s="10"/>
      <c r="G778" s="200" t="s">
        <v>5830</v>
      </c>
      <c r="H778" s="10" t="s">
        <v>5832</v>
      </c>
      <c r="I778" s="14" t="b">
        <v>0</v>
      </c>
      <c r="J778" s="200" t="s">
        <v>382</v>
      </c>
      <c r="K778" s="10"/>
      <c r="L778" s="200" t="s">
        <v>5833</v>
      </c>
      <c r="M778" s="10"/>
      <c r="N778" s="10"/>
      <c r="O778" s="200">
        <v>350.52</v>
      </c>
      <c r="P778" s="10"/>
      <c r="Q778" s="234" t="b">
        <v>1</v>
      </c>
      <c r="R778" s="10"/>
    </row>
    <row r="779">
      <c r="A779" s="10" t="s">
        <v>4237</v>
      </c>
      <c r="B779" s="10" t="s">
        <v>65</v>
      </c>
      <c r="C779" s="11">
        <v>46147.0</v>
      </c>
      <c r="D779" s="10" t="s">
        <v>1888</v>
      </c>
      <c r="E779" s="10" t="s">
        <v>5834</v>
      </c>
      <c r="F779" s="10"/>
      <c r="G779" s="200" t="s">
        <v>5835</v>
      </c>
      <c r="H779" s="10" t="s">
        <v>149</v>
      </c>
      <c r="I779" s="14" t="b">
        <v>0</v>
      </c>
      <c r="J779" s="200" t="s">
        <v>382</v>
      </c>
      <c r="K779" s="10"/>
      <c r="L779" s="10"/>
      <c r="M779" s="10"/>
      <c r="N779" s="10"/>
      <c r="O779" s="200">
        <v>238.44</v>
      </c>
      <c r="P779" s="10"/>
      <c r="Q779" s="234" t="b">
        <v>1</v>
      </c>
      <c r="R779" s="10"/>
    </row>
    <row r="780">
      <c r="A780" s="10" t="s">
        <v>4244</v>
      </c>
      <c r="B780" s="10" t="s">
        <v>65</v>
      </c>
      <c r="C780" s="11">
        <v>46147.0</v>
      </c>
      <c r="D780" s="10" t="s">
        <v>1888</v>
      </c>
      <c r="E780" s="10" t="s">
        <v>5834</v>
      </c>
      <c r="F780" s="10"/>
      <c r="G780" s="200" t="s">
        <v>5836</v>
      </c>
      <c r="H780" s="10" t="s">
        <v>149</v>
      </c>
      <c r="I780" s="14" t="b">
        <v>0</v>
      </c>
      <c r="J780" s="200" t="s">
        <v>382</v>
      </c>
      <c r="K780" s="10"/>
      <c r="L780" s="10"/>
      <c r="M780" s="10"/>
      <c r="N780" s="10"/>
      <c r="O780" s="200">
        <v>206.4</v>
      </c>
      <c r="P780" s="10"/>
      <c r="Q780" s="234" t="b">
        <v>1</v>
      </c>
      <c r="R780" s="10"/>
    </row>
    <row r="781">
      <c r="A781" s="10" t="s">
        <v>4276</v>
      </c>
      <c r="B781" s="10" t="s">
        <v>65</v>
      </c>
      <c r="C781" s="11">
        <v>46152.0</v>
      </c>
      <c r="D781" s="10" t="s">
        <v>3175</v>
      </c>
      <c r="E781" s="10" t="s">
        <v>5837</v>
      </c>
      <c r="F781" s="10"/>
      <c r="G781" s="200" t="s">
        <v>5838</v>
      </c>
      <c r="H781" s="10" t="s">
        <v>3593</v>
      </c>
      <c r="I781" s="14" t="b">
        <v>1</v>
      </c>
      <c r="J781" s="200" t="s">
        <v>382</v>
      </c>
      <c r="K781" s="10"/>
      <c r="L781" s="10"/>
      <c r="M781" s="10"/>
      <c r="N781" s="10"/>
      <c r="O781" s="200">
        <v>45.0</v>
      </c>
      <c r="P781" s="17">
        <v>2174347.0</v>
      </c>
      <c r="Q781" s="234" t="b">
        <v>1</v>
      </c>
      <c r="R781" s="10"/>
    </row>
    <row r="782">
      <c r="A782" s="10" t="s">
        <v>4261</v>
      </c>
      <c r="B782" s="10" t="s">
        <v>65</v>
      </c>
      <c r="C782" s="11">
        <v>46151.0</v>
      </c>
      <c r="D782" s="17">
        <v>8.627274E7</v>
      </c>
      <c r="E782" s="10" t="s">
        <v>5839</v>
      </c>
      <c r="F782" s="10"/>
      <c r="G782" s="200" t="s">
        <v>5840</v>
      </c>
      <c r="H782" s="10" t="s">
        <v>1010</v>
      </c>
      <c r="I782" s="14" t="b">
        <v>1</v>
      </c>
      <c r="J782" s="200" t="s">
        <v>382</v>
      </c>
      <c r="K782" s="10"/>
      <c r="L782" s="10"/>
      <c r="M782" s="10"/>
      <c r="N782" s="10"/>
      <c r="O782" s="200">
        <v>119.63</v>
      </c>
      <c r="P782" s="17">
        <v>2174271.0</v>
      </c>
      <c r="Q782" s="234" t="b">
        <v>1</v>
      </c>
      <c r="R782" s="10"/>
      <c r="S782" s="16"/>
    </row>
    <row r="783">
      <c r="A783" s="10" t="s">
        <v>4257</v>
      </c>
      <c r="B783" s="10" t="s">
        <v>65</v>
      </c>
      <c r="C783" s="11">
        <v>46150.0</v>
      </c>
      <c r="D783" s="10" t="s">
        <v>973</v>
      </c>
      <c r="E783" s="10" t="s">
        <v>5842</v>
      </c>
      <c r="F783" s="10"/>
      <c r="G783" s="200" t="s">
        <v>5843</v>
      </c>
      <c r="H783" s="10" t="s">
        <v>4507</v>
      </c>
      <c r="I783" s="14" t="b">
        <v>1</v>
      </c>
      <c r="J783" s="200" t="s">
        <v>382</v>
      </c>
      <c r="K783" s="10"/>
      <c r="L783" s="10"/>
      <c r="M783" s="10"/>
      <c r="N783" s="10"/>
      <c r="O783" s="200">
        <v>15.0</v>
      </c>
      <c r="P783" s="17">
        <v>2172070.0</v>
      </c>
      <c r="Q783" s="234" t="b">
        <v>1</v>
      </c>
      <c r="R783" s="10"/>
    </row>
    <row r="784">
      <c r="A784" s="10" t="s">
        <v>4251</v>
      </c>
      <c r="B784" s="10" t="s">
        <v>65</v>
      </c>
      <c r="C784" s="11">
        <v>46147.0</v>
      </c>
      <c r="D784" s="10" t="s">
        <v>297</v>
      </c>
      <c r="E784" s="10" t="s">
        <v>5846</v>
      </c>
      <c r="F784" s="10"/>
      <c r="G784" s="200" t="s">
        <v>5847</v>
      </c>
      <c r="H784" s="10" t="s">
        <v>5848</v>
      </c>
      <c r="I784" s="14" t="b">
        <v>0</v>
      </c>
      <c r="J784" s="200" t="s">
        <v>382</v>
      </c>
      <c r="K784" s="10"/>
      <c r="L784" s="200" t="s">
        <v>5849</v>
      </c>
      <c r="M784" s="10"/>
      <c r="N784" s="10"/>
      <c r="O784" s="200">
        <v>2274.02</v>
      </c>
      <c r="P784" s="10"/>
      <c r="Q784" s="234" t="b">
        <v>1</v>
      </c>
      <c r="R784" s="10"/>
    </row>
    <row r="785">
      <c r="A785" s="10" t="s">
        <v>4278</v>
      </c>
      <c r="B785" s="10" t="s">
        <v>65</v>
      </c>
      <c r="C785" s="11">
        <v>46152.0</v>
      </c>
      <c r="D785" s="10" t="s">
        <v>5445</v>
      </c>
      <c r="E785" s="10" t="s">
        <v>5850</v>
      </c>
      <c r="F785" s="10"/>
      <c r="G785" s="200" t="s">
        <v>5851</v>
      </c>
      <c r="H785" s="10" t="s">
        <v>5652</v>
      </c>
      <c r="I785" s="14" t="b">
        <v>1</v>
      </c>
      <c r="J785" s="200" t="s">
        <v>382</v>
      </c>
      <c r="K785" s="10"/>
      <c r="L785" s="10"/>
      <c r="M785" s="10"/>
      <c r="N785" s="10"/>
      <c r="O785" s="200">
        <v>180.0</v>
      </c>
      <c r="P785" s="17">
        <v>2174614.0</v>
      </c>
      <c r="Q785" s="234" t="b">
        <v>1</v>
      </c>
      <c r="R785" s="10"/>
    </row>
    <row r="786">
      <c r="A786" s="10" t="s">
        <v>4219</v>
      </c>
      <c r="B786" s="10" t="s">
        <v>65</v>
      </c>
      <c r="C786" s="11">
        <v>46146.0</v>
      </c>
      <c r="D786" s="10" t="s">
        <v>751</v>
      </c>
      <c r="E786" s="10" t="s">
        <v>5852</v>
      </c>
      <c r="F786" s="10"/>
      <c r="G786" s="200" t="s">
        <v>5853</v>
      </c>
      <c r="H786" s="10" t="s">
        <v>481</v>
      </c>
      <c r="I786" s="14" t="b">
        <v>0</v>
      </c>
      <c r="J786" s="200" t="s">
        <v>382</v>
      </c>
      <c r="K786" s="10"/>
      <c r="L786" s="10"/>
      <c r="M786" s="10"/>
      <c r="N786" s="10"/>
      <c r="O786" s="200">
        <v>138.0</v>
      </c>
      <c r="P786" s="10"/>
      <c r="Q786" s="234" t="b">
        <v>1</v>
      </c>
      <c r="R786" s="10"/>
    </row>
    <row r="787">
      <c r="A787" s="10" t="s">
        <v>4282</v>
      </c>
      <c r="B787" s="10" t="s">
        <v>65</v>
      </c>
      <c r="C787" s="11">
        <v>46153.0</v>
      </c>
      <c r="D787" s="10" t="s">
        <v>973</v>
      </c>
      <c r="E787" s="10" t="s">
        <v>5854</v>
      </c>
      <c r="F787" s="10"/>
      <c r="G787" s="200" t="s">
        <v>5855</v>
      </c>
      <c r="H787" s="10" t="s">
        <v>4507</v>
      </c>
      <c r="I787" s="14" t="b">
        <v>1</v>
      </c>
      <c r="J787" s="200" t="s">
        <v>382</v>
      </c>
      <c r="K787" s="10"/>
      <c r="L787" s="10"/>
      <c r="M787" s="10"/>
      <c r="N787" s="10"/>
      <c r="O787" s="200">
        <v>24.0</v>
      </c>
      <c r="P787" s="17">
        <v>2176587.0</v>
      </c>
      <c r="Q787" s="234" t="b">
        <v>1</v>
      </c>
      <c r="R787" s="10"/>
    </row>
    <row r="788">
      <c r="A788" s="10" t="s">
        <v>4284</v>
      </c>
      <c r="B788" s="10" t="s">
        <v>65</v>
      </c>
      <c r="C788" s="11">
        <v>46153.0</v>
      </c>
      <c r="D788" s="10" t="s">
        <v>163</v>
      </c>
      <c r="E788" s="10" t="s">
        <v>5856</v>
      </c>
      <c r="F788" s="10"/>
      <c r="G788" s="200" t="s">
        <v>5857</v>
      </c>
      <c r="H788" s="10" t="s">
        <v>529</v>
      </c>
      <c r="I788" s="14" t="b">
        <v>1</v>
      </c>
      <c r="J788" s="200" t="s">
        <v>382</v>
      </c>
      <c r="K788" s="10"/>
      <c r="L788" s="10"/>
      <c r="M788" s="10"/>
      <c r="N788" s="10"/>
      <c r="O788" s="200">
        <v>13.98</v>
      </c>
      <c r="P788" s="17">
        <v>2176612.0</v>
      </c>
      <c r="Q788" s="234" t="b">
        <v>1</v>
      </c>
      <c r="R788" s="10"/>
    </row>
    <row r="789">
      <c r="A789" s="10" t="s">
        <v>4286</v>
      </c>
      <c r="B789" s="10" t="s">
        <v>65</v>
      </c>
      <c r="C789" s="11">
        <v>46153.0</v>
      </c>
      <c r="D789" s="10" t="s">
        <v>557</v>
      </c>
      <c r="E789" s="10" t="s">
        <v>5858</v>
      </c>
      <c r="F789" s="10"/>
      <c r="G789" s="200" t="s">
        <v>5859</v>
      </c>
      <c r="H789" s="10" t="s">
        <v>4970</v>
      </c>
      <c r="I789" s="14" t="b">
        <v>1</v>
      </c>
      <c r="J789" s="200" t="s">
        <v>382</v>
      </c>
      <c r="K789" s="10"/>
      <c r="L789" s="10"/>
      <c r="M789" s="10"/>
      <c r="N789" s="10"/>
      <c r="O789" s="200">
        <v>5.99</v>
      </c>
      <c r="P789" s="17">
        <v>2176613.0</v>
      </c>
      <c r="Q789" s="234" t="b">
        <v>1</v>
      </c>
      <c r="R789" s="10"/>
    </row>
    <row r="790">
      <c r="A790" s="10" t="s">
        <v>4290</v>
      </c>
      <c r="B790" s="10" t="s">
        <v>65</v>
      </c>
      <c r="C790" s="11">
        <v>46154.0</v>
      </c>
      <c r="D790" s="10" t="s">
        <v>2736</v>
      </c>
      <c r="E790" s="10" t="s">
        <v>5862</v>
      </c>
      <c r="F790" s="10"/>
      <c r="G790" s="200" t="s">
        <v>5863</v>
      </c>
      <c r="H790" s="10" t="s">
        <v>5864</v>
      </c>
      <c r="I790" s="14" t="b">
        <v>0</v>
      </c>
      <c r="J790" s="200" t="s">
        <v>382</v>
      </c>
      <c r="K790" s="10"/>
      <c r="L790" s="10"/>
      <c r="M790" s="10"/>
      <c r="N790" s="10"/>
      <c r="O790" s="200">
        <v>80.0</v>
      </c>
      <c r="P790" s="10"/>
      <c r="Q790" s="234" t="b">
        <v>1</v>
      </c>
      <c r="R790" s="10"/>
    </row>
    <row r="791">
      <c r="A791" s="10" t="s">
        <v>4354</v>
      </c>
      <c r="B791" s="10" t="s">
        <v>65</v>
      </c>
      <c r="C791" s="11">
        <v>46158.0</v>
      </c>
      <c r="D791" s="10" t="s">
        <v>163</v>
      </c>
      <c r="E791" s="10" t="s">
        <v>5865</v>
      </c>
      <c r="F791" s="10"/>
      <c r="G791" s="200" t="s">
        <v>5867</v>
      </c>
      <c r="H791" s="10" t="s">
        <v>195</v>
      </c>
      <c r="I791" s="14" t="b">
        <v>1</v>
      </c>
      <c r="J791" s="200" t="s">
        <v>382</v>
      </c>
      <c r="K791" s="10"/>
      <c r="L791" s="10"/>
      <c r="M791" s="10"/>
      <c r="N791" s="10"/>
      <c r="O791" s="200">
        <v>94.41</v>
      </c>
      <c r="P791" s="17">
        <v>2182889.0</v>
      </c>
      <c r="Q791" s="234" t="b">
        <v>1</v>
      </c>
      <c r="R791" s="10"/>
    </row>
    <row r="792">
      <c r="A792" s="10" t="s">
        <v>4339</v>
      </c>
      <c r="B792" s="10" t="s">
        <v>65</v>
      </c>
      <c r="C792" s="11">
        <v>46156.0</v>
      </c>
      <c r="D792" s="10" t="s">
        <v>215</v>
      </c>
      <c r="E792" s="10" t="s">
        <v>5870</v>
      </c>
      <c r="F792" s="10"/>
      <c r="G792" s="200" t="s">
        <v>5871</v>
      </c>
      <c r="H792" s="10" t="s">
        <v>965</v>
      </c>
      <c r="I792" s="14" t="b">
        <v>1</v>
      </c>
      <c r="J792" s="200" t="s">
        <v>382</v>
      </c>
      <c r="K792" s="10"/>
      <c r="L792" s="10"/>
      <c r="M792" s="10"/>
      <c r="N792" s="10"/>
      <c r="O792" s="200">
        <v>90.2</v>
      </c>
      <c r="P792" s="17">
        <v>2180005.0</v>
      </c>
      <c r="Q792" s="234" t="b">
        <v>1</v>
      </c>
      <c r="R792" s="10"/>
    </row>
    <row r="793">
      <c r="A793" s="10" t="s">
        <v>4351</v>
      </c>
      <c r="B793" s="10" t="s">
        <v>65</v>
      </c>
      <c r="C793" s="11">
        <v>46157.0</v>
      </c>
      <c r="D793" s="10" t="s">
        <v>202</v>
      </c>
      <c r="E793" s="10" t="s">
        <v>5873</v>
      </c>
      <c r="F793" s="10"/>
      <c r="G793" s="200" t="s">
        <v>5874</v>
      </c>
      <c r="H793" s="10" t="s">
        <v>481</v>
      </c>
      <c r="I793" s="14" t="b">
        <v>0</v>
      </c>
      <c r="J793" s="200" t="s">
        <v>382</v>
      </c>
      <c r="K793" s="10"/>
      <c r="L793" s="10"/>
      <c r="M793" s="10"/>
      <c r="N793" s="10"/>
      <c r="O793" s="200">
        <v>115.0</v>
      </c>
      <c r="P793" s="10"/>
      <c r="Q793" s="234" t="b">
        <v>1</v>
      </c>
      <c r="R793" s="10"/>
    </row>
    <row r="794">
      <c r="A794" s="10" t="s">
        <v>4293</v>
      </c>
      <c r="B794" s="10" t="s">
        <v>65</v>
      </c>
      <c r="C794" s="11">
        <v>46154.0</v>
      </c>
      <c r="D794" s="10" t="s">
        <v>131</v>
      </c>
      <c r="E794" s="10" t="s">
        <v>5875</v>
      </c>
      <c r="F794" s="10"/>
      <c r="G794" s="200" t="s">
        <v>5876</v>
      </c>
      <c r="H794" s="10" t="s">
        <v>5877</v>
      </c>
      <c r="I794" s="14" t="b">
        <v>0</v>
      </c>
      <c r="J794" s="200" t="s">
        <v>382</v>
      </c>
      <c r="K794" s="10"/>
      <c r="L794" s="10"/>
      <c r="M794" s="10"/>
      <c r="N794" s="10"/>
      <c r="O794" s="200">
        <v>112.38</v>
      </c>
      <c r="P794" s="10"/>
      <c r="Q794" s="234" t="b">
        <v>1</v>
      </c>
      <c r="R794" s="10"/>
    </row>
    <row r="795">
      <c r="A795" s="10" t="s">
        <v>4301</v>
      </c>
      <c r="B795" s="10" t="s">
        <v>65</v>
      </c>
      <c r="C795" s="11">
        <v>46154.0</v>
      </c>
      <c r="D795" s="10" t="s">
        <v>131</v>
      </c>
      <c r="E795" s="10" t="s">
        <v>5879</v>
      </c>
      <c r="F795" s="10"/>
      <c r="G795" s="200" t="s">
        <v>5880</v>
      </c>
      <c r="H795" s="10" t="s">
        <v>5262</v>
      </c>
      <c r="I795" s="14" t="b">
        <v>0</v>
      </c>
      <c r="J795" s="200" t="s">
        <v>382</v>
      </c>
      <c r="K795" s="10"/>
      <c r="L795" s="10"/>
      <c r="M795" s="10"/>
      <c r="N795" s="10"/>
      <c r="O795" s="200">
        <v>263.03</v>
      </c>
      <c r="P795" s="10"/>
      <c r="Q795" s="234" t="b">
        <v>1</v>
      </c>
      <c r="R795" s="10"/>
    </row>
    <row r="796">
      <c r="A796" s="17">
        <v>3.0498657E7</v>
      </c>
      <c r="B796" s="10" t="s">
        <v>65</v>
      </c>
      <c r="C796" s="11">
        <v>46154.0</v>
      </c>
      <c r="D796" s="10" t="s">
        <v>131</v>
      </c>
      <c r="E796" s="10" t="s">
        <v>5881</v>
      </c>
      <c r="F796" s="10"/>
      <c r="G796" s="200" t="s">
        <v>5883</v>
      </c>
      <c r="H796" s="10" t="s">
        <v>171</v>
      </c>
      <c r="I796" s="14" t="b">
        <v>0</v>
      </c>
      <c r="J796" s="200" t="s">
        <v>382</v>
      </c>
      <c r="K796" s="10"/>
      <c r="L796" s="200" t="s">
        <v>5885</v>
      </c>
      <c r="M796" s="200" t="s">
        <v>5886</v>
      </c>
      <c r="N796" s="10"/>
      <c r="O796" s="200">
        <v>8696.55</v>
      </c>
      <c r="P796" s="10"/>
      <c r="Q796" s="234" t="b">
        <v>1</v>
      </c>
      <c r="R796" s="10"/>
    </row>
    <row r="797">
      <c r="A797" s="10" t="s">
        <v>4320</v>
      </c>
      <c r="B797" s="10" t="s">
        <v>65</v>
      </c>
      <c r="C797" s="11">
        <v>46154.0</v>
      </c>
      <c r="D797" s="10" t="s">
        <v>131</v>
      </c>
      <c r="E797" s="10" t="s">
        <v>5887</v>
      </c>
      <c r="F797" s="10"/>
      <c r="G797" s="200" t="s">
        <v>5888</v>
      </c>
      <c r="H797" s="10" t="s">
        <v>5889</v>
      </c>
      <c r="I797" s="14" t="b">
        <v>0</v>
      </c>
      <c r="J797" s="200" t="s">
        <v>382</v>
      </c>
      <c r="K797" s="10"/>
      <c r="L797" s="10"/>
      <c r="M797" s="10"/>
      <c r="N797" s="10"/>
      <c r="O797" s="200">
        <v>776.57</v>
      </c>
      <c r="P797" s="10"/>
      <c r="Q797" s="234" t="b">
        <v>1</v>
      </c>
      <c r="R797" s="10"/>
    </row>
    <row r="798">
      <c r="A798" s="10" t="s">
        <v>4334</v>
      </c>
      <c r="B798" s="10" t="s">
        <v>65</v>
      </c>
      <c r="C798" s="11">
        <v>46155.0</v>
      </c>
      <c r="D798" s="10" t="s">
        <v>5891</v>
      </c>
      <c r="E798" s="10" t="s">
        <v>5892</v>
      </c>
      <c r="F798" s="10"/>
      <c r="G798" s="200" t="s">
        <v>5893</v>
      </c>
      <c r="H798" s="10" t="s">
        <v>5894</v>
      </c>
      <c r="I798" s="14" t="b">
        <v>0</v>
      </c>
      <c r="J798" s="200" t="s">
        <v>382</v>
      </c>
      <c r="K798" s="10"/>
      <c r="L798" s="10"/>
      <c r="M798" s="10"/>
      <c r="N798" s="10"/>
      <c r="O798" s="200">
        <v>1909.6</v>
      </c>
      <c r="P798" s="10"/>
      <c r="Q798" s="234" t="b">
        <v>1</v>
      </c>
      <c r="R798" s="10"/>
    </row>
    <row r="799">
      <c r="A799" s="10" t="s">
        <v>4362</v>
      </c>
      <c r="B799" s="10" t="s">
        <v>65</v>
      </c>
      <c r="C799" s="11">
        <v>46161.0</v>
      </c>
      <c r="D799" s="10" t="s">
        <v>153</v>
      </c>
      <c r="E799" s="10" t="s">
        <v>5896</v>
      </c>
      <c r="F799" s="10"/>
      <c r="G799" s="200" t="s">
        <v>5898</v>
      </c>
      <c r="H799" s="10" t="s">
        <v>157</v>
      </c>
      <c r="I799" s="14" t="b">
        <v>1</v>
      </c>
      <c r="J799" s="200" t="s">
        <v>382</v>
      </c>
      <c r="K799" s="10"/>
      <c r="L799" s="10"/>
      <c r="M799" s="10"/>
      <c r="N799" s="10"/>
      <c r="O799" s="200">
        <v>4.34</v>
      </c>
      <c r="P799" s="17">
        <v>2187601.0</v>
      </c>
      <c r="Q799" s="234" t="b">
        <v>1</v>
      </c>
      <c r="R799" s="10"/>
    </row>
    <row r="800">
      <c r="A800" s="10" t="s">
        <v>4360</v>
      </c>
      <c r="B800" s="10" t="s">
        <v>65</v>
      </c>
      <c r="C800" s="11">
        <v>46160.0</v>
      </c>
      <c r="D800" s="10" t="s">
        <v>751</v>
      </c>
      <c r="E800" s="10" t="s">
        <v>5901</v>
      </c>
      <c r="F800" s="10"/>
      <c r="G800" s="200" t="s">
        <v>5902</v>
      </c>
      <c r="H800" s="10" t="s">
        <v>481</v>
      </c>
      <c r="I800" s="14" t="b">
        <v>0</v>
      </c>
      <c r="J800" s="200" t="s">
        <v>382</v>
      </c>
      <c r="K800" s="10"/>
      <c r="L800" s="10"/>
      <c r="M800" s="10"/>
      <c r="N800" s="10"/>
      <c r="O800" s="200">
        <v>138.0</v>
      </c>
      <c r="P800" s="10"/>
      <c r="Q800" s="234" t="b">
        <v>1</v>
      </c>
      <c r="R800" s="10"/>
    </row>
    <row r="801">
      <c r="A801" s="10" t="s">
        <v>4365</v>
      </c>
      <c r="B801" s="10" t="s">
        <v>65</v>
      </c>
      <c r="C801" s="11">
        <v>46162.0</v>
      </c>
      <c r="D801" s="10" t="s">
        <v>557</v>
      </c>
      <c r="E801" s="10" t="s">
        <v>5903</v>
      </c>
      <c r="F801" s="10"/>
      <c r="G801" s="200" t="s">
        <v>5904</v>
      </c>
      <c r="H801" s="10" t="s">
        <v>5905</v>
      </c>
      <c r="I801" s="14" t="b">
        <v>1</v>
      </c>
      <c r="J801" s="200" t="s">
        <v>382</v>
      </c>
      <c r="K801" s="10"/>
      <c r="L801" s="10"/>
      <c r="M801" s="10"/>
      <c r="N801" s="10"/>
      <c r="O801" s="200">
        <v>24.98</v>
      </c>
      <c r="P801" s="17">
        <v>2188942.0</v>
      </c>
      <c r="Q801" s="234" t="b">
        <v>1</v>
      </c>
      <c r="R801" s="10"/>
    </row>
    <row r="802">
      <c r="A802" s="10" t="s">
        <v>4371</v>
      </c>
      <c r="B802" s="10" t="s">
        <v>65</v>
      </c>
      <c r="C802" s="11">
        <v>46162.0</v>
      </c>
      <c r="D802" s="17">
        <v>8.627274E7</v>
      </c>
      <c r="E802" s="10" t="s">
        <v>5906</v>
      </c>
      <c r="F802" s="10"/>
      <c r="G802" s="200" t="s">
        <v>5907</v>
      </c>
      <c r="H802" s="10" t="s">
        <v>1010</v>
      </c>
      <c r="I802" s="14" t="b">
        <v>1</v>
      </c>
      <c r="J802" s="200" t="s">
        <v>382</v>
      </c>
      <c r="K802" s="10"/>
      <c r="L802" s="10"/>
      <c r="M802" s="10"/>
      <c r="N802" s="10"/>
      <c r="O802" s="200">
        <v>163.76</v>
      </c>
      <c r="P802" s="17">
        <v>2188933.0</v>
      </c>
      <c r="Q802" s="234" t="b">
        <v>1</v>
      </c>
      <c r="R802" s="10"/>
    </row>
    <row r="803">
      <c r="A803" s="10" t="s">
        <v>4385</v>
      </c>
      <c r="B803" s="10" t="s">
        <v>65</v>
      </c>
      <c r="C803" s="11">
        <v>46162.0</v>
      </c>
      <c r="D803" s="10" t="s">
        <v>163</v>
      </c>
      <c r="E803" s="10" t="s">
        <v>5908</v>
      </c>
      <c r="F803" s="10"/>
      <c r="G803" s="200" t="s">
        <v>5909</v>
      </c>
      <c r="H803" s="10" t="s">
        <v>195</v>
      </c>
      <c r="I803" s="14" t="b">
        <v>1</v>
      </c>
      <c r="J803" s="200" t="s">
        <v>382</v>
      </c>
      <c r="K803" s="10"/>
      <c r="L803" s="10"/>
      <c r="M803" s="10"/>
      <c r="N803" s="10"/>
      <c r="O803" s="200">
        <v>75.49</v>
      </c>
      <c r="P803" s="17">
        <v>2188932.0</v>
      </c>
      <c r="Q803" s="234" t="b">
        <v>1</v>
      </c>
      <c r="R803" s="10"/>
    </row>
    <row r="804">
      <c r="A804" s="10" t="s">
        <v>4395</v>
      </c>
      <c r="B804" s="10" t="s">
        <v>65</v>
      </c>
      <c r="C804" s="11">
        <v>46163.0</v>
      </c>
      <c r="D804" s="10" t="s">
        <v>1888</v>
      </c>
      <c r="E804" s="10" t="s">
        <v>5910</v>
      </c>
      <c r="F804" s="10"/>
      <c r="G804" s="200" t="s">
        <v>5911</v>
      </c>
      <c r="H804" s="10" t="s">
        <v>149</v>
      </c>
      <c r="I804" s="14" t="b">
        <v>0</v>
      </c>
      <c r="J804" s="200" t="s">
        <v>382</v>
      </c>
      <c r="K804" s="10"/>
      <c r="L804" s="10"/>
      <c r="M804" s="10"/>
      <c r="N804" s="10"/>
      <c r="O804" s="200">
        <v>570.0</v>
      </c>
      <c r="P804" s="10"/>
      <c r="Q804" s="234" t="b">
        <v>1</v>
      </c>
      <c r="R804" s="10"/>
    </row>
    <row r="805">
      <c r="A805" s="10" t="s">
        <v>4325</v>
      </c>
      <c r="B805" s="10" t="s">
        <v>65</v>
      </c>
      <c r="C805" s="11">
        <v>46154.0</v>
      </c>
      <c r="D805" s="10" t="s">
        <v>131</v>
      </c>
      <c r="E805" s="10" t="s">
        <v>5912</v>
      </c>
      <c r="F805" s="10"/>
      <c r="G805" s="200" t="s">
        <v>5913</v>
      </c>
      <c r="H805" s="10" t="s">
        <v>5914</v>
      </c>
      <c r="I805" s="14" t="b">
        <v>0</v>
      </c>
      <c r="J805" s="200" t="s">
        <v>382</v>
      </c>
      <c r="K805" s="10"/>
      <c r="L805" s="10"/>
      <c r="M805" s="10"/>
      <c r="N805" s="10"/>
      <c r="O805" s="200">
        <v>279.23</v>
      </c>
      <c r="P805" s="10"/>
      <c r="Q805" s="234" t="b">
        <v>1</v>
      </c>
      <c r="R805" s="10"/>
    </row>
    <row r="806">
      <c r="A806" s="10" t="s">
        <v>4390</v>
      </c>
      <c r="B806" s="10" t="s">
        <v>65</v>
      </c>
      <c r="C806" s="11">
        <v>46162.0</v>
      </c>
      <c r="D806" s="10" t="s">
        <v>131</v>
      </c>
      <c r="E806" s="10" t="s">
        <v>5915</v>
      </c>
      <c r="F806" s="10"/>
      <c r="G806" s="200" t="s">
        <v>5916</v>
      </c>
      <c r="H806" s="10" t="s">
        <v>5917</v>
      </c>
      <c r="I806" s="14" t="b">
        <v>0</v>
      </c>
      <c r="J806" s="200" t="s">
        <v>382</v>
      </c>
      <c r="K806" s="10"/>
      <c r="L806" s="10"/>
      <c r="M806" s="10"/>
      <c r="N806" s="10"/>
      <c r="O806" s="200">
        <v>1681.72</v>
      </c>
      <c r="P806" s="10"/>
      <c r="Q806" s="234" t="b">
        <v>1</v>
      </c>
      <c r="R806" s="10"/>
    </row>
    <row r="807">
      <c r="A807" s="10" t="s">
        <v>4407</v>
      </c>
      <c r="B807" s="10" t="s">
        <v>65</v>
      </c>
      <c r="C807" s="11">
        <v>46164.0</v>
      </c>
      <c r="D807" s="10" t="s">
        <v>163</v>
      </c>
      <c r="E807" s="10" t="s">
        <v>5918</v>
      </c>
      <c r="F807" s="10"/>
      <c r="G807" s="200" t="s">
        <v>5919</v>
      </c>
      <c r="H807" s="10" t="s">
        <v>157</v>
      </c>
      <c r="I807" s="14" t="b">
        <v>1</v>
      </c>
      <c r="J807" s="200" t="s">
        <v>382</v>
      </c>
      <c r="K807" s="10"/>
      <c r="L807" s="10"/>
      <c r="M807" s="10"/>
      <c r="N807" s="10"/>
      <c r="O807" s="200">
        <v>15.98</v>
      </c>
      <c r="P807" s="17">
        <v>2191357.0</v>
      </c>
      <c r="Q807" s="234" t="b">
        <v>1</v>
      </c>
      <c r="R807" s="10"/>
    </row>
    <row r="808">
      <c r="A808" s="10" t="s">
        <v>4410</v>
      </c>
      <c r="B808" s="10" t="s">
        <v>65</v>
      </c>
      <c r="C808" s="11">
        <v>46164.0</v>
      </c>
      <c r="D808" s="10" t="s">
        <v>163</v>
      </c>
      <c r="E808" s="10" t="s">
        <v>5920</v>
      </c>
      <c r="F808" s="10"/>
      <c r="G808" s="200" t="s">
        <v>5921</v>
      </c>
      <c r="H808" s="10" t="s">
        <v>529</v>
      </c>
      <c r="I808" s="14" t="b">
        <v>1</v>
      </c>
      <c r="J808" s="200" t="s">
        <v>382</v>
      </c>
      <c r="K808" s="10"/>
      <c r="L808" s="10"/>
      <c r="M808" s="10"/>
      <c r="N808" s="10"/>
      <c r="O808" s="200">
        <v>4.99</v>
      </c>
      <c r="P808" s="17">
        <v>2191358.0</v>
      </c>
      <c r="Q808" s="234" t="b">
        <v>1</v>
      </c>
      <c r="R808" s="10"/>
    </row>
    <row r="809">
      <c r="A809" s="10" t="s">
        <v>4412</v>
      </c>
      <c r="B809" s="10" t="s">
        <v>65</v>
      </c>
      <c r="C809" s="11">
        <v>46164.0</v>
      </c>
      <c r="D809" s="10" t="s">
        <v>215</v>
      </c>
      <c r="E809" s="10" t="s">
        <v>5922</v>
      </c>
      <c r="F809" s="10"/>
      <c r="G809" s="200" t="s">
        <v>5923</v>
      </c>
      <c r="H809" s="10" t="s">
        <v>965</v>
      </c>
      <c r="I809" s="14" t="b">
        <v>1</v>
      </c>
      <c r="J809" s="200" t="s">
        <v>382</v>
      </c>
      <c r="K809" s="10"/>
      <c r="L809" s="10"/>
      <c r="M809" s="10"/>
      <c r="N809" s="10"/>
      <c r="O809" s="200">
        <v>48.0</v>
      </c>
      <c r="P809" s="17">
        <v>2191359.0</v>
      </c>
      <c r="Q809" s="234" t="b">
        <v>1</v>
      </c>
      <c r="R809" s="10"/>
    </row>
    <row r="810">
      <c r="A810" s="10" t="s">
        <v>4415</v>
      </c>
      <c r="B810" s="10" t="s">
        <v>65</v>
      </c>
      <c r="C810" s="11">
        <v>46164.0</v>
      </c>
      <c r="D810" s="10" t="s">
        <v>202</v>
      </c>
      <c r="E810" s="10" t="s">
        <v>5925</v>
      </c>
      <c r="F810" s="10"/>
      <c r="G810" s="200" t="s">
        <v>5926</v>
      </c>
      <c r="H810" s="10" t="s">
        <v>481</v>
      </c>
      <c r="I810" s="14" t="b">
        <v>0</v>
      </c>
      <c r="J810" s="200" t="s">
        <v>382</v>
      </c>
      <c r="K810" s="10"/>
      <c r="L810" s="10"/>
      <c r="M810" s="10"/>
      <c r="N810" s="10"/>
      <c r="O810" s="200">
        <v>161.0</v>
      </c>
      <c r="P810" s="10"/>
      <c r="Q810" s="234" t="b">
        <v>1</v>
      </c>
      <c r="R810" s="10"/>
    </row>
    <row r="811">
      <c r="A811" s="10" t="s">
        <v>4422</v>
      </c>
      <c r="B811" s="10" t="s">
        <v>65</v>
      </c>
      <c r="C811" s="11">
        <v>46166.0</v>
      </c>
      <c r="D811" s="10" t="s">
        <v>3175</v>
      </c>
      <c r="E811" s="10" t="s">
        <v>5927</v>
      </c>
      <c r="F811" s="10"/>
      <c r="G811" s="200" t="s">
        <v>5928</v>
      </c>
      <c r="H811" s="10" t="s">
        <v>3593</v>
      </c>
      <c r="I811" s="14" t="b">
        <v>1</v>
      </c>
      <c r="J811" s="200" t="s">
        <v>382</v>
      </c>
      <c r="K811" s="10"/>
      <c r="L811" s="10"/>
      <c r="M811" s="10"/>
      <c r="N811" s="10"/>
      <c r="O811" s="200">
        <v>127.0</v>
      </c>
      <c r="P811" s="17">
        <v>2194876.0</v>
      </c>
      <c r="Q811" s="234" t="b">
        <v>1</v>
      </c>
      <c r="R811" s="10"/>
    </row>
    <row r="812">
      <c r="A812" s="10" t="s">
        <v>125</v>
      </c>
      <c r="B812" s="10" t="s">
        <v>65</v>
      </c>
      <c r="C812" s="11">
        <v>46168.0</v>
      </c>
      <c r="D812" s="10" t="s">
        <v>163</v>
      </c>
      <c r="E812" s="10" t="s">
        <v>5929</v>
      </c>
      <c r="F812" s="10"/>
      <c r="G812" s="200" t="s">
        <v>5930</v>
      </c>
      <c r="H812" s="10" t="s">
        <v>195</v>
      </c>
      <c r="I812" s="14" t="b">
        <v>1</v>
      </c>
      <c r="J812" s="200" t="s">
        <v>382</v>
      </c>
      <c r="K812" s="10"/>
      <c r="L812" s="10"/>
      <c r="M812" s="10"/>
      <c r="N812" s="10"/>
      <c r="O812" s="200">
        <v>71.27</v>
      </c>
      <c r="P812" s="17">
        <v>2197278.0</v>
      </c>
      <c r="Q812" s="234" t="b">
        <v>1</v>
      </c>
      <c r="R812" s="10"/>
    </row>
    <row r="813">
      <c r="A813" s="10" t="s">
        <v>117</v>
      </c>
      <c r="B813" s="10" t="s">
        <v>65</v>
      </c>
      <c r="C813" s="11">
        <v>46168.0</v>
      </c>
      <c r="D813" s="17">
        <v>8.627274E7</v>
      </c>
      <c r="E813" s="10" t="s">
        <v>5932</v>
      </c>
      <c r="F813" s="10"/>
      <c r="G813" s="200" t="s">
        <v>5933</v>
      </c>
      <c r="H813" s="10" t="s">
        <v>195</v>
      </c>
      <c r="I813" s="14" t="b">
        <v>1</v>
      </c>
      <c r="J813" s="200" t="s">
        <v>382</v>
      </c>
      <c r="K813" s="10"/>
      <c r="L813" s="10"/>
      <c r="M813" s="10"/>
      <c r="N813" s="10"/>
      <c r="O813" s="200">
        <v>98.73</v>
      </c>
      <c r="P813" s="17">
        <v>2197276.0</v>
      </c>
      <c r="Q813" s="234" t="b">
        <v>1</v>
      </c>
      <c r="R813" s="10"/>
    </row>
    <row r="814">
      <c r="A814" s="10" t="s">
        <v>4418</v>
      </c>
      <c r="B814" s="10" t="s">
        <v>65</v>
      </c>
      <c r="C814" s="11">
        <v>46164.0</v>
      </c>
      <c r="D814" s="10" t="s">
        <v>5934</v>
      </c>
      <c r="E814" s="10" t="s">
        <v>5935</v>
      </c>
      <c r="F814" s="10"/>
      <c r="G814" s="200" t="s">
        <v>5936</v>
      </c>
      <c r="H814" s="10" t="s">
        <v>5937</v>
      </c>
      <c r="I814" s="14" t="b">
        <v>0</v>
      </c>
      <c r="J814" s="200" t="s">
        <v>382</v>
      </c>
      <c r="K814" s="10"/>
      <c r="L814" s="200" t="s">
        <v>5938</v>
      </c>
      <c r="M814" s="200" t="s">
        <v>5939</v>
      </c>
      <c r="N814" s="10"/>
      <c r="O814" s="200">
        <v>1203.21</v>
      </c>
      <c r="P814" s="10"/>
      <c r="Q814" s="234" t="b">
        <v>1</v>
      </c>
      <c r="R814" s="10"/>
    </row>
    <row r="815">
      <c r="A815" s="10" t="s">
        <v>4424</v>
      </c>
      <c r="B815" s="10" t="s">
        <v>65</v>
      </c>
      <c r="C815" s="11">
        <v>46167.0</v>
      </c>
      <c r="D815" s="10" t="s">
        <v>246</v>
      </c>
      <c r="E815" s="10" t="s">
        <v>5940</v>
      </c>
      <c r="F815" s="10"/>
      <c r="G815" s="200" t="s">
        <v>5941</v>
      </c>
      <c r="H815" s="10" t="s">
        <v>250</v>
      </c>
      <c r="I815" s="14" t="b">
        <v>0</v>
      </c>
      <c r="J815" s="200" t="s">
        <v>382</v>
      </c>
      <c r="K815" s="10"/>
      <c r="L815" s="10"/>
      <c r="M815" s="10"/>
      <c r="N815" s="10"/>
      <c r="O815" s="200">
        <v>179.22</v>
      </c>
      <c r="P815" s="10"/>
      <c r="Q815" s="234" t="b">
        <v>1</v>
      </c>
      <c r="R815" s="10"/>
      <c r="S815" s="16">
        <v>3.66</v>
      </c>
    </row>
    <row r="816">
      <c r="A816" s="10" t="s">
        <v>213</v>
      </c>
      <c r="B816" s="10" t="s">
        <v>65</v>
      </c>
      <c r="C816" s="11">
        <v>46172.0</v>
      </c>
      <c r="D816" s="17">
        <v>8.627274E7</v>
      </c>
      <c r="E816" s="10" t="s">
        <v>5943</v>
      </c>
      <c r="F816" s="10"/>
      <c r="G816" s="200" t="s">
        <v>5944</v>
      </c>
      <c r="H816" s="10" t="s">
        <v>1010</v>
      </c>
      <c r="I816" s="14" t="b">
        <v>1</v>
      </c>
      <c r="J816" s="200" t="s">
        <v>382</v>
      </c>
      <c r="K816" s="10"/>
      <c r="L816" s="10"/>
      <c r="M816" s="10"/>
      <c r="N816" s="10"/>
      <c r="O816" s="200">
        <v>227.35</v>
      </c>
      <c r="P816" s="17">
        <v>2202228.0</v>
      </c>
      <c r="Q816" s="234" t="b">
        <v>1</v>
      </c>
      <c r="R816" s="10"/>
    </row>
    <row r="817">
      <c r="A817" s="10" t="s">
        <v>198</v>
      </c>
      <c r="B817" s="10" t="s">
        <v>65</v>
      </c>
      <c r="C817" s="11">
        <v>46171.0</v>
      </c>
      <c r="D817" s="10" t="s">
        <v>163</v>
      </c>
      <c r="E817" s="10" t="s">
        <v>5945</v>
      </c>
      <c r="F817" s="10"/>
      <c r="G817" s="200" t="s">
        <v>5947</v>
      </c>
      <c r="H817" s="10" t="s">
        <v>529</v>
      </c>
      <c r="I817" s="14" t="b">
        <v>1</v>
      </c>
      <c r="J817" s="200" t="s">
        <v>382</v>
      </c>
      <c r="K817" s="10"/>
      <c r="L817" s="10"/>
      <c r="M817" s="10"/>
      <c r="N817" s="10"/>
      <c r="O817" s="200">
        <v>59.96</v>
      </c>
      <c r="P817" s="17">
        <v>2201501.0</v>
      </c>
      <c r="Q817" s="234" t="b">
        <v>1</v>
      </c>
      <c r="R817" s="10"/>
    </row>
    <row r="818">
      <c r="A818" s="10" t="s">
        <v>4457</v>
      </c>
      <c r="B818" s="10" t="s">
        <v>65</v>
      </c>
      <c r="C818" s="11">
        <v>46171.0</v>
      </c>
      <c r="D818" s="10" t="s">
        <v>202</v>
      </c>
      <c r="E818" s="10" t="s">
        <v>5949</v>
      </c>
      <c r="F818" s="10"/>
      <c r="G818" s="200" t="s">
        <v>5950</v>
      </c>
      <c r="H818" s="10" t="s">
        <v>481</v>
      </c>
      <c r="I818" s="14" t="b">
        <v>0</v>
      </c>
      <c r="J818" s="200" t="s">
        <v>382</v>
      </c>
      <c r="K818" s="10"/>
      <c r="L818" s="10"/>
      <c r="M818" s="10"/>
      <c r="N818" s="10"/>
      <c r="O818" s="200">
        <v>138.0</v>
      </c>
      <c r="P818" s="10"/>
      <c r="Q818" s="234" t="b">
        <v>1</v>
      </c>
      <c r="R818" s="10"/>
    </row>
    <row r="819">
      <c r="A819" s="10" t="s">
        <v>4330</v>
      </c>
      <c r="B819" s="10" t="s">
        <v>65</v>
      </c>
      <c r="C819" s="11">
        <v>46154.0</v>
      </c>
      <c r="D819" s="200" t="s">
        <v>131</v>
      </c>
      <c r="E819" s="10" t="s">
        <v>5952</v>
      </c>
      <c r="F819" s="10"/>
      <c r="G819" s="200" t="s">
        <v>5953</v>
      </c>
      <c r="H819" s="10" t="s">
        <v>136</v>
      </c>
      <c r="I819" s="14" t="b">
        <v>0</v>
      </c>
      <c r="J819" s="200" t="s">
        <v>382</v>
      </c>
      <c r="K819" s="10"/>
      <c r="L819" s="10"/>
      <c r="M819" s="10"/>
      <c r="N819" s="10"/>
      <c r="O819" s="200">
        <v>3624.17</v>
      </c>
      <c r="P819" s="10"/>
      <c r="Q819" s="234" t="b">
        <v>1</v>
      </c>
      <c r="R819" s="10"/>
    </row>
    <row r="820">
      <c r="A820" s="10" t="s">
        <v>285</v>
      </c>
      <c r="B820" s="10" t="s">
        <v>65</v>
      </c>
      <c r="C820" s="11">
        <v>46174.0</v>
      </c>
      <c r="D820" s="10" t="s">
        <v>557</v>
      </c>
      <c r="E820" s="10" t="s">
        <v>5954</v>
      </c>
      <c r="F820" s="10"/>
      <c r="G820" s="200" t="s">
        <v>5956</v>
      </c>
      <c r="H820" s="10" t="s">
        <v>5957</v>
      </c>
      <c r="I820" s="14" t="b">
        <v>1</v>
      </c>
      <c r="J820" s="200" t="s">
        <v>382</v>
      </c>
      <c r="K820" s="10"/>
      <c r="L820" s="10"/>
      <c r="M820" s="10"/>
      <c r="N820" s="10"/>
      <c r="O820" s="200">
        <v>82.75</v>
      </c>
      <c r="P820" s="17">
        <v>2206865.0</v>
      </c>
      <c r="Q820" s="234" t="b">
        <v>1</v>
      </c>
      <c r="R820" s="10"/>
    </row>
    <row r="821">
      <c r="A821" s="10" t="s">
        <v>240</v>
      </c>
      <c r="B821" s="10" t="s">
        <v>65</v>
      </c>
      <c r="C821" s="11">
        <v>46173.0</v>
      </c>
      <c r="D821" s="10" t="s">
        <v>3175</v>
      </c>
      <c r="E821" s="10" t="s">
        <v>5959</v>
      </c>
      <c r="F821" s="10"/>
      <c r="G821" s="200" t="s">
        <v>5960</v>
      </c>
      <c r="H821" s="10" t="s">
        <v>5961</v>
      </c>
      <c r="I821" s="14" t="b">
        <v>1</v>
      </c>
      <c r="J821" s="200" t="s">
        <v>382</v>
      </c>
      <c r="K821" s="10"/>
      <c r="L821" s="10"/>
      <c r="M821" s="10"/>
      <c r="N821" s="10"/>
      <c r="O821" s="200">
        <v>190.0</v>
      </c>
      <c r="P821" s="17">
        <v>2205466.0</v>
      </c>
      <c r="Q821" s="234" t="b">
        <v>1</v>
      </c>
      <c r="R821" s="10"/>
    </row>
    <row r="822">
      <c r="A822" s="10" t="s">
        <v>251</v>
      </c>
      <c r="B822" s="10" t="s">
        <v>65</v>
      </c>
      <c r="C822" s="11">
        <v>46173.0</v>
      </c>
      <c r="D822" s="10" t="s">
        <v>163</v>
      </c>
      <c r="E822" s="10" t="s">
        <v>5963</v>
      </c>
      <c r="F822" s="10"/>
      <c r="G822" s="200" t="s">
        <v>5964</v>
      </c>
      <c r="H822" s="10" t="s">
        <v>529</v>
      </c>
      <c r="I822" s="14" t="b">
        <v>1</v>
      </c>
      <c r="J822" s="200" t="s">
        <v>382</v>
      </c>
      <c r="K822" s="10"/>
      <c r="L822" s="10"/>
      <c r="M822" s="10"/>
      <c r="N822" s="10"/>
      <c r="O822" s="200">
        <v>47.24</v>
      </c>
      <c r="P822" s="17">
        <v>2205566.0</v>
      </c>
      <c r="Q822" s="234" t="b">
        <v>1</v>
      </c>
      <c r="R822" s="10"/>
    </row>
    <row r="823">
      <c r="A823" s="10" t="s">
        <v>232</v>
      </c>
      <c r="B823" s="10" t="s">
        <v>65</v>
      </c>
      <c r="C823" s="11">
        <v>46173.0</v>
      </c>
      <c r="D823" s="10" t="s">
        <v>5965</v>
      </c>
      <c r="E823" s="10" t="s">
        <v>5966</v>
      </c>
      <c r="F823" s="10"/>
      <c r="G823" s="200" t="s">
        <v>5967</v>
      </c>
      <c r="H823" s="10" t="s">
        <v>5968</v>
      </c>
      <c r="I823" s="14" t="b">
        <v>1</v>
      </c>
      <c r="J823" s="200" t="s">
        <v>382</v>
      </c>
      <c r="K823" s="10"/>
      <c r="L823" s="10"/>
      <c r="M823" s="10"/>
      <c r="N823" s="10"/>
      <c r="O823" s="200">
        <v>216.0</v>
      </c>
      <c r="P823" s="17">
        <v>2205462.0</v>
      </c>
      <c r="Q823" s="234" t="b">
        <v>1</v>
      </c>
      <c r="R823" s="10"/>
    </row>
    <row r="824">
      <c r="A824" s="10" t="s">
        <v>292</v>
      </c>
      <c r="B824" s="10" t="s">
        <v>65</v>
      </c>
      <c r="C824" s="11">
        <v>46168.0</v>
      </c>
      <c r="D824" s="10" t="s">
        <v>215</v>
      </c>
      <c r="E824" s="10" t="s">
        <v>5969</v>
      </c>
      <c r="F824" s="10"/>
      <c r="G824" s="200" t="s">
        <v>5970</v>
      </c>
      <c r="H824" s="10" t="s">
        <v>965</v>
      </c>
      <c r="I824" s="14" t="b">
        <v>1</v>
      </c>
      <c r="J824" s="200" t="s">
        <v>382</v>
      </c>
      <c r="K824" s="10"/>
      <c r="L824" s="10"/>
      <c r="M824" s="10"/>
      <c r="N824" s="10"/>
      <c r="O824" s="200">
        <v>32.0</v>
      </c>
      <c r="P824" s="17">
        <v>2206891.0</v>
      </c>
      <c r="Q824" s="234" t="b">
        <v>1</v>
      </c>
      <c r="R824" s="10"/>
    </row>
    <row r="825">
      <c r="A825" s="10" t="s">
        <v>307</v>
      </c>
      <c r="B825" s="10" t="s">
        <v>65</v>
      </c>
      <c r="C825" s="11">
        <v>46176.0</v>
      </c>
      <c r="D825" s="10" t="s">
        <v>1435</v>
      </c>
      <c r="E825" s="10" t="s">
        <v>5971</v>
      </c>
      <c r="F825" s="10"/>
      <c r="G825" s="200" t="s">
        <v>5973</v>
      </c>
      <c r="H825" s="10" t="s">
        <v>5974</v>
      </c>
      <c r="I825" s="14" t="b">
        <v>1</v>
      </c>
      <c r="J825" s="200" t="s">
        <v>382</v>
      </c>
      <c r="K825" s="10"/>
      <c r="L825" s="10"/>
      <c r="M825" s="10"/>
      <c r="N825" s="10"/>
      <c r="O825" s="200">
        <v>86.87</v>
      </c>
      <c r="P825" s="17">
        <v>2209194.0</v>
      </c>
      <c r="Q825" s="234" t="b">
        <v>1</v>
      </c>
      <c r="R825" s="10"/>
    </row>
    <row r="826">
      <c r="A826" s="10" t="s">
        <v>4490</v>
      </c>
      <c r="B826" s="10" t="s">
        <v>65</v>
      </c>
      <c r="C826" s="11">
        <v>46176.0</v>
      </c>
      <c r="D826" s="10" t="s">
        <v>202</v>
      </c>
      <c r="E826" s="10" t="s">
        <v>5975</v>
      </c>
      <c r="F826" s="10"/>
      <c r="G826" s="200" t="s">
        <v>5976</v>
      </c>
      <c r="H826" s="10" t="s">
        <v>481</v>
      </c>
      <c r="I826" s="14" t="b">
        <v>0</v>
      </c>
      <c r="J826" s="200" t="s">
        <v>382</v>
      </c>
      <c r="K826" s="10"/>
      <c r="L826" s="10"/>
      <c r="M826" s="10"/>
      <c r="N826" s="10"/>
      <c r="O826" s="200">
        <v>207.0</v>
      </c>
      <c r="P826" s="10"/>
      <c r="Q826" s="234" t="b">
        <v>1</v>
      </c>
      <c r="R826" s="10"/>
    </row>
    <row r="827">
      <c r="A827" s="10" t="s">
        <v>321</v>
      </c>
      <c r="B827" s="10" t="s">
        <v>65</v>
      </c>
      <c r="C827" s="11">
        <v>46176.0</v>
      </c>
      <c r="D827" s="10" t="s">
        <v>557</v>
      </c>
      <c r="E827" s="10" t="s">
        <v>5977</v>
      </c>
      <c r="F827" s="10"/>
      <c r="G827" s="200" t="s">
        <v>5978</v>
      </c>
      <c r="H827" s="10" t="s">
        <v>5979</v>
      </c>
      <c r="I827" s="14" t="b">
        <v>1</v>
      </c>
      <c r="J827" s="200" t="s">
        <v>382</v>
      </c>
      <c r="K827" s="10"/>
      <c r="L827" s="10"/>
      <c r="M827" s="10"/>
      <c r="N827" s="10"/>
      <c r="O827" s="200">
        <v>12.97</v>
      </c>
      <c r="P827" s="17">
        <v>2209729.0</v>
      </c>
      <c r="Q827" s="234" t="b">
        <v>1</v>
      </c>
      <c r="R827" s="10"/>
    </row>
    <row r="828">
      <c r="A828" s="10" t="s">
        <v>315</v>
      </c>
      <c r="B828" s="10" t="s">
        <v>65</v>
      </c>
      <c r="C828" s="11">
        <v>46176.0</v>
      </c>
      <c r="D828" s="17">
        <v>8.627274E7</v>
      </c>
      <c r="E828" s="10" t="s">
        <v>5982</v>
      </c>
      <c r="F828" s="10"/>
      <c r="G828" s="200" t="s">
        <v>5983</v>
      </c>
      <c r="H828" s="10" t="s">
        <v>1010</v>
      </c>
      <c r="I828" s="14" t="b">
        <v>1</v>
      </c>
      <c r="J828" s="200" t="s">
        <v>382</v>
      </c>
      <c r="K828" s="10"/>
      <c r="L828" s="10"/>
      <c r="M828" s="10"/>
      <c r="N828" s="10"/>
      <c r="O828" s="200">
        <v>524.76</v>
      </c>
      <c r="P828" s="17">
        <v>2209724.0</v>
      </c>
      <c r="Q828" s="234" t="b">
        <v>1</v>
      </c>
      <c r="R828" s="10"/>
    </row>
    <row r="829">
      <c r="A829" s="10" t="s">
        <v>327</v>
      </c>
      <c r="B829" s="10" t="s">
        <v>65</v>
      </c>
      <c r="C829" s="11">
        <v>46176.0</v>
      </c>
      <c r="D829" s="10" t="s">
        <v>5985</v>
      </c>
      <c r="E829" s="10" t="s">
        <v>5986</v>
      </c>
      <c r="F829" s="10"/>
      <c r="G829" s="200" t="s">
        <v>5987</v>
      </c>
      <c r="H829" s="10" t="s">
        <v>5988</v>
      </c>
      <c r="I829" s="14" t="b">
        <v>1</v>
      </c>
      <c r="J829" s="200" t="s">
        <v>382</v>
      </c>
      <c r="K829" s="10"/>
      <c r="L829" s="10"/>
      <c r="M829" s="10"/>
      <c r="N829" s="10"/>
      <c r="O829" s="200">
        <v>22.0</v>
      </c>
      <c r="P829" s="17">
        <v>2209876.0</v>
      </c>
      <c r="Q829" s="234" t="b">
        <v>1</v>
      </c>
      <c r="R829" s="10"/>
    </row>
    <row r="830">
      <c r="A830" s="10" t="s">
        <v>4487</v>
      </c>
      <c r="B830" s="10" t="s">
        <v>65</v>
      </c>
      <c r="C830" s="11">
        <v>46174.0</v>
      </c>
      <c r="D830" s="10" t="s">
        <v>775</v>
      </c>
      <c r="E830" s="10" t="s">
        <v>5989</v>
      </c>
      <c r="F830" s="10"/>
      <c r="G830" s="200" t="s">
        <v>5990</v>
      </c>
      <c r="H830" s="10" t="s">
        <v>781</v>
      </c>
      <c r="I830" s="14" t="b">
        <v>0</v>
      </c>
      <c r="J830" s="200" t="s">
        <v>382</v>
      </c>
      <c r="K830" s="10"/>
      <c r="L830" s="10"/>
      <c r="M830" s="10"/>
      <c r="N830" s="10"/>
      <c r="O830" s="200">
        <v>234.86</v>
      </c>
      <c r="P830" s="10"/>
      <c r="Q830" s="234" t="b">
        <v>1</v>
      </c>
      <c r="R830" s="10"/>
    </row>
    <row r="831">
      <c r="A831" s="10" t="s">
        <v>4523</v>
      </c>
      <c r="B831" s="10" t="s">
        <v>65</v>
      </c>
      <c r="C831" s="11">
        <v>46176.0</v>
      </c>
      <c r="D831" s="10" t="s">
        <v>1888</v>
      </c>
      <c r="E831" s="10" t="s">
        <v>5992</v>
      </c>
      <c r="F831" s="10"/>
      <c r="G831" s="200" t="s">
        <v>5993</v>
      </c>
      <c r="H831" s="10" t="s">
        <v>149</v>
      </c>
      <c r="I831" s="14" t="b">
        <v>0</v>
      </c>
      <c r="J831" s="200" t="s">
        <v>382</v>
      </c>
      <c r="K831" s="10"/>
      <c r="L831" s="10"/>
      <c r="M831" s="10"/>
      <c r="N831" s="10"/>
      <c r="O831" s="200">
        <v>391.14</v>
      </c>
      <c r="P831" s="10"/>
      <c r="Q831" s="234" t="b">
        <v>1</v>
      </c>
      <c r="R831" s="10"/>
    </row>
    <row r="832">
      <c r="A832" s="10" t="s">
        <v>428</v>
      </c>
      <c r="B832" s="10" t="s">
        <v>65</v>
      </c>
      <c r="C832" s="11">
        <v>46180.0</v>
      </c>
      <c r="D832" s="10" t="s">
        <v>3175</v>
      </c>
      <c r="E832" s="10" t="s">
        <v>5994</v>
      </c>
      <c r="F832" s="10"/>
      <c r="G832" s="200" t="s">
        <v>5995</v>
      </c>
      <c r="H832" s="10" t="s">
        <v>3593</v>
      </c>
      <c r="I832" s="14" t="b">
        <v>1</v>
      </c>
      <c r="J832" s="200" t="s">
        <v>382</v>
      </c>
      <c r="K832" s="10"/>
      <c r="L832" s="10"/>
      <c r="M832" s="10"/>
      <c r="N832" s="10"/>
      <c r="O832" s="200">
        <v>302.0</v>
      </c>
      <c r="P832" s="17">
        <v>2217324.0</v>
      </c>
      <c r="Q832" s="234" t="b">
        <v>1</v>
      </c>
      <c r="R832" s="10"/>
    </row>
    <row r="833">
      <c r="A833" s="10" t="s">
        <v>435</v>
      </c>
      <c r="B833" s="10" t="s">
        <v>65</v>
      </c>
      <c r="C833" s="11">
        <v>46180.0</v>
      </c>
      <c r="D833" s="10" t="s">
        <v>5996</v>
      </c>
      <c r="E833" s="10" t="s">
        <v>5997</v>
      </c>
      <c r="F833" s="10"/>
      <c r="G833" s="200" t="s">
        <v>5998</v>
      </c>
      <c r="H833" s="10" t="s">
        <v>5999</v>
      </c>
      <c r="I833" s="14" t="b">
        <v>1</v>
      </c>
      <c r="J833" s="200" t="s">
        <v>382</v>
      </c>
      <c r="K833" s="10"/>
      <c r="L833" s="10"/>
      <c r="M833" s="10"/>
      <c r="N833" s="10"/>
      <c r="O833" s="200">
        <v>280.0</v>
      </c>
      <c r="P833" s="17">
        <v>2217330.0</v>
      </c>
      <c r="Q833" s="234" t="b">
        <v>1</v>
      </c>
      <c r="R833" s="10"/>
    </row>
    <row r="834">
      <c r="A834" s="10" t="s">
        <v>420</v>
      </c>
      <c r="B834" s="10" t="s">
        <v>65</v>
      </c>
      <c r="C834" s="11">
        <v>46180.0</v>
      </c>
      <c r="D834" s="10" t="s">
        <v>5965</v>
      </c>
      <c r="E834" s="10" t="s">
        <v>6000</v>
      </c>
      <c r="F834" s="10"/>
      <c r="G834" s="200" t="s">
        <v>6001</v>
      </c>
      <c r="H834" s="10" t="s">
        <v>6002</v>
      </c>
      <c r="I834" s="14" t="b">
        <v>1</v>
      </c>
      <c r="J834" s="200" t="s">
        <v>382</v>
      </c>
      <c r="K834" s="10"/>
      <c r="L834" s="10"/>
      <c r="M834" s="10"/>
      <c r="N834" s="10"/>
      <c r="O834" s="200">
        <v>100.0</v>
      </c>
      <c r="P834" s="17">
        <v>2217253.0</v>
      </c>
      <c r="Q834" s="234" t="b">
        <v>1</v>
      </c>
      <c r="R834" s="10"/>
    </row>
    <row r="835">
      <c r="A835" s="10" t="s">
        <v>463</v>
      </c>
      <c r="B835" s="10" t="s">
        <v>65</v>
      </c>
      <c r="C835" s="11">
        <v>46182.0</v>
      </c>
      <c r="D835" s="17">
        <v>8.627274E7</v>
      </c>
      <c r="E835" s="10" t="s">
        <v>6003</v>
      </c>
      <c r="F835" s="10"/>
      <c r="G835" s="200" t="s">
        <v>6004</v>
      </c>
      <c r="H835" s="10" t="s">
        <v>195</v>
      </c>
      <c r="I835" s="14" t="b">
        <v>1</v>
      </c>
      <c r="J835" s="200" t="s">
        <v>382</v>
      </c>
      <c r="K835" s="10"/>
      <c r="L835" s="10"/>
      <c r="M835" s="10"/>
      <c r="N835" s="10"/>
      <c r="O835" s="200">
        <v>199.82</v>
      </c>
      <c r="P835" s="17">
        <v>2220782.0</v>
      </c>
      <c r="Q835" s="234" t="b">
        <v>1</v>
      </c>
      <c r="R835" s="10"/>
    </row>
    <row r="836">
      <c r="A836" s="10" t="s">
        <v>453</v>
      </c>
      <c r="B836" s="10" t="s">
        <v>65</v>
      </c>
      <c r="C836" s="11">
        <v>46182.0</v>
      </c>
      <c r="D836" s="10" t="s">
        <v>6005</v>
      </c>
      <c r="E836" s="10" t="s">
        <v>6006</v>
      </c>
      <c r="F836" s="10"/>
      <c r="G836" s="200" t="s">
        <v>6007</v>
      </c>
      <c r="H836" s="10" t="s">
        <v>6008</v>
      </c>
      <c r="I836" s="14" t="b">
        <v>1</v>
      </c>
      <c r="J836" s="200" t="s">
        <v>382</v>
      </c>
      <c r="K836" s="10"/>
      <c r="L836" s="10"/>
      <c r="M836" s="10"/>
      <c r="N836" s="10"/>
      <c r="O836" s="200">
        <v>210.0</v>
      </c>
      <c r="P836" s="17">
        <v>2220778.0</v>
      </c>
      <c r="Q836" s="234" t="b">
        <v>1</v>
      </c>
      <c r="R836" s="10"/>
    </row>
    <row r="837">
      <c r="A837" s="10" t="s">
        <v>4431</v>
      </c>
      <c r="B837" s="10" t="s">
        <v>65</v>
      </c>
      <c r="C837" s="11">
        <v>46167.0</v>
      </c>
      <c r="D837" s="10" t="s">
        <v>670</v>
      </c>
      <c r="E837" s="10" t="s">
        <v>6009</v>
      </c>
      <c r="F837" s="10"/>
      <c r="G837" s="200" t="s">
        <v>6010</v>
      </c>
      <c r="H837" s="10" t="s">
        <v>6011</v>
      </c>
      <c r="I837" s="14" t="b">
        <v>0</v>
      </c>
      <c r="J837" s="200" t="s">
        <v>382</v>
      </c>
      <c r="K837" s="10"/>
      <c r="L837" s="200" t="s">
        <v>6012</v>
      </c>
      <c r="M837" s="10"/>
      <c r="N837" s="10"/>
      <c r="O837" s="200">
        <v>2278.28</v>
      </c>
      <c r="P837" s="10"/>
      <c r="Q837" s="234" t="b">
        <v>1</v>
      </c>
      <c r="R837" s="10"/>
    </row>
    <row r="838">
      <c r="A838" s="10" t="s">
        <v>4557</v>
      </c>
      <c r="B838" s="10" t="s">
        <v>65</v>
      </c>
      <c r="C838" s="11">
        <v>46183.0</v>
      </c>
      <c r="D838" s="10" t="s">
        <v>202</v>
      </c>
      <c r="E838" s="10" t="s">
        <v>6013</v>
      </c>
      <c r="F838" s="10"/>
      <c r="G838" s="200" t="s">
        <v>6014</v>
      </c>
      <c r="H838" s="10" t="s">
        <v>481</v>
      </c>
      <c r="I838" s="14" t="b">
        <v>0</v>
      </c>
      <c r="J838" s="200" t="s">
        <v>382</v>
      </c>
      <c r="K838" s="10"/>
      <c r="L838" s="10"/>
      <c r="M838" s="10"/>
      <c r="N838" s="10"/>
      <c r="O838" s="200">
        <v>184.0</v>
      </c>
      <c r="P838" s="10"/>
      <c r="Q838" s="234" t="b">
        <v>1</v>
      </c>
      <c r="R838" s="10"/>
    </row>
    <row r="839">
      <c r="A839" s="10" t="s">
        <v>4565</v>
      </c>
      <c r="B839" s="10" t="s">
        <v>65</v>
      </c>
      <c r="C839" s="11">
        <v>46184.0</v>
      </c>
      <c r="D839" s="10" t="s">
        <v>246</v>
      </c>
      <c r="E839" s="10" t="s">
        <v>6015</v>
      </c>
      <c r="F839" s="10"/>
      <c r="G839" s="200" t="s">
        <v>6016</v>
      </c>
      <c r="H839" s="10" t="s">
        <v>250</v>
      </c>
      <c r="I839" s="14" t="b">
        <v>0</v>
      </c>
      <c r="J839" s="200" t="s">
        <v>382</v>
      </c>
      <c r="K839" s="10"/>
      <c r="L839" s="10"/>
      <c r="M839" s="10"/>
      <c r="N839" s="10"/>
      <c r="O839" s="200">
        <v>898.16</v>
      </c>
      <c r="P839" s="10"/>
      <c r="Q839" s="234" t="b">
        <v>1</v>
      </c>
      <c r="R839" s="10"/>
      <c r="S839" s="16">
        <v>18.32</v>
      </c>
    </row>
    <row r="840">
      <c r="A840" s="10" t="s">
        <v>4559</v>
      </c>
      <c r="B840" s="10" t="s">
        <v>65</v>
      </c>
      <c r="C840" s="11">
        <v>46183.0</v>
      </c>
      <c r="D840" s="10" t="s">
        <v>131</v>
      </c>
      <c r="E840" s="10" t="s">
        <v>6017</v>
      </c>
      <c r="F840" s="10"/>
      <c r="G840" s="200" t="s">
        <v>6018</v>
      </c>
      <c r="H840" s="10" t="s">
        <v>171</v>
      </c>
      <c r="I840" s="14" t="b">
        <v>0</v>
      </c>
      <c r="J840" s="200" t="s">
        <v>382</v>
      </c>
      <c r="K840" s="10"/>
      <c r="L840" s="200" t="s">
        <v>6019</v>
      </c>
      <c r="M840" s="10"/>
      <c r="N840" s="10"/>
      <c r="O840" s="200">
        <v>6106.67</v>
      </c>
      <c r="P840" s="10"/>
      <c r="Q840" s="234" t="b">
        <v>1</v>
      </c>
      <c r="R840" s="10"/>
    </row>
    <row r="841">
      <c r="A841" s="10" t="s">
        <v>4536</v>
      </c>
      <c r="B841" s="10" t="s">
        <v>65</v>
      </c>
      <c r="C841" s="11">
        <v>46181.0</v>
      </c>
      <c r="D841" s="10" t="s">
        <v>131</v>
      </c>
      <c r="E841" s="10" t="s">
        <v>6020</v>
      </c>
      <c r="F841" s="10"/>
      <c r="G841" s="200" t="s">
        <v>6021</v>
      </c>
      <c r="H841" s="10" t="s">
        <v>136</v>
      </c>
      <c r="I841" s="14" t="b">
        <v>0</v>
      </c>
      <c r="J841" s="200" t="s">
        <v>382</v>
      </c>
      <c r="K841" s="10"/>
      <c r="L841" s="10"/>
      <c r="M841" s="10"/>
      <c r="N841" s="10"/>
      <c r="O841" s="200">
        <v>1907.26</v>
      </c>
      <c r="P841" s="10"/>
      <c r="Q841" s="234" t="b">
        <v>1</v>
      </c>
      <c r="R841" s="10"/>
    </row>
    <row r="842">
      <c r="A842" s="10" t="s">
        <v>509</v>
      </c>
      <c r="B842" s="10" t="s">
        <v>65</v>
      </c>
      <c r="C842" s="11">
        <v>46186.0</v>
      </c>
      <c r="D842" s="10" t="s">
        <v>3175</v>
      </c>
      <c r="E842" s="10" t="s">
        <v>6022</v>
      </c>
      <c r="F842" s="10"/>
      <c r="G842" s="200" t="s">
        <v>6023</v>
      </c>
      <c r="H842" s="10" t="s">
        <v>3593</v>
      </c>
      <c r="I842" s="14" t="b">
        <v>1</v>
      </c>
      <c r="J842" s="200" t="s">
        <v>382</v>
      </c>
      <c r="K842" s="10"/>
      <c r="L842" s="10"/>
      <c r="M842" s="10"/>
      <c r="N842" s="10"/>
      <c r="O842" s="200">
        <v>100.0</v>
      </c>
      <c r="P842" s="17">
        <v>2225828.0</v>
      </c>
      <c r="Q842" s="234" t="b">
        <v>1</v>
      </c>
      <c r="R842" s="10"/>
    </row>
    <row r="843">
      <c r="A843" s="10" t="s">
        <v>559</v>
      </c>
      <c r="B843" s="10" t="s">
        <v>65</v>
      </c>
      <c r="C843" s="11">
        <v>46188.0</v>
      </c>
      <c r="D843" s="17">
        <v>8.627274E7</v>
      </c>
      <c r="E843" s="10" t="s">
        <v>6024</v>
      </c>
      <c r="F843" s="10"/>
      <c r="G843" s="200" t="s">
        <v>6025</v>
      </c>
      <c r="H843" s="10" t="s">
        <v>6026</v>
      </c>
      <c r="I843" s="14" t="b">
        <v>1</v>
      </c>
      <c r="J843" s="200" t="s">
        <v>382</v>
      </c>
      <c r="K843" s="10"/>
      <c r="L843" s="10"/>
      <c r="M843" s="10"/>
      <c r="N843" s="10"/>
      <c r="O843" s="200">
        <v>13.99</v>
      </c>
      <c r="P843" s="17">
        <v>2229179.0</v>
      </c>
      <c r="Q843" s="234" t="b">
        <v>1</v>
      </c>
      <c r="R843" s="10"/>
    </row>
    <row r="844">
      <c r="A844" s="10" t="s">
        <v>552</v>
      </c>
      <c r="B844" s="10" t="s">
        <v>65</v>
      </c>
      <c r="C844" s="11">
        <v>46188.0</v>
      </c>
      <c r="D844" s="17">
        <v>8.627274E7</v>
      </c>
      <c r="E844" s="10" t="s">
        <v>6028</v>
      </c>
      <c r="F844" s="10"/>
      <c r="G844" s="200" t="s">
        <v>6029</v>
      </c>
      <c r="H844" s="10" t="s">
        <v>195</v>
      </c>
      <c r="I844" s="14" t="b">
        <v>1</v>
      </c>
      <c r="J844" s="200" t="s">
        <v>382</v>
      </c>
      <c r="K844" s="10"/>
      <c r="L844" s="10"/>
      <c r="M844" s="10"/>
      <c r="N844" s="10"/>
      <c r="O844" s="200">
        <v>143.48</v>
      </c>
      <c r="P844" s="17">
        <v>2229177.0</v>
      </c>
      <c r="Q844" s="234" t="b">
        <v>1</v>
      </c>
      <c r="R844" s="10"/>
    </row>
    <row r="845">
      <c r="A845" s="10" t="s">
        <v>537</v>
      </c>
      <c r="B845" s="10" t="s">
        <v>65</v>
      </c>
      <c r="C845" s="11">
        <v>46187.0</v>
      </c>
      <c r="D845" s="10" t="s">
        <v>3175</v>
      </c>
      <c r="E845" s="10" t="s">
        <v>6030</v>
      </c>
      <c r="F845" s="10"/>
      <c r="G845" s="200" t="s">
        <v>6031</v>
      </c>
      <c r="H845" s="10" t="s">
        <v>5584</v>
      </c>
      <c r="I845" s="14" t="b">
        <v>1</v>
      </c>
      <c r="J845" s="200" t="s">
        <v>382</v>
      </c>
      <c r="K845" s="10"/>
      <c r="L845" s="10"/>
      <c r="M845" s="10"/>
      <c r="N845" s="10"/>
      <c r="O845" s="200">
        <v>80.0</v>
      </c>
      <c r="P845" s="17">
        <v>2228437.0</v>
      </c>
      <c r="Q845" s="234" t="b">
        <v>1</v>
      </c>
      <c r="R845" s="10"/>
    </row>
    <row r="846">
      <c r="A846" s="10" t="s">
        <v>596</v>
      </c>
      <c r="B846" s="10" t="s">
        <v>65</v>
      </c>
      <c r="C846" s="11">
        <v>46191.0</v>
      </c>
      <c r="D846" s="17">
        <v>8.627274E7</v>
      </c>
      <c r="E846" s="10" t="s">
        <v>6032</v>
      </c>
      <c r="F846" s="10"/>
      <c r="G846" s="200" t="s">
        <v>6033</v>
      </c>
      <c r="H846" s="10" t="s">
        <v>1010</v>
      </c>
      <c r="I846" s="14" t="b">
        <v>1</v>
      </c>
      <c r="J846" s="200" t="s">
        <v>382</v>
      </c>
      <c r="K846" s="10"/>
      <c r="L846" s="10"/>
      <c r="M846" s="10"/>
      <c r="N846" s="10"/>
      <c r="O846" s="200">
        <v>128.94</v>
      </c>
      <c r="P846" s="17">
        <v>2232911.0</v>
      </c>
      <c r="Q846" s="234" t="b">
        <v>1</v>
      </c>
      <c r="R846" s="10"/>
    </row>
    <row r="847">
      <c r="A847" s="10" t="s">
        <v>4590</v>
      </c>
      <c r="B847" s="10" t="s">
        <v>65</v>
      </c>
      <c r="C847" s="11">
        <v>46196.0</v>
      </c>
      <c r="D847" s="10" t="s">
        <v>202</v>
      </c>
      <c r="E847" s="10" t="s">
        <v>6034</v>
      </c>
      <c r="F847" s="10"/>
      <c r="G847" s="200" t="s">
        <v>6035</v>
      </c>
      <c r="H847" s="10" t="s">
        <v>481</v>
      </c>
      <c r="I847" s="14" t="b">
        <v>0</v>
      </c>
      <c r="J847" s="200" t="s">
        <v>382</v>
      </c>
      <c r="K847" s="10"/>
      <c r="L847" s="10"/>
      <c r="M847" s="10"/>
      <c r="N847" s="10"/>
      <c r="O847" s="200">
        <v>92.0</v>
      </c>
      <c r="P847" s="10"/>
      <c r="Q847" s="234" t="b">
        <v>1</v>
      </c>
      <c r="R847" s="10"/>
    </row>
    <row r="848">
      <c r="A848" s="16" t="s">
        <v>1852</v>
      </c>
      <c r="B848" s="16" t="s">
        <v>65</v>
      </c>
      <c r="C848" s="22">
        <v>45932.0</v>
      </c>
      <c r="F848" s="16" t="s">
        <v>1219</v>
      </c>
      <c r="H848" s="16" t="s">
        <v>1219</v>
      </c>
      <c r="J848" s="16" t="s">
        <v>218</v>
      </c>
      <c r="K848" s="16" t="s">
        <v>132</v>
      </c>
      <c r="O848" s="20">
        <v>2693.8</v>
      </c>
      <c r="Q848" s="16" t="b">
        <v>1</v>
      </c>
      <c r="R848" s="16" t="b">
        <v>0</v>
      </c>
    </row>
    <row r="849">
      <c r="A849" s="16" t="s">
        <v>1855</v>
      </c>
      <c r="B849" s="16" t="s">
        <v>65</v>
      </c>
      <c r="C849" s="22">
        <v>45932.0</v>
      </c>
      <c r="F849" s="16" t="s">
        <v>1219</v>
      </c>
      <c r="H849" s="16" t="s">
        <v>1219</v>
      </c>
      <c r="J849" s="16" t="s">
        <v>218</v>
      </c>
      <c r="K849" s="16" t="s">
        <v>348</v>
      </c>
      <c r="O849" s="20">
        <v>1985.77</v>
      </c>
      <c r="Q849" s="16" t="b">
        <v>1</v>
      </c>
      <c r="R849" s="16" t="b">
        <v>0</v>
      </c>
    </row>
    <row r="850">
      <c r="A850" s="16" t="s">
        <v>1857</v>
      </c>
      <c r="B850" s="16" t="s">
        <v>65</v>
      </c>
      <c r="C850" s="22">
        <v>45932.0</v>
      </c>
      <c r="F850" s="16" t="s">
        <v>1219</v>
      </c>
      <c r="H850" s="16" t="s">
        <v>1219</v>
      </c>
      <c r="J850" s="16" t="s">
        <v>218</v>
      </c>
      <c r="K850" s="20">
        <v>5.7411272E7</v>
      </c>
      <c r="O850" s="20">
        <v>2036.47</v>
      </c>
      <c r="Q850" s="16" t="b">
        <v>1</v>
      </c>
      <c r="R850" s="16" t="b">
        <v>0</v>
      </c>
    </row>
    <row r="851">
      <c r="A851" s="16" t="s">
        <v>1860</v>
      </c>
      <c r="B851" s="16" t="s">
        <v>65</v>
      </c>
      <c r="C851" s="22">
        <v>45932.0</v>
      </c>
      <c r="F851" s="16" t="s">
        <v>1219</v>
      </c>
      <c r="H851" s="16" t="s">
        <v>1219</v>
      </c>
      <c r="J851" s="16" t="s">
        <v>218</v>
      </c>
      <c r="K851" s="16" t="s">
        <v>754</v>
      </c>
      <c r="O851" s="20">
        <v>2128.78</v>
      </c>
      <c r="Q851" s="16" t="b">
        <v>1</v>
      </c>
      <c r="R851" s="16" t="b">
        <v>0</v>
      </c>
    </row>
    <row r="852">
      <c r="A852" s="16" t="s">
        <v>1863</v>
      </c>
      <c r="B852" s="16" t="s">
        <v>65</v>
      </c>
      <c r="C852" s="22">
        <v>45937.0</v>
      </c>
      <c r="D852" s="16" t="s">
        <v>342</v>
      </c>
      <c r="F852" s="16" t="s">
        <v>1219</v>
      </c>
      <c r="H852" s="16" t="s">
        <v>1219</v>
      </c>
      <c r="J852" s="16" t="s">
        <v>218</v>
      </c>
      <c r="O852" s="20">
        <v>707.78</v>
      </c>
      <c r="Q852" s="16" t="b">
        <v>1</v>
      </c>
      <c r="R852" s="16" t="b">
        <v>0</v>
      </c>
    </row>
    <row r="853">
      <c r="A853" s="16" t="s">
        <v>1866</v>
      </c>
      <c r="B853" s="16" t="s">
        <v>65</v>
      </c>
      <c r="C853" s="22">
        <v>45937.0</v>
      </c>
      <c r="D853" s="16" t="s">
        <v>1159</v>
      </c>
      <c r="F853" s="16" t="s">
        <v>1383</v>
      </c>
      <c r="H853" s="16" t="s">
        <v>1383</v>
      </c>
      <c r="J853" s="16" t="s">
        <v>218</v>
      </c>
      <c r="O853" s="20">
        <v>500.0</v>
      </c>
      <c r="Q853" s="16" t="b">
        <v>1</v>
      </c>
      <c r="R853" s="16" t="b">
        <v>0</v>
      </c>
    </row>
    <row r="854">
      <c r="A854" s="16" t="s">
        <v>1868</v>
      </c>
      <c r="B854" s="16" t="s">
        <v>65</v>
      </c>
      <c r="C854" s="22">
        <v>45937.0</v>
      </c>
      <c r="D854" s="16" t="s">
        <v>1664</v>
      </c>
      <c r="F854" s="16" t="s">
        <v>1389</v>
      </c>
      <c r="H854" s="16" t="s">
        <v>1389</v>
      </c>
      <c r="J854" s="16" t="s">
        <v>218</v>
      </c>
      <c r="O854" s="20">
        <v>179.9</v>
      </c>
      <c r="Q854" s="16" t="b">
        <v>1</v>
      </c>
      <c r="R854" s="16" t="b">
        <v>0</v>
      </c>
    </row>
    <row r="855">
      <c r="A855" s="16" t="s">
        <v>1870</v>
      </c>
      <c r="B855" s="16" t="s">
        <v>65</v>
      </c>
      <c r="C855" s="22">
        <v>45937.0</v>
      </c>
      <c r="D855" s="16" t="s">
        <v>131</v>
      </c>
      <c r="F855" s="16" t="s">
        <v>6036</v>
      </c>
      <c r="H855" s="16" t="s">
        <v>6036</v>
      </c>
      <c r="J855" s="16" t="s">
        <v>218</v>
      </c>
      <c r="O855" s="20">
        <v>2379.0</v>
      </c>
      <c r="Q855" s="16" t="b">
        <v>1</v>
      </c>
      <c r="R855" s="16" t="b">
        <v>0</v>
      </c>
    </row>
    <row r="856">
      <c r="A856" s="16" t="s">
        <v>1873</v>
      </c>
      <c r="B856" s="16" t="s">
        <v>65</v>
      </c>
      <c r="C856" s="22">
        <v>45943.0</v>
      </c>
      <c r="D856" s="16" t="s">
        <v>177</v>
      </c>
      <c r="F856" s="16" t="s">
        <v>6037</v>
      </c>
      <c r="H856" s="16" t="s">
        <v>6037</v>
      </c>
      <c r="J856" s="16" t="s">
        <v>218</v>
      </c>
      <c r="O856" s="20">
        <v>31.32</v>
      </c>
      <c r="Q856" s="16" t="b">
        <v>1</v>
      </c>
      <c r="R856" s="16" t="b">
        <v>0</v>
      </c>
    </row>
    <row r="857">
      <c r="A857" s="16" t="s">
        <v>1876</v>
      </c>
      <c r="B857" s="16" t="s">
        <v>65</v>
      </c>
      <c r="C857" s="22">
        <v>45943.0</v>
      </c>
      <c r="D857" s="16" t="s">
        <v>131</v>
      </c>
      <c r="F857" s="16" t="s">
        <v>1404</v>
      </c>
      <c r="H857" s="16" t="s">
        <v>1404</v>
      </c>
      <c r="J857" s="16" t="s">
        <v>218</v>
      </c>
      <c r="O857" s="20">
        <v>1110.0</v>
      </c>
      <c r="Q857" s="16" t="b">
        <v>1</v>
      </c>
      <c r="R857" s="16" t="b">
        <v>0</v>
      </c>
    </row>
    <row r="858">
      <c r="A858" s="16" t="s">
        <v>1880</v>
      </c>
      <c r="B858" s="16" t="s">
        <v>65</v>
      </c>
      <c r="C858" s="22">
        <v>45943.0</v>
      </c>
      <c r="D858" s="16" t="s">
        <v>131</v>
      </c>
      <c r="F858" s="16" t="s">
        <v>1411</v>
      </c>
      <c r="H858" s="16" t="s">
        <v>1411</v>
      </c>
      <c r="J858" s="16" t="s">
        <v>218</v>
      </c>
      <c r="O858" s="20">
        <v>625.0</v>
      </c>
      <c r="Q858" s="16" t="b">
        <v>1</v>
      </c>
      <c r="R858" s="16" t="b">
        <v>0</v>
      </c>
    </row>
    <row r="859">
      <c r="A859" s="16" t="s">
        <v>1882</v>
      </c>
      <c r="B859" s="16" t="s">
        <v>65</v>
      </c>
      <c r="C859" s="22">
        <v>45943.0</v>
      </c>
      <c r="D859" s="16" t="s">
        <v>131</v>
      </c>
      <c r="F859" s="16" t="s">
        <v>1421</v>
      </c>
      <c r="H859" s="16" t="s">
        <v>1421</v>
      </c>
      <c r="J859" s="16" t="s">
        <v>218</v>
      </c>
      <c r="O859" s="20">
        <v>375.0</v>
      </c>
      <c r="Q859" s="16" t="b">
        <v>1</v>
      </c>
      <c r="R859" s="16" t="b">
        <v>0</v>
      </c>
    </row>
    <row r="860">
      <c r="A860" s="16" t="s">
        <v>1884</v>
      </c>
      <c r="B860" s="16" t="s">
        <v>65</v>
      </c>
      <c r="C860" s="22">
        <v>45943.0</v>
      </c>
      <c r="D860" s="16" t="s">
        <v>131</v>
      </c>
      <c r="F860" s="16" t="s">
        <v>6038</v>
      </c>
      <c r="H860" s="16" t="s">
        <v>6038</v>
      </c>
      <c r="J860" s="16" t="s">
        <v>218</v>
      </c>
      <c r="O860" s="20">
        <v>1097.26</v>
      </c>
      <c r="Q860" s="16" t="b">
        <v>1</v>
      </c>
      <c r="R860" s="16" t="b">
        <v>0</v>
      </c>
    </row>
    <row r="861">
      <c r="A861" s="16" t="s">
        <v>1887</v>
      </c>
      <c r="B861" s="16" t="s">
        <v>65</v>
      </c>
      <c r="C861" s="22">
        <v>45943.0</v>
      </c>
      <c r="D861" s="16" t="s">
        <v>1159</v>
      </c>
      <c r="F861" s="16" t="s">
        <v>1219</v>
      </c>
      <c r="H861" s="16" t="s">
        <v>1219</v>
      </c>
      <c r="J861" s="16" t="s">
        <v>218</v>
      </c>
      <c r="O861" s="20">
        <v>936.75</v>
      </c>
      <c r="Q861" s="16" t="b">
        <v>1</v>
      </c>
      <c r="R861" s="16" t="b">
        <v>0</v>
      </c>
    </row>
    <row r="862">
      <c r="A862" s="16">
        <v>1290.0</v>
      </c>
      <c r="B862" s="16" t="s">
        <v>65</v>
      </c>
      <c r="C862" s="22">
        <v>45943.0</v>
      </c>
      <c r="D862" s="16" t="s">
        <v>1159</v>
      </c>
      <c r="F862" s="16" t="s">
        <v>1231</v>
      </c>
      <c r="H862" s="16" t="s">
        <v>1231</v>
      </c>
      <c r="J862" s="16" t="s">
        <v>218</v>
      </c>
      <c r="O862" s="20">
        <v>761.31</v>
      </c>
      <c r="Q862" s="16" t="b">
        <v>1</v>
      </c>
      <c r="R862" s="16" t="b">
        <v>0</v>
      </c>
    </row>
    <row r="863">
      <c r="A863" s="16">
        <v>1291.0</v>
      </c>
      <c r="B863" s="16" t="s">
        <v>65</v>
      </c>
      <c r="C863" s="22">
        <v>45947.0</v>
      </c>
      <c r="D863" s="16" t="s">
        <v>1159</v>
      </c>
      <c r="F863" s="16" t="s">
        <v>1243</v>
      </c>
      <c r="H863" s="16" t="s">
        <v>1243</v>
      </c>
      <c r="J863" s="16" t="s">
        <v>218</v>
      </c>
      <c r="O863" s="20">
        <v>10466.38</v>
      </c>
      <c r="Q863" s="16" t="b">
        <v>1</v>
      </c>
      <c r="R863" s="16" t="b">
        <v>0</v>
      </c>
    </row>
    <row r="864">
      <c r="A864" s="16" t="s">
        <v>1897</v>
      </c>
      <c r="B864" s="16" t="s">
        <v>65</v>
      </c>
      <c r="C864" s="22">
        <v>45950.0</v>
      </c>
      <c r="D864" s="16" t="s">
        <v>1322</v>
      </c>
      <c r="F864" s="16" t="s">
        <v>6040</v>
      </c>
      <c r="H864" s="16" t="s">
        <v>6040</v>
      </c>
      <c r="J864" s="16" t="s">
        <v>218</v>
      </c>
      <c r="O864" s="20">
        <v>396.82</v>
      </c>
      <c r="Q864" s="16" t="b">
        <v>1</v>
      </c>
      <c r="R864" s="16" t="b">
        <v>0</v>
      </c>
    </row>
    <row r="865">
      <c r="A865" s="16" t="s">
        <v>1903</v>
      </c>
      <c r="B865" s="16" t="s">
        <v>65</v>
      </c>
      <c r="C865" s="22">
        <v>45950.0</v>
      </c>
      <c r="D865" s="16" t="s">
        <v>6041</v>
      </c>
      <c r="F865" s="16" t="s">
        <v>6040</v>
      </c>
      <c r="H865" s="16" t="s">
        <v>6040</v>
      </c>
      <c r="J865" s="16" t="s">
        <v>218</v>
      </c>
      <c r="O865" s="20">
        <v>464.59</v>
      </c>
      <c r="Q865" s="16" t="b">
        <v>1</v>
      </c>
      <c r="R865" s="16" t="b">
        <v>0</v>
      </c>
    </row>
    <row r="866">
      <c r="A866" s="16">
        <v>1303.0</v>
      </c>
      <c r="B866" s="16" t="s">
        <v>65</v>
      </c>
      <c r="C866" s="22">
        <v>45950.0</v>
      </c>
      <c r="D866" s="16" t="s">
        <v>1322</v>
      </c>
      <c r="F866" s="22">
        <v>45931.0</v>
      </c>
      <c r="H866" s="22">
        <v>45931.0</v>
      </c>
      <c r="J866" s="16" t="s">
        <v>218</v>
      </c>
      <c r="O866" s="20">
        <v>238.01</v>
      </c>
      <c r="Q866" s="16" t="b">
        <v>1</v>
      </c>
      <c r="R866" s="16" t="b">
        <v>0</v>
      </c>
    </row>
    <row r="867">
      <c r="A867" s="16">
        <v>1304.0</v>
      </c>
      <c r="B867" s="16" t="s">
        <v>65</v>
      </c>
      <c r="C867" s="22">
        <v>45950.0</v>
      </c>
      <c r="D867" s="16" t="s">
        <v>6041</v>
      </c>
      <c r="F867" s="22">
        <v>45717.0</v>
      </c>
      <c r="H867" s="22">
        <v>45717.0</v>
      </c>
      <c r="J867" s="16" t="s">
        <v>218</v>
      </c>
      <c r="O867" s="20">
        <v>65.47</v>
      </c>
      <c r="Q867" s="16" t="b">
        <v>1</v>
      </c>
      <c r="R867" s="16" t="b">
        <v>0</v>
      </c>
    </row>
    <row r="868">
      <c r="A868" s="16" t="s">
        <v>1908</v>
      </c>
      <c r="B868" s="16" t="s">
        <v>65</v>
      </c>
      <c r="C868" s="22">
        <v>45958.0</v>
      </c>
      <c r="D868" s="16" t="s">
        <v>131</v>
      </c>
      <c r="F868" s="16" t="s">
        <v>6042</v>
      </c>
      <c r="H868" s="16" t="s">
        <v>6042</v>
      </c>
      <c r="J868" s="16" t="s">
        <v>218</v>
      </c>
      <c r="O868" s="20">
        <v>3198.96</v>
      </c>
      <c r="Q868" s="16" t="b">
        <v>1</v>
      </c>
      <c r="R868" s="16" t="b">
        <v>0</v>
      </c>
    </row>
    <row r="869">
      <c r="A869" s="16">
        <v>1.83161497E8</v>
      </c>
      <c r="B869" s="16" t="s">
        <v>65</v>
      </c>
      <c r="C869" s="22">
        <v>45958.0</v>
      </c>
      <c r="D869" s="16" t="s">
        <v>131</v>
      </c>
      <c r="F869" s="16" t="s">
        <v>6043</v>
      </c>
      <c r="H869" s="16" t="s">
        <v>6043</v>
      </c>
      <c r="J869" s="16" t="s">
        <v>218</v>
      </c>
      <c r="O869" s="20">
        <v>22.91</v>
      </c>
      <c r="Q869" s="16" t="b">
        <v>1</v>
      </c>
      <c r="R869" s="16" t="b">
        <v>0</v>
      </c>
    </row>
    <row r="870">
      <c r="A870" s="16" t="s">
        <v>1914</v>
      </c>
      <c r="B870" s="16" t="s">
        <v>65</v>
      </c>
      <c r="C870" s="22">
        <v>45958.0</v>
      </c>
      <c r="D870" s="16" t="s">
        <v>131</v>
      </c>
      <c r="F870" s="16" t="s">
        <v>6044</v>
      </c>
      <c r="H870" s="16" t="s">
        <v>6044</v>
      </c>
      <c r="J870" s="16" t="s">
        <v>218</v>
      </c>
      <c r="O870" s="20">
        <v>806.63</v>
      </c>
      <c r="Q870" s="16" t="b">
        <v>1</v>
      </c>
      <c r="R870" s="16" t="b">
        <v>0</v>
      </c>
    </row>
    <row r="871">
      <c r="A871" s="16">
        <v>1311.0</v>
      </c>
      <c r="B871" s="16" t="s">
        <v>65</v>
      </c>
      <c r="C871" s="22">
        <v>45961.0</v>
      </c>
      <c r="D871" s="16" t="s">
        <v>1175</v>
      </c>
      <c r="F871" s="16" t="s">
        <v>1219</v>
      </c>
      <c r="H871" s="16" t="s">
        <v>1219</v>
      </c>
      <c r="J871" s="16" t="s">
        <v>218</v>
      </c>
      <c r="O871" s="20">
        <v>292.0</v>
      </c>
      <c r="Q871" s="16" t="b">
        <v>1</v>
      </c>
      <c r="R871" s="16" t="b">
        <v>0</v>
      </c>
    </row>
    <row r="872">
      <c r="A872" s="16">
        <v>1312.0</v>
      </c>
      <c r="B872" s="16" t="s">
        <v>65</v>
      </c>
      <c r="C872" s="22">
        <v>45961.0</v>
      </c>
      <c r="F872" s="16" t="s">
        <v>1219</v>
      </c>
      <c r="H872" s="16" t="s">
        <v>1219</v>
      </c>
      <c r="J872" s="16" t="s">
        <v>218</v>
      </c>
      <c r="K872" s="16" t="s">
        <v>132</v>
      </c>
      <c r="O872" s="20">
        <v>2559.25</v>
      </c>
      <c r="Q872" s="16" t="b">
        <v>1</v>
      </c>
      <c r="R872" s="16" t="b">
        <v>0</v>
      </c>
    </row>
    <row r="873">
      <c r="A873" s="16">
        <v>1313.0</v>
      </c>
      <c r="B873" s="16" t="s">
        <v>65</v>
      </c>
      <c r="C873" s="22">
        <v>45961.0</v>
      </c>
      <c r="D873" s="16" t="s">
        <v>1322</v>
      </c>
      <c r="F873" s="16" t="s">
        <v>6045</v>
      </c>
      <c r="H873" s="16" t="s">
        <v>6045</v>
      </c>
      <c r="J873" s="16" t="s">
        <v>218</v>
      </c>
      <c r="O873" s="20">
        <v>292.0</v>
      </c>
      <c r="Q873" s="16" t="b">
        <v>1</v>
      </c>
      <c r="R873" s="16" t="b">
        <v>0</v>
      </c>
    </row>
    <row r="874">
      <c r="A874" s="16">
        <v>1314.0</v>
      </c>
      <c r="B874" s="16" t="s">
        <v>65</v>
      </c>
      <c r="C874" s="22">
        <v>45961.0</v>
      </c>
      <c r="F874" s="16" t="s">
        <v>1219</v>
      </c>
      <c r="H874" s="16" t="s">
        <v>1219</v>
      </c>
      <c r="J874" s="16" t="s">
        <v>218</v>
      </c>
      <c r="K874" s="16" t="s">
        <v>348</v>
      </c>
      <c r="O874" s="20">
        <v>1894.79</v>
      </c>
      <c r="Q874" s="16" t="b">
        <v>1</v>
      </c>
      <c r="R874" s="16" t="b">
        <v>0</v>
      </c>
    </row>
    <row r="875">
      <c r="A875" s="16">
        <v>1315.0</v>
      </c>
      <c r="B875" s="16" t="s">
        <v>65</v>
      </c>
      <c r="C875" s="22">
        <v>45961.0</v>
      </c>
      <c r="F875" s="16" t="s">
        <v>1219</v>
      </c>
      <c r="H875" s="16" t="s">
        <v>1219</v>
      </c>
      <c r="J875" s="16" t="s">
        <v>218</v>
      </c>
      <c r="K875" s="20">
        <v>5.7411272E7</v>
      </c>
      <c r="O875" s="20">
        <v>2467.35</v>
      </c>
      <c r="Q875" s="16" t="b">
        <v>1</v>
      </c>
      <c r="R875" s="16" t="b">
        <v>0</v>
      </c>
    </row>
    <row r="876">
      <c r="A876" s="16">
        <v>1316.0</v>
      </c>
      <c r="B876" s="16" t="s">
        <v>65</v>
      </c>
      <c r="C876" s="22">
        <v>45961.0</v>
      </c>
      <c r="F876" s="16" t="s">
        <v>1219</v>
      </c>
      <c r="H876" s="16" t="s">
        <v>1219</v>
      </c>
      <c r="J876" s="16" t="s">
        <v>218</v>
      </c>
      <c r="K876" s="16" t="s">
        <v>754</v>
      </c>
      <c r="O876" s="20">
        <v>2268.81</v>
      </c>
      <c r="Q876" s="16" t="b">
        <v>1</v>
      </c>
      <c r="R876" s="16" t="b">
        <v>0</v>
      </c>
    </row>
    <row r="877">
      <c r="A877" s="16" t="s">
        <v>1926</v>
      </c>
      <c r="B877" s="16" t="s">
        <v>65</v>
      </c>
      <c r="C877" s="22">
        <v>45958.0</v>
      </c>
      <c r="F877" s="16" t="s">
        <v>6046</v>
      </c>
      <c r="H877" s="16" t="s">
        <v>6046</v>
      </c>
      <c r="J877" s="16" t="s">
        <v>218</v>
      </c>
      <c r="K877" s="16" t="s">
        <v>377</v>
      </c>
      <c r="O877" s="20">
        <v>32.0</v>
      </c>
      <c r="Q877" s="16" t="b">
        <v>1</v>
      </c>
      <c r="R877" s="16" t="b">
        <v>0</v>
      </c>
    </row>
    <row r="878">
      <c r="A878" s="16">
        <v>1323.0</v>
      </c>
      <c r="B878" s="16" t="s">
        <v>65</v>
      </c>
      <c r="C878" s="22">
        <v>45964.0</v>
      </c>
      <c r="D878" s="16" t="s">
        <v>398</v>
      </c>
      <c r="F878" s="16" t="s">
        <v>1219</v>
      </c>
      <c r="H878" s="16" t="s">
        <v>1219</v>
      </c>
      <c r="J878" s="16" t="s">
        <v>218</v>
      </c>
      <c r="O878" s="20">
        <v>7000.0</v>
      </c>
      <c r="Q878" s="16" t="b">
        <v>1</v>
      </c>
      <c r="R878" s="16" t="b">
        <v>0</v>
      </c>
    </row>
    <row r="879">
      <c r="A879" s="16">
        <v>1332.0</v>
      </c>
      <c r="B879" s="16" t="s">
        <v>65</v>
      </c>
      <c r="C879" s="22">
        <v>45964.0</v>
      </c>
      <c r="D879" s="16" t="s">
        <v>1159</v>
      </c>
      <c r="F879" s="16" t="s">
        <v>1383</v>
      </c>
      <c r="H879" s="16" t="s">
        <v>1383</v>
      </c>
      <c r="J879" s="16" t="s">
        <v>218</v>
      </c>
      <c r="O879" s="20">
        <v>500.0</v>
      </c>
      <c r="Q879" s="16" t="b">
        <v>1</v>
      </c>
      <c r="R879" s="16" t="b">
        <v>0</v>
      </c>
    </row>
    <row r="880">
      <c r="A880" s="16">
        <v>1335.0</v>
      </c>
      <c r="B880" s="16" t="s">
        <v>65</v>
      </c>
      <c r="C880" s="22">
        <v>45964.0</v>
      </c>
      <c r="D880" s="16" t="s">
        <v>342</v>
      </c>
      <c r="F880" s="16" t="s">
        <v>1219</v>
      </c>
      <c r="H880" s="16" t="s">
        <v>1219</v>
      </c>
      <c r="J880" s="16" t="s">
        <v>218</v>
      </c>
      <c r="O880" s="20">
        <v>3082.82</v>
      </c>
      <c r="Q880" s="16" t="b">
        <v>1</v>
      </c>
      <c r="R880" s="16" t="b">
        <v>0</v>
      </c>
    </row>
    <row r="881">
      <c r="A881" s="16">
        <v>1333.0</v>
      </c>
      <c r="B881" s="16" t="s">
        <v>65</v>
      </c>
      <c r="C881" s="22">
        <v>45971.0</v>
      </c>
      <c r="D881" s="16" t="s">
        <v>1664</v>
      </c>
      <c r="F881" s="16" t="s">
        <v>1389</v>
      </c>
      <c r="H881" s="16" t="s">
        <v>1389</v>
      </c>
      <c r="J881" s="16" t="s">
        <v>218</v>
      </c>
      <c r="O881" s="20">
        <v>179.9</v>
      </c>
      <c r="Q881" s="16" t="b">
        <v>1</v>
      </c>
      <c r="R881" s="16" t="b">
        <v>0</v>
      </c>
    </row>
    <row r="882">
      <c r="A882" s="16" t="s">
        <v>1935</v>
      </c>
      <c r="B882" s="16" t="s">
        <v>65</v>
      </c>
      <c r="C882" s="22">
        <v>45971.0</v>
      </c>
      <c r="D882" s="16" t="s">
        <v>131</v>
      </c>
      <c r="F882" s="16" t="s">
        <v>6047</v>
      </c>
      <c r="H882" s="16" t="s">
        <v>6047</v>
      </c>
      <c r="J882" s="16" t="s">
        <v>218</v>
      </c>
      <c r="O882" s="20">
        <v>10.0</v>
      </c>
      <c r="Q882" s="16" t="b">
        <v>1</v>
      </c>
      <c r="R882" s="16" t="b">
        <v>0</v>
      </c>
    </row>
    <row r="883">
      <c r="A883" s="16" t="s">
        <v>1938</v>
      </c>
      <c r="B883" s="16" t="s">
        <v>65</v>
      </c>
      <c r="C883" s="22">
        <v>45971.0</v>
      </c>
      <c r="D883" s="16" t="s">
        <v>131</v>
      </c>
      <c r="F883" s="16" t="s">
        <v>6048</v>
      </c>
      <c r="H883" s="16" t="s">
        <v>6048</v>
      </c>
      <c r="J883" s="16" t="s">
        <v>218</v>
      </c>
      <c r="O883" s="20">
        <v>2877.68</v>
      </c>
      <c r="Q883" s="16" t="b">
        <v>1</v>
      </c>
      <c r="R883" s="16" t="b">
        <v>0</v>
      </c>
    </row>
    <row r="884">
      <c r="A884" s="16" t="s">
        <v>1941</v>
      </c>
      <c r="B884" s="16" t="s">
        <v>65</v>
      </c>
      <c r="C884" s="22">
        <v>45971.0</v>
      </c>
      <c r="D884" s="16" t="s">
        <v>131</v>
      </c>
      <c r="F884" s="16" t="s">
        <v>6049</v>
      </c>
      <c r="H884" s="16" t="s">
        <v>6049</v>
      </c>
      <c r="J884" s="16" t="s">
        <v>218</v>
      </c>
      <c r="O884" s="20">
        <v>813.61</v>
      </c>
      <c r="Q884" s="16" t="b">
        <v>1</v>
      </c>
      <c r="R884" s="16" t="b">
        <v>0</v>
      </c>
    </row>
    <row r="885">
      <c r="A885" s="16">
        <v>1342.0</v>
      </c>
      <c r="B885" s="16" t="s">
        <v>65</v>
      </c>
      <c r="C885" s="22">
        <v>45975.0</v>
      </c>
      <c r="D885" s="16" t="s">
        <v>131</v>
      </c>
      <c r="F885" s="16" t="s">
        <v>1404</v>
      </c>
      <c r="H885" s="16" t="s">
        <v>1404</v>
      </c>
      <c r="J885" s="16" t="s">
        <v>218</v>
      </c>
      <c r="O885" s="20">
        <v>1110.0</v>
      </c>
      <c r="Q885" s="16" t="b">
        <v>1</v>
      </c>
      <c r="R885" s="16" t="b">
        <v>0</v>
      </c>
    </row>
    <row r="886">
      <c r="A886" s="16">
        <v>1343.0</v>
      </c>
      <c r="B886" s="16" t="s">
        <v>65</v>
      </c>
      <c r="C886" s="22">
        <v>46014.0</v>
      </c>
      <c r="D886" s="16" t="s">
        <v>131</v>
      </c>
      <c r="F886" s="16" t="s">
        <v>1411</v>
      </c>
      <c r="H886" s="16" t="s">
        <v>1411</v>
      </c>
      <c r="J886" s="16" t="s">
        <v>218</v>
      </c>
      <c r="O886" s="20">
        <v>625.0</v>
      </c>
      <c r="Q886" s="16" t="b">
        <v>1</v>
      </c>
      <c r="R886" s="16" t="b">
        <v>0</v>
      </c>
    </row>
    <row r="887">
      <c r="A887" s="16">
        <v>1344.0</v>
      </c>
      <c r="B887" s="16" t="s">
        <v>65</v>
      </c>
      <c r="C887" s="22">
        <v>45975.0</v>
      </c>
      <c r="D887" s="16" t="s">
        <v>131</v>
      </c>
      <c r="F887" s="16" t="s">
        <v>1421</v>
      </c>
      <c r="H887" s="16" t="s">
        <v>1421</v>
      </c>
      <c r="J887" s="16" t="s">
        <v>218</v>
      </c>
      <c r="O887" s="20">
        <v>375.0</v>
      </c>
      <c r="Q887" s="16" t="b">
        <v>1</v>
      </c>
      <c r="R887" s="16" t="b">
        <v>0</v>
      </c>
    </row>
    <row r="888">
      <c r="A888" s="16" t="s">
        <v>1949</v>
      </c>
      <c r="B888" s="16" t="s">
        <v>65</v>
      </c>
      <c r="C888" s="22">
        <v>45975.0</v>
      </c>
      <c r="D888" s="16" t="s">
        <v>6041</v>
      </c>
      <c r="F888" s="16" t="s">
        <v>52</v>
      </c>
      <c r="H888" s="16" t="s">
        <v>52</v>
      </c>
      <c r="J888" s="16" t="s">
        <v>218</v>
      </c>
      <c r="O888" s="20">
        <v>725.52</v>
      </c>
      <c r="Q888" s="16" t="b">
        <v>1</v>
      </c>
      <c r="R888" s="16" t="b">
        <v>0</v>
      </c>
    </row>
    <row r="889">
      <c r="A889" s="16">
        <v>1349.0</v>
      </c>
      <c r="B889" s="16" t="s">
        <v>65</v>
      </c>
      <c r="C889" s="22">
        <v>45975.0</v>
      </c>
      <c r="D889" s="16" t="s">
        <v>1159</v>
      </c>
      <c r="F889" s="16" t="s">
        <v>1219</v>
      </c>
      <c r="H889" s="16" t="s">
        <v>1219</v>
      </c>
      <c r="J889" s="16" t="s">
        <v>218</v>
      </c>
      <c r="O889" s="20">
        <v>935.71</v>
      </c>
      <c r="Q889" s="16" t="b">
        <v>1</v>
      </c>
      <c r="R889" s="16" t="b">
        <v>0</v>
      </c>
    </row>
    <row r="890">
      <c r="A890" s="16">
        <v>1352.0</v>
      </c>
      <c r="B890" s="16" t="s">
        <v>65</v>
      </c>
      <c r="C890" s="22">
        <v>45979.0</v>
      </c>
      <c r="D890" s="16" t="s">
        <v>1159</v>
      </c>
      <c r="F890" s="16" t="s">
        <v>1231</v>
      </c>
      <c r="H890" s="16" t="s">
        <v>1231</v>
      </c>
      <c r="J890" s="16" t="s">
        <v>218</v>
      </c>
      <c r="O890" s="20">
        <v>760.39</v>
      </c>
      <c r="Q890" s="16" t="b">
        <v>1</v>
      </c>
      <c r="R890" s="16" t="b">
        <v>0</v>
      </c>
    </row>
    <row r="891">
      <c r="A891" s="16">
        <v>1353.0</v>
      </c>
      <c r="B891" s="16" t="s">
        <v>65</v>
      </c>
      <c r="C891" s="22">
        <v>45979.0</v>
      </c>
      <c r="D891" s="16" t="s">
        <v>1159</v>
      </c>
      <c r="F891" s="16" t="s">
        <v>1243</v>
      </c>
      <c r="H891" s="16" t="s">
        <v>1243</v>
      </c>
      <c r="J891" s="16" t="s">
        <v>218</v>
      </c>
      <c r="O891" s="20">
        <v>10450.09</v>
      </c>
      <c r="Q891" s="16" t="b">
        <v>1</v>
      </c>
      <c r="R891" s="16" t="b">
        <v>0</v>
      </c>
    </row>
    <row r="892">
      <c r="A892" s="16" t="s">
        <v>1957</v>
      </c>
      <c r="B892" s="16" t="s">
        <v>65</v>
      </c>
      <c r="C892" s="22">
        <v>46030.0</v>
      </c>
      <c r="D892" s="16" t="s">
        <v>131</v>
      </c>
      <c r="F892" s="16" t="s">
        <v>6052</v>
      </c>
      <c r="H892" s="16" t="s">
        <v>6052</v>
      </c>
      <c r="J892" s="16" t="s">
        <v>218</v>
      </c>
      <c r="O892" s="20">
        <v>6027.98</v>
      </c>
      <c r="Q892" s="16" t="b">
        <v>1</v>
      </c>
      <c r="R892" s="16" t="b">
        <v>0</v>
      </c>
    </row>
    <row r="893">
      <c r="A893" s="16">
        <v>1.32935365E8</v>
      </c>
      <c r="B893" s="16" t="s">
        <v>65</v>
      </c>
      <c r="C893" s="22">
        <v>46030.0</v>
      </c>
      <c r="D893" s="16" t="s">
        <v>131</v>
      </c>
      <c r="F893" s="16" t="s">
        <v>6053</v>
      </c>
      <c r="H893" s="16" t="s">
        <v>6053</v>
      </c>
      <c r="J893" s="16" t="s">
        <v>218</v>
      </c>
      <c r="O893" s="20">
        <v>111.0</v>
      </c>
      <c r="Q893" s="16" t="b">
        <v>1</v>
      </c>
      <c r="R893" s="16" t="b">
        <v>0</v>
      </c>
    </row>
    <row r="894">
      <c r="A894" s="16">
        <v>1367.0</v>
      </c>
      <c r="B894" s="16" t="s">
        <v>65</v>
      </c>
      <c r="C894" s="22">
        <v>45984.0</v>
      </c>
      <c r="D894" s="16" t="s">
        <v>1322</v>
      </c>
      <c r="F894" s="22">
        <v>45931.0</v>
      </c>
      <c r="H894" s="22">
        <v>45931.0</v>
      </c>
      <c r="J894" s="16" t="s">
        <v>218</v>
      </c>
      <c r="O894" s="20">
        <v>238.01</v>
      </c>
      <c r="Q894" s="16" t="b">
        <v>1</v>
      </c>
      <c r="R894" s="16" t="b">
        <v>0</v>
      </c>
    </row>
    <row r="895">
      <c r="A895" s="16">
        <v>1368.0</v>
      </c>
      <c r="B895" s="16" t="s">
        <v>65</v>
      </c>
      <c r="C895" s="22">
        <v>45984.0</v>
      </c>
      <c r="D895" s="16" t="s">
        <v>6041</v>
      </c>
      <c r="F895" s="22">
        <v>45717.0</v>
      </c>
      <c r="H895" s="22">
        <v>45717.0</v>
      </c>
      <c r="J895" s="16" t="s">
        <v>218</v>
      </c>
      <c r="O895" s="20">
        <v>65.47</v>
      </c>
      <c r="Q895" s="16" t="b">
        <v>1</v>
      </c>
      <c r="R895" s="16" t="b">
        <v>0</v>
      </c>
    </row>
    <row r="896">
      <c r="A896" s="16" t="s">
        <v>1965</v>
      </c>
      <c r="B896" s="16" t="s">
        <v>65</v>
      </c>
      <c r="C896" s="22">
        <v>46030.0</v>
      </c>
      <c r="D896" s="16" t="s">
        <v>131</v>
      </c>
      <c r="F896" s="16" t="s">
        <v>6055</v>
      </c>
      <c r="H896" s="16" t="s">
        <v>6055</v>
      </c>
      <c r="J896" s="16" t="s">
        <v>218</v>
      </c>
      <c r="O896" s="20">
        <v>82.3</v>
      </c>
      <c r="Q896" s="16" t="b">
        <v>1</v>
      </c>
      <c r="R896" s="16" t="b">
        <v>0</v>
      </c>
    </row>
    <row r="897">
      <c r="A897" s="16" t="s">
        <v>1968</v>
      </c>
      <c r="B897" s="16" t="s">
        <v>65</v>
      </c>
      <c r="C897" s="22">
        <v>46030.0</v>
      </c>
      <c r="D897" s="16" t="s">
        <v>131</v>
      </c>
      <c r="F897" s="16" t="s">
        <v>6056</v>
      </c>
      <c r="H897" s="16" t="s">
        <v>6056</v>
      </c>
      <c r="J897" s="16" t="s">
        <v>218</v>
      </c>
      <c r="O897" s="20">
        <v>2166.04</v>
      </c>
      <c r="Q897" s="16" t="b">
        <v>1</v>
      </c>
      <c r="R897" s="16" t="b">
        <v>0</v>
      </c>
    </row>
    <row r="898">
      <c r="A898" s="16" t="s">
        <v>1970</v>
      </c>
      <c r="B898" s="16" t="s">
        <v>65</v>
      </c>
      <c r="C898" s="22">
        <v>45994.0</v>
      </c>
      <c r="D898" s="16" t="s">
        <v>1322</v>
      </c>
      <c r="F898" s="16" t="s">
        <v>6057</v>
      </c>
      <c r="H898" s="16" t="s">
        <v>6057</v>
      </c>
      <c r="J898" s="16" t="s">
        <v>218</v>
      </c>
      <c r="O898" s="20">
        <v>134.0</v>
      </c>
      <c r="Q898" s="16" t="b">
        <v>1</v>
      </c>
      <c r="R898" s="16" t="b">
        <v>0</v>
      </c>
    </row>
    <row r="899">
      <c r="A899" s="16" t="s">
        <v>1974</v>
      </c>
      <c r="B899" s="16" t="s">
        <v>65</v>
      </c>
      <c r="C899" s="22">
        <v>45994.0</v>
      </c>
      <c r="D899" s="16" t="s">
        <v>1322</v>
      </c>
      <c r="F899" s="16" t="s">
        <v>6058</v>
      </c>
      <c r="H899" s="16" t="s">
        <v>6058</v>
      </c>
      <c r="J899" s="16" t="s">
        <v>218</v>
      </c>
      <c r="O899" s="20">
        <v>75.0</v>
      </c>
      <c r="Q899" s="16" t="b">
        <v>1</v>
      </c>
      <c r="R899" s="16" t="b">
        <v>0</v>
      </c>
    </row>
    <row r="900">
      <c r="A900" s="16" t="s">
        <v>1979</v>
      </c>
      <c r="B900" s="16" t="s">
        <v>65</v>
      </c>
      <c r="C900" s="22">
        <v>45981.0</v>
      </c>
      <c r="F900" s="16" t="s">
        <v>6059</v>
      </c>
      <c r="H900" s="16" t="s">
        <v>6059</v>
      </c>
      <c r="J900" s="16" t="s">
        <v>218</v>
      </c>
      <c r="K900" s="16">
        <v>5.7411272E7</v>
      </c>
      <c r="O900" s="20">
        <v>557.06</v>
      </c>
      <c r="Q900" s="16" t="b">
        <v>1</v>
      </c>
      <c r="R900" s="16" t="b">
        <v>0</v>
      </c>
    </row>
    <row r="901">
      <c r="A901" s="16" t="s">
        <v>1981</v>
      </c>
      <c r="B901" s="16" t="s">
        <v>65</v>
      </c>
      <c r="C901" s="22">
        <v>46001.0</v>
      </c>
      <c r="F901" s="16" t="s">
        <v>6060</v>
      </c>
      <c r="H901" s="16" t="s">
        <v>6060</v>
      </c>
      <c r="J901" s="16" t="s">
        <v>218</v>
      </c>
      <c r="K901" s="16">
        <v>5.7411272E7</v>
      </c>
      <c r="O901" s="20">
        <v>661.58</v>
      </c>
      <c r="Q901" s="16" t="b">
        <v>1</v>
      </c>
      <c r="R901" s="16" t="b">
        <v>0</v>
      </c>
    </row>
    <row r="902">
      <c r="A902" s="16" t="s">
        <v>1983</v>
      </c>
      <c r="B902" s="16" t="s">
        <v>65</v>
      </c>
      <c r="C902" s="22">
        <v>45981.0</v>
      </c>
      <c r="F902" s="16" t="s">
        <v>6059</v>
      </c>
      <c r="H902" s="16" t="s">
        <v>6059</v>
      </c>
      <c r="J902" s="16" t="s">
        <v>218</v>
      </c>
      <c r="K902" s="16" t="s">
        <v>754</v>
      </c>
      <c r="O902" s="20">
        <v>546.8</v>
      </c>
      <c r="Q902" s="16" t="b">
        <v>1</v>
      </c>
      <c r="R902" s="16" t="b">
        <v>0</v>
      </c>
    </row>
    <row r="903">
      <c r="A903" s="16" t="s">
        <v>1986</v>
      </c>
      <c r="B903" s="16" t="s">
        <v>65</v>
      </c>
      <c r="C903" s="22">
        <v>46001.0</v>
      </c>
      <c r="F903" s="16" t="s">
        <v>6060</v>
      </c>
      <c r="H903" s="16" t="s">
        <v>6060</v>
      </c>
      <c r="J903" s="16" t="s">
        <v>218</v>
      </c>
      <c r="K903" s="16" t="s">
        <v>754</v>
      </c>
      <c r="O903" s="20">
        <v>687.87</v>
      </c>
      <c r="Q903" s="16" t="b">
        <v>1</v>
      </c>
      <c r="R903" s="16" t="b">
        <v>0</v>
      </c>
    </row>
    <row r="904">
      <c r="A904" s="16" t="s">
        <v>1989</v>
      </c>
      <c r="B904" s="16" t="s">
        <v>65</v>
      </c>
      <c r="C904" s="22">
        <v>45981.0</v>
      </c>
      <c r="F904" s="16" t="s">
        <v>6059</v>
      </c>
      <c r="H904" s="16" t="s">
        <v>6059</v>
      </c>
      <c r="J904" s="16" t="s">
        <v>218</v>
      </c>
      <c r="K904" s="16" t="s">
        <v>348</v>
      </c>
      <c r="O904" s="20">
        <v>532.99</v>
      </c>
      <c r="Q904" s="16" t="b">
        <v>1</v>
      </c>
      <c r="R904" s="16" t="b">
        <v>0</v>
      </c>
    </row>
    <row r="905">
      <c r="A905" s="16" t="s">
        <v>1993</v>
      </c>
      <c r="B905" s="16" t="s">
        <v>65</v>
      </c>
      <c r="C905" s="22">
        <v>46001.0</v>
      </c>
      <c r="F905" s="16" t="s">
        <v>6060</v>
      </c>
      <c r="H905" s="16" t="s">
        <v>6060</v>
      </c>
      <c r="J905" s="16" t="s">
        <v>218</v>
      </c>
      <c r="K905" s="16" t="s">
        <v>348</v>
      </c>
      <c r="O905" s="20">
        <v>614.51</v>
      </c>
      <c r="Q905" s="16" t="b">
        <v>1</v>
      </c>
      <c r="R905" s="16" t="b">
        <v>0</v>
      </c>
    </row>
    <row r="906">
      <c r="A906" s="16" t="s">
        <v>1995</v>
      </c>
      <c r="B906" s="16" t="s">
        <v>65</v>
      </c>
      <c r="C906" s="22">
        <v>45981.0</v>
      </c>
      <c r="F906" s="16" t="s">
        <v>6059</v>
      </c>
      <c r="H906" s="16" t="s">
        <v>6059</v>
      </c>
      <c r="J906" s="16" t="s">
        <v>218</v>
      </c>
      <c r="K906" s="16" t="s">
        <v>394</v>
      </c>
      <c r="O906" s="20">
        <v>146.0</v>
      </c>
      <c r="Q906" s="16" t="b">
        <v>1</v>
      </c>
      <c r="R906" s="16" t="b">
        <v>0</v>
      </c>
    </row>
    <row r="907">
      <c r="A907" s="16">
        <v>1.20540566E8</v>
      </c>
      <c r="B907" s="16" t="s">
        <v>65</v>
      </c>
      <c r="C907" s="22">
        <v>46001.0</v>
      </c>
      <c r="F907" s="16" t="s">
        <v>6060</v>
      </c>
      <c r="H907" s="16" t="s">
        <v>6060</v>
      </c>
      <c r="J907" s="16" t="s">
        <v>218</v>
      </c>
      <c r="K907" s="16" t="s">
        <v>394</v>
      </c>
      <c r="O907" s="20">
        <v>292.5</v>
      </c>
      <c r="Q907" s="16" t="b">
        <v>1</v>
      </c>
      <c r="R907" s="16" t="b">
        <v>0</v>
      </c>
    </row>
    <row r="908">
      <c r="A908" s="16" t="s">
        <v>1999</v>
      </c>
      <c r="B908" s="16" t="s">
        <v>65</v>
      </c>
      <c r="C908" s="22">
        <v>45981.0</v>
      </c>
      <c r="F908" s="16" t="s">
        <v>6059</v>
      </c>
      <c r="H908" s="16" t="s">
        <v>6059</v>
      </c>
      <c r="J908" s="16" t="s">
        <v>218</v>
      </c>
      <c r="K908" s="16" t="s">
        <v>377</v>
      </c>
      <c r="O908" s="20">
        <v>146.0</v>
      </c>
      <c r="Q908" s="16" t="b">
        <v>1</v>
      </c>
      <c r="R908" s="16" t="b">
        <v>0</v>
      </c>
    </row>
    <row r="909">
      <c r="A909" s="16" t="s">
        <v>2002</v>
      </c>
      <c r="B909" s="16" t="s">
        <v>65</v>
      </c>
      <c r="C909" s="22">
        <v>45981.0</v>
      </c>
      <c r="F909" s="16" t="s">
        <v>6059</v>
      </c>
      <c r="H909" s="16" t="s">
        <v>6059</v>
      </c>
      <c r="J909" s="16" t="s">
        <v>218</v>
      </c>
      <c r="K909" s="16" t="s">
        <v>132</v>
      </c>
      <c r="O909" s="20">
        <v>735.0</v>
      </c>
      <c r="Q909" s="16" t="b">
        <v>1</v>
      </c>
      <c r="R909" s="16" t="b">
        <v>0</v>
      </c>
    </row>
    <row r="910">
      <c r="A910" s="16" t="s">
        <v>2006</v>
      </c>
      <c r="B910" s="16" t="s">
        <v>65</v>
      </c>
      <c r="C910" s="22">
        <v>46001.0</v>
      </c>
      <c r="F910" s="16" t="s">
        <v>6060</v>
      </c>
      <c r="H910" s="16" t="s">
        <v>6060</v>
      </c>
      <c r="J910" s="16" t="s">
        <v>218</v>
      </c>
      <c r="K910" s="16" t="s">
        <v>132</v>
      </c>
      <c r="O910" s="20">
        <v>848.42</v>
      </c>
      <c r="Q910" s="16" t="b">
        <v>1</v>
      </c>
      <c r="R910" s="16" t="b">
        <v>0</v>
      </c>
    </row>
    <row r="911">
      <c r="A911" s="16">
        <v>1387.0</v>
      </c>
      <c r="B911" s="16" t="s">
        <v>65</v>
      </c>
      <c r="C911" s="22">
        <v>45984.0</v>
      </c>
      <c r="D911" s="16" t="s">
        <v>1175</v>
      </c>
      <c r="F911" s="16" t="s">
        <v>1219</v>
      </c>
      <c r="H911" s="16" t="s">
        <v>1219</v>
      </c>
      <c r="J911" s="16" t="s">
        <v>218</v>
      </c>
      <c r="O911" s="20">
        <v>585.0</v>
      </c>
      <c r="Q911" s="16" t="b">
        <v>1</v>
      </c>
      <c r="R911" s="16" t="b">
        <v>0</v>
      </c>
    </row>
    <row r="912">
      <c r="A912" s="16">
        <v>1388.0</v>
      </c>
      <c r="B912" s="16" t="s">
        <v>65</v>
      </c>
      <c r="C912" s="22">
        <v>45995.0</v>
      </c>
      <c r="F912" s="16" t="s">
        <v>1219</v>
      </c>
      <c r="H912" s="16" t="s">
        <v>1219</v>
      </c>
      <c r="J912" s="16" t="s">
        <v>218</v>
      </c>
      <c r="K912" s="16" t="s">
        <v>132</v>
      </c>
      <c r="O912" s="20">
        <v>2693.8</v>
      </c>
      <c r="Q912" s="16" t="b">
        <v>1</v>
      </c>
      <c r="R912" s="16" t="b">
        <v>0</v>
      </c>
    </row>
    <row r="913">
      <c r="A913" s="16">
        <v>1390.0</v>
      </c>
      <c r="B913" s="16" t="s">
        <v>65</v>
      </c>
      <c r="C913" s="22">
        <v>45995.0</v>
      </c>
      <c r="F913" s="16" t="s">
        <v>1219</v>
      </c>
      <c r="H913" s="16" t="s">
        <v>1219</v>
      </c>
      <c r="J913" s="16" t="s">
        <v>218</v>
      </c>
      <c r="K913" s="16" t="s">
        <v>348</v>
      </c>
      <c r="O913" s="20">
        <v>1933.77</v>
      </c>
      <c r="Q913" s="16" t="b">
        <v>1</v>
      </c>
      <c r="R913" s="16" t="b">
        <v>0</v>
      </c>
    </row>
    <row r="914">
      <c r="A914" s="16">
        <v>1391.0</v>
      </c>
      <c r="B914" s="16" t="s">
        <v>65</v>
      </c>
      <c r="C914" s="22">
        <v>45995.0</v>
      </c>
      <c r="F914" s="16" t="s">
        <v>1219</v>
      </c>
      <c r="H914" s="16" t="s">
        <v>1219</v>
      </c>
      <c r="J914" s="16" t="s">
        <v>218</v>
      </c>
      <c r="K914" s="20">
        <v>5.7411272E7</v>
      </c>
      <c r="O914" s="20">
        <v>2556.39</v>
      </c>
      <c r="Q914" s="16" t="b">
        <v>1</v>
      </c>
      <c r="R914" s="16" t="b">
        <v>0</v>
      </c>
    </row>
    <row r="915">
      <c r="A915" s="16">
        <v>1392.0</v>
      </c>
      <c r="B915" s="16" t="s">
        <v>65</v>
      </c>
      <c r="C915" s="22">
        <v>45995.0</v>
      </c>
      <c r="F915" s="16" t="s">
        <v>1219</v>
      </c>
      <c r="H915" s="16" t="s">
        <v>1219</v>
      </c>
      <c r="J915" s="16" t="s">
        <v>218</v>
      </c>
      <c r="K915" s="16" t="s">
        <v>754</v>
      </c>
      <c r="O915" s="20">
        <v>2871.98</v>
      </c>
      <c r="Q915" s="16" t="b">
        <v>1</v>
      </c>
      <c r="R915" s="16" t="b">
        <v>0</v>
      </c>
    </row>
    <row r="916">
      <c r="A916" s="16">
        <v>1393.0</v>
      </c>
      <c r="B916" s="16" t="s">
        <v>65</v>
      </c>
      <c r="C916" s="22">
        <v>45984.0</v>
      </c>
      <c r="F916" s="16" t="s">
        <v>6046</v>
      </c>
      <c r="H916" s="16" t="s">
        <v>6046</v>
      </c>
      <c r="J916" s="16" t="s">
        <v>218</v>
      </c>
      <c r="K916" s="16" t="s">
        <v>377</v>
      </c>
      <c r="O916" s="20">
        <v>32.0</v>
      </c>
      <c r="Q916" s="16" t="b">
        <v>1</v>
      </c>
      <c r="R916" s="16" t="b">
        <v>0</v>
      </c>
    </row>
    <row r="917">
      <c r="A917" s="16" t="s">
        <v>2021</v>
      </c>
      <c r="B917" s="16" t="s">
        <v>65</v>
      </c>
      <c r="C917" s="22">
        <v>45994.0</v>
      </c>
      <c r="D917" s="16" t="s">
        <v>131</v>
      </c>
      <c r="F917" s="16" t="s">
        <v>6065</v>
      </c>
      <c r="H917" s="16" t="s">
        <v>6065</v>
      </c>
      <c r="J917" s="16" t="s">
        <v>218</v>
      </c>
      <c r="O917" s="20">
        <v>83.75</v>
      </c>
      <c r="Q917" s="16" t="b">
        <v>1</v>
      </c>
      <c r="R917" s="16" t="b">
        <v>0</v>
      </c>
    </row>
    <row r="918">
      <c r="A918" s="16">
        <v>1403.0</v>
      </c>
      <c r="B918" s="16" t="s">
        <v>65</v>
      </c>
      <c r="C918" s="22">
        <v>45994.0</v>
      </c>
      <c r="D918" s="16" t="s">
        <v>398</v>
      </c>
      <c r="F918" s="16" t="s">
        <v>1219</v>
      </c>
      <c r="H918" s="16" t="s">
        <v>1219</v>
      </c>
      <c r="J918" s="16" t="s">
        <v>218</v>
      </c>
      <c r="O918" s="20">
        <v>7000.0</v>
      </c>
      <c r="Q918" s="16" t="b">
        <v>1</v>
      </c>
      <c r="R918" s="16" t="b">
        <v>0</v>
      </c>
    </row>
    <row r="919">
      <c r="A919" s="16" t="s">
        <v>2029</v>
      </c>
      <c r="B919" s="16" t="s">
        <v>65</v>
      </c>
      <c r="C919" s="22">
        <v>45987.0</v>
      </c>
      <c r="F919" s="16" t="s">
        <v>6067</v>
      </c>
      <c r="H919" s="16" t="s">
        <v>6067</v>
      </c>
      <c r="J919" s="16" t="s">
        <v>218</v>
      </c>
      <c r="K919" s="16" t="s">
        <v>394</v>
      </c>
      <c r="O919" s="20">
        <v>607.0</v>
      </c>
      <c r="Q919" s="16" t="b">
        <v>1</v>
      </c>
      <c r="R919" s="16" t="b">
        <v>0</v>
      </c>
    </row>
    <row r="920">
      <c r="A920" s="16" t="s">
        <v>2033</v>
      </c>
      <c r="B920" s="16" t="s">
        <v>65</v>
      </c>
      <c r="C920" s="22">
        <v>45988.0</v>
      </c>
      <c r="F920" s="16" t="s">
        <v>6067</v>
      </c>
      <c r="H920" s="16" t="s">
        <v>6067</v>
      </c>
      <c r="J920" s="16" t="s">
        <v>218</v>
      </c>
      <c r="K920" s="16" t="s">
        <v>394</v>
      </c>
      <c r="O920" s="20">
        <v>241.0</v>
      </c>
      <c r="Q920" s="16" t="b">
        <v>1</v>
      </c>
      <c r="R920" s="16" t="b">
        <v>0</v>
      </c>
    </row>
    <row r="921">
      <c r="A921" s="16" t="s">
        <v>2037</v>
      </c>
      <c r="B921" s="16" t="s">
        <v>65</v>
      </c>
      <c r="C921" s="22">
        <v>45994.0</v>
      </c>
      <c r="D921" s="16" t="s">
        <v>6041</v>
      </c>
      <c r="F921" s="16" t="s">
        <v>6068</v>
      </c>
      <c r="H921" s="16" t="s">
        <v>6068</v>
      </c>
      <c r="J921" s="16" t="s">
        <v>218</v>
      </c>
      <c r="O921" s="20">
        <v>966.74</v>
      </c>
      <c r="Q921" s="16" t="b">
        <v>1</v>
      </c>
      <c r="R921" s="16" t="b">
        <v>0</v>
      </c>
    </row>
    <row r="922">
      <c r="A922" s="16" t="s">
        <v>2040</v>
      </c>
      <c r="B922" s="16" t="s">
        <v>65</v>
      </c>
      <c r="C922" s="22">
        <v>46000.0</v>
      </c>
      <c r="D922" s="16" t="s">
        <v>131</v>
      </c>
      <c r="F922" s="16" t="s">
        <v>6069</v>
      </c>
      <c r="H922" s="16" t="s">
        <v>6069</v>
      </c>
      <c r="J922" s="16" t="s">
        <v>218</v>
      </c>
      <c r="O922" s="20">
        <v>2979.98</v>
      </c>
      <c r="Q922" s="16" t="b">
        <v>1</v>
      </c>
      <c r="R922" s="16" t="b">
        <v>0</v>
      </c>
    </row>
    <row r="923">
      <c r="A923" s="16" t="s">
        <v>2044</v>
      </c>
      <c r="B923" s="16" t="s">
        <v>65</v>
      </c>
      <c r="C923" s="22">
        <v>46000.0</v>
      </c>
      <c r="D923" s="16" t="s">
        <v>131</v>
      </c>
      <c r="F923" s="16" t="s">
        <v>6070</v>
      </c>
      <c r="H923" s="16" t="s">
        <v>6070</v>
      </c>
      <c r="J923" s="16" t="s">
        <v>218</v>
      </c>
      <c r="O923" s="20">
        <v>4916.0</v>
      </c>
      <c r="Q923" s="16" t="b">
        <v>1</v>
      </c>
      <c r="R923" s="16" t="b">
        <v>0</v>
      </c>
    </row>
    <row r="924">
      <c r="A924" s="16">
        <v>1415.0</v>
      </c>
      <c r="B924" s="16" t="s">
        <v>65</v>
      </c>
      <c r="C924" s="22">
        <v>46000.0</v>
      </c>
      <c r="D924" s="16" t="s">
        <v>1159</v>
      </c>
      <c r="F924" s="16" t="s">
        <v>1383</v>
      </c>
      <c r="H924" s="16" t="s">
        <v>1383</v>
      </c>
      <c r="J924" s="16" t="s">
        <v>218</v>
      </c>
      <c r="O924" s="20">
        <v>1000.0</v>
      </c>
      <c r="Q924" s="16" t="b">
        <v>1</v>
      </c>
      <c r="R924" s="16" t="b">
        <v>0</v>
      </c>
    </row>
    <row r="925">
      <c r="A925" s="16">
        <v>1416.0</v>
      </c>
      <c r="B925" s="16" t="s">
        <v>65</v>
      </c>
      <c r="C925" s="22">
        <v>46000.0</v>
      </c>
      <c r="D925" s="16" t="s">
        <v>1664</v>
      </c>
      <c r="F925" s="16" t="s">
        <v>1389</v>
      </c>
      <c r="H925" s="16" t="s">
        <v>1389</v>
      </c>
      <c r="J925" s="16" t="s">
        <v>218</v>
      </c>
      <c r="O925" s="20">
        <v>179.9</v>
      </c>
      <c r="Q925" s="16" t="b">
        <v>1</v>
      </c>
      <c r="R925" s="16" t="b">
        <v>0</v>
      </c>
    </row>
    <row r="926">
      <c r="A926" s="16">
        <v>1418.0</v>
      </c>
      <c r="B926" s="16" t="s">
        <v>65</v>
      </c>
      <c r="C926" s="22">
        <v>46030.0</v>
      </c>
      <c r="D926" s="16" t="s">
        <v>342</v>
      </c>
      <c r="F926" s="16" t="s">
        <v>1219</v>
      </c>
      <c r="H926" s="16" t="s">
        <v>1219</v>
      </c>
      <c r="J926" s="16" t="s">
        <v>218</v>
      </c>
      <c r="O926" s="20">
        <v>1723.27</v>
      </c>
      <c r="Q926" s="16" t="b">
        <v>1</v>
      </c>
      <c r="R926" s="16" t="b">
        <v>0</v>
      </c>
    </row>
    <row r="927">
      <c r="A927" s="16" t="s">
        <v>2050</v>
      </c>
      <c r="B927" s="16" t="s">
        <v>65</v>
      </c>
      <c r="C927" s="22">
        <v>46000.0</v>
      </c>
      <c r="D927" s="16" t="s">
        <v>131</v>
      </c>
      <c r="F927" s="16" t="s">
        <v>6071</v>
      </c>
      <c r="H927" s="16" t="s">
        <v>6071</v>
      </c>
      <c r="J927" s="16" t="s">
        <v>218</v>
      </c>
      <c r="O927" s="20">
        <v>0.01</v>
      </c>
      <c r="Q927" s="16" t="b">
        <v>1</v>
      </c>
      <c r="R927" s="16" t="b">
        <v>0</v>
      </c>
    </row>
    <row r="928">
      <c r="A928" s="16" t="s">
        <v>2054</v>
      </c>
      <c r="B928" s="16" t="s">
        <v>65</v>
      </c>
      <c r="C928" s="22">
        <v>46000.0</v>
      </c>
      <c r="D928" s="16" t="s">
        <v>131</v>
      </c>
      <c r="F928" s="16" t="s">
        <v>6072</v>
      </c>
      <c r="H928" s="16" t="s">
        <v>6072</v>
      </c>
      <c r="J928" s="16" t="s">
        <v>218</v>
      </c>
      <c r="O928" s="20">
        <v>60.31</v>
      </c>
      <c r="Q928" s="16" t="b">
        <v>1</v>
      </c>
      <c r="R928" s="16" t="b">
        <v>0</v>
      </c>
    </row>
    <row r="929">
      <c r="A929" s="16">
        <v>1441.0</v>
      </c>
      <c r="B929" s="16" t="s">
        <v>65</v>
      </c>
      <c r="C929" s="22">
        <v>46006.0</v>
      </c>
      <c r="D929" s="16" t="s">
        <v>131</v>
      </c>
      <c r="F929" s="16" t="s">
        <v>1404</v>
      </c>
      <c r="H929" s="16" t="s">
        <v>1404</v>
      </c>
      <c r="J929" s="16" t="s">
        <v>218</v>
      </c>
      <c r="O929" s="20">
        <v>1110.0</v>
      </c>
      <c r="Q929" s="16" t="b">
        <v>1</v>
      </c>
      <c r="R929" s="16" t="b">
        <v>0</v>
      </c>
    </row>
    <row r="930">
      <c r="A930" s="16">
        <v>1442.0</v>
      </c>
      <c r="B930" s="16" t="s">
        <v>65</v>
      </c>
      <c r="C930" s="22">
        <v>46028.0</v>
      </c>
      <c r="D930" s="16" t="s">
        <v>131</v>
      </c>
      <c r="F930" s="16" t="s">
        <v>1411</v>
      </c>
      <c r="H930" s="16" t="s">
        <v>1411</v>
      </c>
      <c r="J930" s="16" t="s">
        <v>218</v>
      </c>
      <c r="O930" s="20">
        <v>625.0</v>
      </c>
      <c r="Q930" s="16" t="b">
        <v>1</v>
      </c>
      <c r="R930" s="16" t="b">
        <v>0</v>
      </c>
    </row>
    <row r="931">
      <c r="A931" s="16">
        <v>1443.0</v>
      </c>
      <c r="B931" s="16" t="s">
        <v>65</v>
      </c>
      <c r="C931" s="22">
        <v>46006.0</v>
      </c>
      <c r="D931" s="16" t="s">
        <v>131</v>
      </c>
      <c r="F931" s="16" t="s">
        <v>1421</v>
      </c>
      <c r="H931" s="16" t="s">
        <v>1421</v>
      </c>
      <c r="J931" s="16" t="s">
        <v>218</v>
      </c>
      <c r="O931" s="20">
        <v>375.0</v>
      </c>
      <c r="Q931" s="16" t="b">
        <v>1</v>
      </c>
      <c r="R931" s="16" t="b">
        <v>0</v>
      </c>
    </row>
    <row r="932">
      <c r="A932" s="16">
        <v>1445.0</v>
      </c>
      <c r="B932" s="16" t="s">
        <v>65</v>
      </c>
      <c r="C932" s="22">
        <v>46007.0</v>
      </c>
      <c r="D932" s="16" t="s">
        <v>1159</v>
      </c>
      <c r="F932" s="16" t="s">
        <v>1219</v>
      </c>
      <c r="H932" s="16" t="s">
        <v>1219</v>
      </c>
      <c r="J932" s="16" t="s">
        <v>218</v>
      </c>
      <c r="O932" s="20">
        <v>1002.11</v>
      </c>
      <c r="Q932" s="16" t="b">
        <v>1</v>
      </c>
      <c r="R932" s="16" t="b">
        <v>0</v>
      </c>
    </row>
    <row r="933">
      <c r="A933" s="16" t="s">
        <v>2065</v>
      </c>
      <c r="B933" s="16" t="s">
        <v>65</v>
      </c>
      <c r="C933" s="22">
        <v>46000.0</v>
      </c>
      <c r="D933" s="16" t="s">
        <v>1159</v>
      </c>
      <c r="F933" s="16" t="s">
        <v>6073</v>
      </c>
      <c r="H933" s="16" t="s">
        <v>6073</v>
      </c>
      <c r="J933" s="16" t="s">
        <v>218</v>
      </c>
      <c r="O933" s="20">
        <v>950.0</v>
      </c>
      <c r="Q933" s="16" t="b">
        <v>1</v>
      </c>
      <c r="R933" s="16" t="b">
        <v>0</v>
      </c>
    </row>
    <row r="934">
      <c r="A934" s="16">
        <v>1449.0</v>
      </c>
      <c r="B934" s="16" t="s">
        <v>65</v>
      </c>
      <c r="C934" s="22">
        <v>46030.0</v>
      </c>
      <c r="D934" s="16" t="s">
        <v>1159</v>
      </c>
      <c r="F934" s="16" t="s">
        <v>1231</v>
      </c>
      <c r="H934" s="16" t="s">
        <v>1231</v>
      </c>
      <c r="J934" s="16" t="s">
        <v>218</v>
      </c>
      <c r="O934" s="20">
        <v>1009.14</v>
      </c>
      <c r="Q934" s="16" t="b">
        <v>1</v>
      </c>
      <c r="R934" s="16" t="b">
        <v>0</v>
      </c>
    </row>
    <row r="935">
      <c r="A935" s="16">
        <v>1450.0</v>
      </c>
      <c r="B935" s="16" t="s">
        <v>65</v>
      </c>
      <c r="C935" s="22">
        <v>46007.0</v>
      </c>
      <c r="D935" s="16" t="s">
        <v>1159</v>
      </c>
      <c r="F935" s="16" t="s">
        <v>1243</v>
      </c>
      <c r="H935" s="16" t="s">
        <v>1243</v>
      </c>
      <c r="J935" s="16" t="s">
        <v>218</v>
      </c>
      <c r="O935" s="20">
        <v>13318.81</v>
      </c>
      <c r="Q935" s="16" t="b">
        <v>1</v>
      </c>
      <c r="R935" s="16" t="b">
        <v>0</v>
      </c>
    </row>
    <row r="936">
      <c r="A936" s="16" t="s">
        <v>2074</v>
      </c>
      <c r="B936" s="16" t="s">
        <v>65</v>
      </c>
      <c r="C936" s="22">
        <v>46042.0</v>
      </c>
      <c r="D936" s="16" t="s">
        <v>6074</v>
      </c>
      <c r="F936" s="16" t="s">
        <v>6075</v>
      </c>
      <c r="H936" s="16" t="s">
        <v>6075</v>
      </c>
      <c r="J936" s="16" t="s">
        <v>218</v>
      </c>
      <c r="O936" s="20">
        <v>286.86</v>
      </c>
      <c r="Q936" s="16" t="b">
        <v>1</v>
      </c>
      <c r="R936" s="16" t="b">
        <v>0</v>
      </c>
    </row>
    <row r="937">
      <c r="A937" s="16" t="s">
        <v>2076</v>
      </c>
      <c r="B937" s="16" t="s">
        <v>65</v>
      </c>
      <c r="C937" s="22">
        <v>46007.0</v>
      </c>
      <c r="D937" s="16" t="s">
        <v>6074</v>
      </c>
      <c r="F937" s="16" t="s">
        <v>6075</v>
      </c>
      <c r="H937" s="16" t="s">
        <v>6075</v>
      </c>
      <c r="J937" s="16" t="s">
        <v>218</v>
      </c>
      <c r="O937" s="20">
        <v>449.75</v>
      </c>
      <c r="Q937" s="16" t="b">
        <v>1</v>
      </c>
      <c r="R937" s="16" t="b">
        <v>0</v>
      </c>
    </row>
    <row r="938">
      <c r="A938" s="16" t="s">
        <v>2085</v>
      </c>
      <c r="B938" s="16" t="s">
        <v>65</v>
      </c>
      <c r="C938" s="22">
        <v>46001.0</v>
      </c>
      <c r="F938" s="16" t="s">
        <v>6076</v>
      </c>
      <c r="H938" s="16" t="s">
        <v>6076</v>
      </c>
      <c r="J938" s="16" t="s">
        <v>218</v>
      </c>
      <c r="K938" s="16" t="s">
        <v>6077</v>
      </c>
      <c r="O938" s="20">
        <v>161.88</v>
      </c>
      <c r="Q938" s="16" t="b">
        <v>1</v>
      </c>
      <c r="R938" s="16" t="b">
        <v>0</v>
      </c>
    </row>
    <row r="939">
      <c r="A939" s="16" t="s">
        <v>2088</v>
      </c>
      <c r="B939" s="16" t="s">
        <v>65</v>
      </c>
      <c r="C939" s="22">
        <v>46001.0</v>
      </c>
      <c r="F939" s="16" t="s">
        <v>1900</v>
      </c>
      <c r="H939" s="16" t="s">
        <v>1900</v>
      </c>
      <c r="J939" s="16" t="s">
        <v>218</v>
      </c>
      <c r="K939" s="16" t="s">
        <v>754</v>
      </c>
      <c r="O939" s="20">
        <v>500.0</v>
      </c>
      <c r="Q939" s="16" t="b">
        <v>1</v>
      </c>
      <c r="R939" s="16" t="b">
        <v>0</v>
      </c>
    </row>
    <row r="940">
      <c r="A940" s="16" t="s">
        <v>2093</v>
      </c>
      <c r="B940" s="16" t="s">
        <v>65</v>
      </c>
      <c r="C940" s="22">
        <v>46007.0</v>
      </c>
      <c r="D940" s="16" t="s">
        <v>131</v>
      </c>
      <c r="F940" s="16" t="s">
        <v>6079</v>
      </c>
      <c r="H940" s="16" t="s">
        <v>6079</v>
      </c>
      <c r="J940" s="16" t="s">
        <v>218</v>
      </c>
      <c r="O940" s="20">
        <v>4991.59</v>
      </c>
      <c r="Q940" s="16" t="b">
        <v>1</v>
      </c>
      <c r="R940" s="16" t="b">
        <v>0</v>
      </c>
    </row>
    <row r="941">
      <c r="A941" s="16" t="s">
        <v>2095</v>
      </c>
      <c r="B941" s="16" t="s">
        <v>65</v>
      </c>
      <c r="C941" s="22">
        <v>46007.0</v>
      </c>
      <c r="D941" s="16" t="s">
        <v>6041</v>
      </c>
      <c r="F941" s="16" t="s">
        <v>6080</v>
      </c>
      <c r="H941" s="16" t="s">
        <v>6080</v>
      </c>
      <c r="J941" s="16" t="s">
        <v>218</v>
      </c>
      <c r="O941" s="20">
        <v>974.5</v>
      </c>
      <c r="Q941" s="16" t="b">
        <v>1</v>
      </c>
      <c r="R941" s="16" t="b">
        <v>0</v>
      </c>
    </row>
    <row r="942">
      <c r="A942" s="16">
        <v>1466.0</v>
      </c>
      <c r="B942" s="16" t="s">
        <v>65</v>
      </c>
      <c r="C942" s="22">
        <v>46014.0</v>
      </c>
      <c r="D942" s="16" t="s">
        <v>1322</v>
      </c>
      <c r="F942" s="22">
        <v>45931.0</v>
      </c>
      <c r="H942" s="22">
        <v>45931.0</v>
      </c>
      <c r="J942" s="16" t="s">
        <v>218</v>
      </c>
      <c r="O942" s="20">
        <v>238.01</v>
      </c>
      <c r="Q942" s="16" t="b">
        <v>1</v>
      </c>
      <c r="R942" s="16" t="b">
        <v>0</v>
      </c>
    </row>
    <row r="943">
      <c r="A943" s="16">
        <v>1467.0</v>
      </c>
      <c r="B943" s="16" t="s">
        <v>65</v>
      </c>
      <c r="C943" s="22">
        <v>46014.0</v>
      </c>
      <c r="D943" s="16" t="s">
        <v>6041</v>
      </c>
      <c r="F943" s="22">
        <v>45717.0</v>
      </c>
      <c r="H943" s="22">
        <v>45717.0</v>
      </c>
      <c r="J943" s="16" t="s">
        <v>218</v>
      </c>
      <c r="O943" s="20">
        <v>65.47</v>
      </c>
      <c r="Q943" s="16" t="b">
        <v>1</v>
      </c>
      <c r="R943" s="16" t="b">
        <v>0</v>
      </c>
    </row>
    <row r="944">
      <c r="A944" s="16" t="s">
        <v>2102</v>
      </c>
      <c r="B944" s="16" t="s">
        <v>65</v>
      </c>
      <c r="C944" s="22">
        <v>46014.0</v>
      </c>
      <c r="D944" s="16" t="s">
        <v>131</v>
      </c>
      <c r="F944" s="16" t="s">
        <v>6081</v>
      </c>
      <c r="H944" s="16" t="s">
        <v>6081</v>
      </c>
      <c r="J944" s="16" t="s">
        <v>218</v>
      </c>
      <c r="O944" s="20">
        <v>3061.52</v>
      </c>
      <c r="Q944" s="16" t="b">
        <v>1</v>
      </c>
      <c r="R944" s="16" t="b">
        <v>0</v>
      </c>
    </row>
    <row r="945">
      <c r="A945" s="16">
        <v>1480.0</v>
      </c>
      <c r="B945" s="16" t="s">
        <v>65</v>
      </c>
      <c r="C945" s="22">
        <v>46021.0</v>
      </c>
      <c r="D945" s="16" t="s">
        <v>1175</v>
      </c>
      <c r="F945" s="16" t="s">
        <v>1219</v>
      </c>
      <c r="H945" s="16" t="s">
        <v>1219</v>
      </c>
      <c r="J945" s="16" t="s">
        <v>218</v>
      </c>
      <c r="O945" s="20">
        <v>585.0</v>
      </c>
      <c r="Q945" s="16" t="b">
        <v>1</v>
      </c>
      <c r="R945" s="16" t="b">
        <v>0</v>
      </c>
    </row>
    <row r="946">
      <c r="A946" s="16">
        <v>1481.0</v>
      </c>
      <c r="B946" s="16" t="s">
        <v>65</v>
      </c>
      <c r="C946" s="22">
        <v>46021.0</v>
      </c>
      <c r="F946" s="16" t="s">
        <v>1219</v>
      </c>
      <c r="H946" s="16" t="s">
        <v>1219</v>
      </c>
      <c r="J946" s="16" t="s">
        <v>218</v>
      </c>
      <c r="K946" s="16" t="s">
        <v>132</v>
      </c>
      <c r="O946" s="20">
        <v>2693.8</v>
      </c>
      <c r="Q946" s="16" t="b">
        <v>1</v>
      </c>
      <c r="R946" s="16" t="b">
        <v>0</v>
      </c>
    </row>
    <row r="947">
      <c r="A947" s="16">
        <v>1482.0</v>
      </c>
      <c r="B947" s="16" t="s">
        <v>65</v>
      </c>
      <c r="C947" s="22">
        <v>46021.0</v>
      </c>
      <c r="F947" s="16" t="s">
        <v>1219</v>
      </c>
      <c r="H947" s="16" t="s">
        <v>1219</v>
      </c>
      <c r="J947" s="16" t="s">
        <v>218</v>
      </c>
      <c r="K947" s="16" t="s">
        <v>348</v>
      </c>
      <c r="O947" s="20">
        <v>1931.55</v>
      </c>
      <c r="Q947" s="16" t="b">
        <v>1</v>
      </c>
      <c r="R947" s="16" t="b">
        <v>0</v>
      </c>
    </row>
    <row r="948">
      <c r="A948" s="16">
        <v>1483.0</v>
      </c>
      <c r="B948" s="16" t="s">
        <v>65</v>
      </c>
      <c r="C948" s="22">
        <v>46021.0</v>
      </c>
      <c r="F948" s="16" t="s">
        <v>1219</v>
      </c>
      <c r="H948" s="16" t="s">
        <v>1219</v>
      </c>
      <c r="J948" s="16" t="s">
        <v>218</v>
      </c>
      <c r="K948" s="20">
        <v>5.7411272E7</v>
      </c>
      <c r="O948" s="20">
        <v>2481.05</v>
      </c>
      <c r="Q948" s="16" t="b">
        <v>1</v>
      </c>
      <c r="R948" s="16" t="b">
        <v>0</v>
      </c>
    </row>
    <row r="949">
      <c r="A949" s="16">
        <v>1484.0</v>
      </c>
      <c r="B949" s="16" t="s">
        <v>65</v>
      </c>
      <c r="C949" s="22">
        <v>46021.0</v>
      </c>
      <c r="F949" s="16" t="s">
        <v>1219</v>
      </c>
      <c r="H949" s="16" t="s">
        <v>1219</v>
      </c>
      <c r="J949" s="16" t="s">
        <v>218</v>
      </c>
      <c r="K949" s="16" t="s">
        <v>754</v>
      </c>
      <c r="O949" s="20">
        <v>2531.43</v>
      </c>
      <c r="Q949" s="16" t="b">
        <v>1</v>
      </c>
      <c r="R949" s="16" t="b">
        <v>0</v>
      </c>
    </row>
    <row r="950">
      <c r="A950" s="16">
        <v>1485.0</v>
      </c>
      <c r="B950" s="16" t="s">
        <v>65</v>
      </c>
      <c r="C950" s="22">
        <v>46021.0</v>
      </c>
      <c r="F950" s="16" t="s">
        <v>6046</v>
      </c>
      <c r="H950" s="16" t="s">
        <v>6046</v>
      </c>
      <c r="J950" s="16" t="s">
        <v>218</v>
      </c>
      <c r="K950" s="16" t="s">
        <v>377</v>
      </c>
      <c r="O950" s="20">
        <v>32.0</v>
      </c>
      <c r="Q950" s="16" t="b">
        <v>1</v>
      </c>
      <c r="R950" s="16" t="b">
        <v>0</v>
      </c>
    </row>
    <row r="951">
      <c r="A951" s="16" t="s">
        <v>2114</v>
      </c>
      <c r="B951" s="16" t="s">
        <v>65</v>
      </c>
      <c r="C951" s="22">
        <v>46014.0</v>
      </c>
      <c r="D951" s="16" t="s">
        <v>131</v>
      </c>
      <c r="F951" s="16" t="s">
        <v>6082</v>
      </c>
      <c r="H951" s="16" t="s">
        <v>6082</v>
      </c>
      <c r="J951" s="16" t="s">
        <v>218</v>
      </c>
      <c r="O951" s="20">
        <v>6005.64</v>
      </c>
      <c r="Q951" s="16" t="b">
        <v>1</v>
      </c>
      <c r="R951" s="16" t="b">
        <v>0</v>
      </c>
    </row>
    <row r="952">
      <c r="A952" s="16">
        <v>1491.0</v>
      </c>
      <c r="B952" s="16" t="s">
        <v>65</v>
      </c>
      <c r="C952" s="22">
        <v>46021.0</v>
      </c>
      <c r="D952" s="16" t="s">
        <v>398</v>
      </c>
      <c r="F952" s="16" t="s">
        <v>1219</v>
      </c>
      <c r="H952" s="16" t="s">
        <v>1219</v>
      </c>
      <c r="J952" s="16" t="s">
        <v>218</v>
      </c>
      <c r="O952" s="20">
        <v>7000.0</v>
      </c>
      <c r="Q952" s="16" t="b">
        <v>1</v>
      </c>
      <c r="R952" s="16" t="b">
        <v>0</v>
      </c>
    </row>
    <row r="953">
      <c r="A953" s="16" t="s">
        <v>2120</v>
      </c>
      <c r="B953" s="16" t="s">
        <v>65</v>
      </c>
      <c r="C953" s="22">
        <v>46028.0</v>
      </c>
      <c r="D953" s="16" t="s">
        <v>131</v>
      </c>
      <c r="F953" s="16" t="s">
        <v>6083</v>
      </c>
      <c r="H953" s="16" t="s">
        <v>6083</v>
      </c>
      <c r="J953" s="16" t="s">
        <v>218</v>
      </c>
      <c r="O953" s="20">
        <v>3022.86</v>
      </c>
      <c r="Q953" s="16" t="b">
        <v>1</v>
      </c>
      <c r="R953" s="16" t="b">
        <v>0</v>
      </c>
    </row>
    <row r="954">
      <c r="A954" s="16" t="s">
        <v>2123</v>
      </c>
      <c r="B954" s="16" t="s">
        <v>65</v>
      </c>
      <c r="C954" s="22">
        <v>46021.0</v>
      </c>
      <c r="D954" s="16" t="s">
        <v>131</v>
      </c>
      <c r="F954" s="16" t="s">
        <v>6084</v>
      </c>
      <c r="H954" s="16" t="s">
        <v>6084</v>
      </c>
      <c r="J954" s="16" t="s">
        <v>218</v>
      </c>
      <c r="O954" s="20">
        <v>28312.04</v>
      </c>
      <c r="Q954" s="16" t="b">
        <v>1</v>
      </c>
      <c r="R954" s="16" t="b">
        <v>0</v>
      </c>
    </row>
    <row r="955">
      <c r="A955" s="16" t="s">
        <v>2125</v>
      </c>
      <c r="B955" s="16" t="s">
        <v>65</v>
      </c>
      <c r="C955" s="22">
        <v>46021.0</v>
      </c>
      <c r="F955" s="16" t="s">
        <v>6085</v>
      </c>
      <c r="H955" s="16" t="s">
        <v>6085</v>
      </c>
      <c r="J955" s="16" t="s">
        <v>218</v>
      </c>
      <c r="K955" s="16" t="s">
        <v>6077</v>
      </c>
      <c r="O955" s="20">
        <v>1590.07</v>
      </c>
      <c r="Q955" s="16" t="b">
        <v>1</v>
      </c>
      <c r="R955" s="16" t="b">
        <v>0</v>
      </c>
    </row>
    <row r="956">
      <c r="A956" s="16" t="s">
        <v>2128</v>
      </c>
      <c r="B956" s="16" t="s">
        <v>65</v>
      </c>
      <c r="C956" s="22">
        <v>46021.0</v>
      </c>
      <c r="F956" s="16" t="s">
        <v>6085</v>
      </c>
      <c r="H956" s="16" t="s">
        <v>6085</v>
      </c>
      <c r="J956" s="16" t="s">
        <v>218</v>
      </c>
      <c r="K956" s="16" t="s">
        <v>6086</v>
      </c>
      <c r="O956" s="20">
        <v>1697.77</v>
      </c>
      <c r="Q956" s="16" t="b">
        <v>1</v>
      </c>
      <c r="R956" s="16" t="b">
        <v>0</v>
      </c>
    </row>
    <row r="957">
      <c r="A957" s="16">
        <v>1503.0</v>
      </c>
      <c r="B957" s="16" t="s">
        <v>65</v>
      </c>
      <c r="C957" s="22">
        <v>46028.0</v>
      </c>
      <c r="D957" s="16" t="s">
        <v>1159</v>
      </c>
      <c r="F957" s="16" t="s">
        <v>1383</v>
      </c>
      <c r="H957" s="16" t="s">
        <v>1383</v>
      </c>
      <c r="J957" s="16" t="s">
        <v>218</v>
      </c>
      <c r="O957" s="20">
        <v>500.0</v>
      </c>
      <c r="Q957" s="16" t="b">
        <v>1</v>
      </c>
      <c r="R957" s="16" t="b">
        <v>0</v>
      </c>
    </row>
    <row r="958">
      <c r="A958" s="16">
        <v>1504.0</v>
      </c>
      <c r="B958" s="16" t="s">
        <v>65</v>
      </c>
      <c r="C958" s="22">
        <v>46028.0</v>
      </c>
      <c r="D958" s="16" t="s">
        <v>1664</v>
      </c>
      <c r="F958" s="16" t="s">
        <v>1389</v>
      </c>
      <c r="H958" s="16" t="s">
        <v>1389</v>
      </c>
      <c r="J958" s="16" t="s">
        <v>218</v>
      </c>
      <c r="O958" s="20">
        <v>179.9</v>
      </c>
      <c r="Q958" s="16" t="b">
        <v>1</v>
      </c>
      <c r="R958" s="16" t="b">
        <v>0</v>
      </c>
    </row>
    <row r="959">
      <c r="A959" s="16">
        <v>1506.0</v>
      </c>
      <c r="B959" s="16" t="s">
        <v>65</v>
      </c>
      <c r="C959" s="22">
        <v>46028.0</v>
      </c>
      <c r="D959" s="16" t="s">
        <v>342</v>
      </c>
      <c r="F959" s="16" t="s">
        <v>1219</v>
      </c>
      <c r="H959" s="16" t="s">
        <v>1219</v>
      </c>
      <c r="J959" s="16" t="s">
        <v>218</v>
      </c>
      <c r="O959" s="20">
        <v>2455.01</v>
      </c>
      <c r="Q959" s="16" t="b">
        <v>1</v>
      </c>
      <c r="R959" s="16" t="b">
        <v>0</v>
      </c>
    </row>
    <row r="960">
      <c r="A960" s="16">
        <v>1511.0</v>
      </c>
      <c r="B960" s="16" t="s">
        <v>65</v>
      </c>
      <c r="C960" s="22">
        <v>46077.0</v>
      </c>
      <c r="D960" s="16" t="s">
        <v>131</v>
      </c>
      <c r="F960" s="16" t="s">
        <v>1404</v>
      </c>
      <c r="H960" s="16" t="s">
        <v>1404</v>
      </c>
      <c r="J960" s="16" t="s">
        <v>218</v>
      </c>
      <c r="O960" s="20">
        <v>1110.0</v>
      </c>
      <c r="Q960" s="16" t="b">
        <v>1</v>
      </c>
      <c r="R960" s="16" t="b">
        <v>0</v>
      </c>
    </row>
    <row r="961">
      <c r="A961" s="16">
        <v>1512.0</v>
      </c>
      <c r="B961" s="16" t="s">
        <v>65</v>
      </c>
      <c r="C961" s="22">
        <v>46077.0</v>
      </c>
      <c r="D961" s="16" t="s">
        <v>131</v>
      </c>
      <c r="F961" s="16" t="s">
        <v>1411</v>
      </c>
      <c r="H961" s="16" t="s">
        <v>1411</v>
      </c>
      <c r="J961" s="16" t="s">
        <v>218</v>
      </c>
      <c r="O961" s="20">
        <v>625.0</v>
      </c>
      <c r="Q961" s="16" t="b">
        <v>1</v>
      </c>
      <c r="R961" s="16" t="b">
        <v>0</v>
      </c>
    </row>
    <row r="962">
      <c r="A962" s="16">
        <v>1513.0</v>
      </c>
      <c r="B962" s="16" t="s">
        <v>65</v>
      </c>
      <c r="C962" s="22">
        <v>46077.0</v>
      </c>
      <c r="D962" s="16" t="s">
        <v>131</v>
      </c>
      <c r="F962" s="16" t="s">
        <v>1421</v>
      </c>
      <c r="H962" s="16" t="s">
        <v>1421</v>
      </c>
      <c r="J962" s="16" t="s">
        <v>218</v>
      </c>
      <c r="O962" s="20">
        <v>375.0</v>
      </c>
      <c r="Q962" s="16" t="b">
        <v>1</v>
      </c>
      <c r="R962" s="16" t="b">
        <v>0</v>
      </c>
    </row>
    <row r="963">
      <c r="A963" s="16" t="s">
        <v>2141</v>
      </c>
      <c r="B963" s="16" t="s">
        <v>65</v>
      </c>
      <c r="C963" s="22">
        <v>46028.0</v>
      </c>
      <c r="D963" s="16" t="s">
        <v>131</v>
      </c>
      <c r="F963" s="16" t="s">
        <v>6087</v>
      </c>
      <c r="H963" s="16" t="s">
        <v>6087</v>
      </c>
      <c r="J963" s="16" t="s">
        <v>218</v>
      </c>
      <c r="O963" s="20">
        <v>14067.66</v>
      </c>
      <c r="Q963" s="16" t="b">
        <v>1</v>
      </c>
      <c r="R963" s="16" t="b">
        <v>0</v>
      </c>
    </row>
    <row r="964">
      <c r="A964" s="16">
        <v>1518.0</v>
      </c>
      <c r="B964" s="16" t="s">
        <v>65</v>
      </c>
      <c r="C964" s="22">
        <v>46042.0</v>
      </c>
      <c r="D964" s="16" t="s">
        <v>1159</v>
      </c>
      <c r="F964" s="16" t="s">
        <v>1219</v>
      </c>
      <c r="H964" s="16" t="s">
        <v>1219</v>
      </c>
      <c r="J964" s="16" t="s">
        <v>218</v>
      </c>
      <c r="O964" s="20">
        <v>1240.27</v>
      </c>
      <c r="Q964" s="16" t="b">
        <v>1</v>
      </c>
      <c r="R964" s="16" t="b">
        <v>0</v>
      </c>
    </row>
    <row r="965">
      <c r="A965" s="16" t="s">
        <v>2145</v>
      </c>
      <c r="B965" s="16" t="s">
        <v>65</v>
      </c>
      <c r="C965" s="22">
        <v>46034.0</v>
      </c>
      <c r="D965" s="16" t="s">
        <v>6041</v>
      </c>
      <c r="F965" s="16" t="s">
        <v>6080</v>
      </c>
      <c r="H965" s="16" t="s">
        <v>6080</v>
      </c>
      <c r="J965" s="16" t="s">
        <v>218</v>
      </c>
      <c r="O965" s="20">
        <v>963.9</v>
      </c>
      <c r="Q965" s="16" t="b">
        <v>1</v>
      </c>
      <c r="R965" s="16" t="b">
        <v>0</v>
      </c>
    </row>
    <row r="966">
      <c r="A966" s="16" t="s">
        <v>2148</v>
      </c>
      <c r="B966" s="16" t="s">
        <v>65</v>
      </c>
      <c r="C966" s="22">
        <v>46000.0</v>
      </c>
      <c r="D966" s="16" t="s">
        <v>6088</v>
      </c>
      <c r="F966" s="16" t="s">
        <v>6089</v>
      </c>
      <c r="H966" s="16" t="s">
        <v>6089</v>
      </c>
      <c r="J966" s="16" t="s">
        <v>218</v>
      </c>
      <c r="O966" s="20">
        <v>14028.03</v>
      </c>
      <c r="Q966" s="16" t="b">
        <v>1</v>
      </c>
      <c r="R966" s="16" t="b">
        <v>0</v>
      </c>
    </row>
    <row r="967">
      <c r="A967" s="16">
        <v>1528.0</v>
      </c>
      <c r="B967" s="16" t="s">
        <v>65</v>
      </c>
      <c r="C967" s="22">
        <v>46042.0</v>
      </c>
      <c r="D967" s="16" t="s">
        <v>1159</v>
      </c>
      <c r="F967" s="16" t="s">
        <v>1231</v>
      </c>
      <c r="H967" s="16" t="s">
        <v>1231</v>
      </c>
      <c r="J967" s="16" t="s">
        <v>218</v>
      </c>
      <c r="O967" s="20">
        <v>1058.63</v>
      </c>
      <c r="Q967" s="16" t="b">
        <v>1</v>
      </c>
      <c r="R967" s="16" t="b">
        <v>0</v>
      </c>
    </row>
    <row r="968">
      <c r="A968" s="16">
        <v>1529.0</v>
      </c>
      <c r="B968" s="16" t="s">
        <v>65</v>
      </c>
      <c r="C968" s="22">
        <v>46041.0</v>
      </c>
      <c r="D968" s="16" t="s">
        <v>1159</v>
      </c>
      <c r="F968" s="16" t="s">
        <v>1243</v>
      </c>
      <c r="H968" s="16" t="s">
        <v>1243</v>
      </c>
      <c r="J968" s="16" t="s">
        <v>218</v>
      </c>
      <c r="O968" s="20">
        <v>14183.41</v>
      </c>
      <c r="Q968" s="16" t="b">
        <v>1</v>
      </c>
      <c r="R968" s="16" t="b">
        <v>0</v>
      </c>
    </row>
    <row r="969">
      <c r="A969" s="16" t="s">
        <v>2156</v>
      </c>
      <c r="B969" s="16" t="s">
        <v>65</v>
      </c>
      <c r="C969" s="22">
        <v>46035.0</v>
      </c>
      <c r="D969" s="16" t="s">
        <v>131</v>
      </c>
      <c r="F969" s="16" t="s">
        <v>6090</v>
      </c>
      <c r="H969" s="16" t="s">
        <v>6090</v>
      </c>
      <c r="J969" s="16" t="s">
        <v>218</v>
      </c>
      <c r="O969" s="20">
        <v>3196.0</v>
      </c>
      <c r="Q969" s="16" t="b">
        <v>1</v>
      </c>
      <c r="R969" s="16" t="b">
        <v>0</v>
      </c>
    </row>
    <row r="970">
      <c r="A970" s="16" t="s">
        <v>2159</v>
      </c>
      <c r="B970" s="16" t="s">
        <v>65</v>
      </c>
      <c r="C970" s="22">
        <v>46035.0</v>
      </c>
      <c r="D970" s="16" t="s">
        <v>6074</v>
      </c>
      <c r="F970" s="16" t="s">
        <v>6091</v>
      </c>
      <c r="H970" s="16" t="s">
        <v>6091</v>
      </c>
      <c r="J970" s="16" t="s">
        <v>218</v>
      </c>
      <c r="O970" s="20">
        <v>5.7</v>
      </c>
      <c r="Q970" s="16" t="b">
        <v>1</v>
      </c>
      <c r="R970" s="16" t="b">
        <v>0</v>
      </c>
    </row>
    <row r="971">
      <c r="A971" s="16" t="s">
        <v>2161</v>
      </c>
      <c r="B971" s="16" t="s">
        <v>65</v>
      </c>
      <c r="C971" s="22">
        <v>46035.0</v>
      </c>
      <c r="F971" s="16" t="s">
        <v>1900</v>
      </c>
      <c r="H971" s="16" t="s">
        <v>1900</v>
      </c>
      <c r="J971" s="16" t="s">
        <v>218</v>
      </c>
      <c r="K971" s="16" t="s">
        <v>6077</v>
      </c>
      <c r="O971" s="20">
        <v>200.0</v>
      </c>
      <c r="Q971" s="16" t="b">
        <v>1</v>
      </c>
      <c r="R971" s="16" t="b">
        <v>0</v>
      </c>
    </row>
    <row r="972">
      <c r="A972" s="16">
        <v>1542.0</v>
      </c>
      <c r="B972" s="16" t="s">
        <v>65</v>
      </c>
      <c r="C972" s="22">
        <v>46041.0</v>
      </c>
      <c r="D972" s="16" t="s">
        <v>1322</v>
      </c>
      <c r="F972" s="22">
        <v>46296.0</v>
      </c>
      <c r="H972" s="22">
        <v>46296.0</v>
      </c>
      <c r="J972" s="16" t="s">
        <v>218</v>
      </c>
      <c r="O972" s="20">
        <v>238.01</v>
      </c>
      <c r="Q972" s="16" t="b">
        <v>1</v>
      </c>
      <c r="R972" s="16" t="b">
        <v>0</v>
      </c>
    </row>
    <row r="973">
      <c r="A973" s="16">
        <v>1543.0</v>
      </c>
      <c r="B973" s="16" t="s">
        <v>65</v>
      </c>
      <c r="C973" s="22">
        <v>46041.0</v>
      </c>
      <c r="D973" s="16" t="s">
        <v>6041</v>
      </c>
      <c r="F973" s="22">
        <v>46082.0</v>
      </c>
      <c r="H973" s="22">
        <v>46082.0</v>
      </c>
      <c r="J973" s="16" t="s">
        <v>218</v>
      </c>
      <c r="O973" s="20">
        <v>65.47</v>
      </c>
      <c r="Q973" s="16" t="b">
        <v>1</v>
      </c>
      <c r="R973" s="16" t="b">
        <v>0</v>
      </c>
    </row>
    <row r="974">
      <c r="A974" s="16">
        <v>1549.0</v>
      </c>
      <c r="B974" s="16" t="s">
        <v>65</v>
      </c>
      <c r="C974" s="22">
        <v>46048.0</v>
      </c>
      <c r="D974" s="16" t="s">
        <v>1175</v>
      </c>
      <c r="F974" s="16" t="s">
        <v>1219</v>
      </c>
      <c r="H974" s="16" t="s">
        <v>1219</v>
      </c>
      <c r="J974" s="16" t="s">
        <v>218</v>
      </c>
      <c r="O974" s="20">
        <v>585.0</v>
      </c>
      <c r="Q974" s="16" t="b">
        <v>1</v>
      </c>
      <c r="R974" s="16" t="b">
        <v>0</v>
      </c>
    </row>
    <row r="975">
      <c r="A975" s="16">
        <v>1550.0</v>
      </c>
      <c r="B975" s="16" t="s">
        <v>65</v>
      </c>
      <c r="C975" s="22">
        <v>46054.0</v>
      </c>
      <c r="F975" s="16" t="s">
        <v>1219</v>
      </c>
      <c r="H975" s="16" t="s">
        <v>1219</v>
      </c>
      <c r="J975" s="16" t="s">
        <v>218</v>
      </c>
      <c r="K975" s="16" t="s">
        <v>132</v>
      </c>
      <c r="O975" s="20">
        <v>2655.55</v>
      </c>
      <c r="Q975" s="16" t="b">
        <v>1</v>
      </c>
      <c r="R975" s="16" t="b">
        <v>0</v>
      </c>
    </row>
    <row r="976">
      <c r="A976" s="16">
        <v>1551.0</v>
      </c>
      <c r="B976" s="16" t="s">
        <v>65</v>
      </c>
      <c r="C976" s="22">
        <v>46054.0</v>
      </c>
      <c r="F976" s="16" t="s">
        <v>1219</v>
      </c>
      <c r="H976" s="16" t="s">
        <v>1219</v>
      </c>
      <c r="J976" s="16" t="s">
        <v>218</v>
      </c>
      <c r="K976" s="16" t="s">
        <v>348</v>
      </c>
      <c r="O976" s="20">
        <v>1887.46</v>
      </c>
      <c r="Q976" s="16" t="b">
        <v>1</v>
      </c>
      <c r="R976" s="16" t="b">
        <v>0</v>
      </c>
    </row>
    <row r="977">
      <c r="A977" s="16">
        <v>1552.0</v>
      </c>
      <c r="B977" s="16" t="s">
        <v>65</v>
      </c>
      <c r="C977" s="22">
        <v>46054.0</v>
      </c>
      <c r="F977" s="16" t="s">
        <v>1219</v>
      </c>
      <c r="H977" s="16" t="s">
        <v>1219</v>
      </c>
      <c r="J977" s="16" t="s">
        <v>218</v>
      </c>
      <c r="K977" s="20">
        <v>5.7411272E7</v>
      </c>
      <c r="O977" s="20">
        <v>2340.73</v>
      </c>
      <c r="Q977" s="16" t="b">
        <v>1</v>
      </c>
      <c r="R977" s="16" t="b">
        <v>0</v>
      </c>
    </row>
    <row r="978">
      <c r="A978" s="16">
        <v>1553.0</v>
      </c>
      <c r="B978" s="16" t="s">
        <v>65</v>
      </c>
      <c r="C978" s="22">
        <v>46054.0</v>
      </c>
      <c r="F978" s="16" t="s">
        <v>1219</v>
      </c>
      <c r="H978" s="16" t="s">
        <v>1219</v>
      </c>
      <c r="J978" s="16" t="s">
        <v>218</v>
      </c>
      <c r="K978" s="16" t="s">
        <v>754</v>
      </c>
      <c r="O978" s="20">
        <v>2118.48</v>
      </c>
      <c r="Q978" s="16" t="b">
        <v>1</v>
      </c>
      <c r="R978" s="16" t="b">
        <v>0</v>
      </c>
    </row>
    <row r="979">
      <c r="A979" s="16">
        <v>1554.0</v>
      </c>
      <c r="B979" s="16" t="s">
        <v>65</v>
      </c>
      <c r="C979" s="22">
        <v>46049.0</v>
      </c>
      <c r="F979" s="16" t="s">
        <v>6046</v>
      </c>
      <c r="H979" s="16" t="s">
        <v>6046</v>
      </c>
      <c r="J979" s="16" t="s">
        <v>218</v>
      </c>
      <c r="K979" s="16" t="s">
        <v>377</v>
      </c>
      <c r="O979" s="20">
        <v>32.0</v>
      </c>
      <c r="Q979" s="16" t="b">
        <v>1</v>
      </c>
      <c r="R979" s="16" t="b">
        <v>0</v>
      </c>
    </row>
    <row r="980">
      <c r="A980" s="16">
        <v>1564.0</v>
      </c>
      <c r="B980" s="16" t="s">
        <v>65</v>
      </c>
      <c r="C980" s="22">
        <v>46056.0</v>
      </c>
      <c r="D980" s="16" t="s">
        <v>398</v>
      </c>
      <c r="F980" s="16" t="s">
        <v>1219</v>
      </c>
      <c r="H980" s="16" t="s">
        <v>1219</v>
      </c>
      <c r="J980" s="16" t="s">
        <v>218</v>
      </c>
      <c r="O980" s="20">
        <v>7000.0</v>
      </c>
      <c r="Q980" s="16" t="b">
        <v>1</v>
      </c>
      <c r="R980" s="16" t="b">
        <v>0</v>
      </c>
    </row>
    <row r="981">
      <c r="A981" s="16" t="s">
        <v>2179</v>
      </c>
      <c r="B981" s="16" t="s">
        <v>65</v>
      </c>
      <c r="C981" s="22">
        <v>46056.0</v>
      </c>
      <c r="D981" s="16" t="s">
        <v>1322</v>
      </c>
      <c r="F981" s="16" t="s">
        <v>6092</v>
      </c>
      <c r="H981" s="16" t="s">
        <v>6092</v>
      </c>
      <c r="J981" s="16" t="s">
        <v>218</v>
      </c>
      <c r="O981" s="20">
        <v>20.0</v>
      </c>
      <c r="Q981" s="16" t="b">
        <v>1</v>
      </c>
      <c r="R981" s="16" t="b">
        <v>0</v>
      </c>
    </row>
    <row r="982">
      <c r="A982" s="16" t="s">
        <v>2183</v>
      </c>
      <c r="B982" s="16" t="s">
        <v>65</v>
      </c>
      <c r="C982" s="22">
        <v>46056.0</v>
      </c>
      <c r="D982" s="16" t="s">
        <v>1322</v>
      </c>
      <c r="F982" s="16" t="s">
        <v>6093</v>
      </c>
      <c r="H982" s="16" t="s">
        <v>6093</v>
      </c>
      <c r="J982" s="16" t="s">
        <v>218</v>
      </c>
      <c r="O982" s="20">
        <v>521.0</v>
      </c>
      <c r="Q982" s="16" t="b">
        <v>1</v>
      </c>
      <c r="R982" s="16" t="b">
        <v>0</v>
      </c>
    </row>
    <row r="983">
      <c r="A983" s="16" t="s">
        <v>2186</v>
      </c>
      <c r="B983" s="16" t="s">
        <v>65</v>
      </c>
      <c r="C983" s="22">
        <v>46054.0</v>
      </c>
      <c r="F983" s="16" t="s">
        <v>1219</v>
      </c>
      <c r="H983" s="16" t="s">
        <v>1219</v>
      </c>
      <c r="J983" s="16" t="s">
        <v>218</v>
      </c>
      <c r="K983" s="16" t="s">
        <v>6077</v>
      </c>
      <c r="O983" s="20">
        <v>1668.24</v>
      </c>
      <c r="Q983" s="16" t="b">
        <v>1</v>
      </c>
      <c r="R983" s="16" t="b">
        <v>0</v>
      </c>
    </row>
    <row r="984">
      <c r="A984" s="16">
        <v>1569.0</v>
      </c>
      <c r="B984" s="16" t="s">
        <v>65</v>
      </c>
      <c r="C984" s="22">
        <v>46056.0</v>
      </c>
      <c r="D984" s="16" t="s">
        <v>1159</v>
      </c>
      <c r="F984" s="16" t="s">
        <v>1383</v>
      </c>
      <c r="H984" s="16" t="s">
        <v>1383</v>
      </c>
      <c r="J984" s="16" t="s">
        <v>218</v>
      </c>
      <c r="O984" s="20">
        <v>533.95</v>
      </c>
      <c r="Q984" s="16" t="b">
        <v>1</v>
      </c>
      <c r="R984" s="16" t="b">
        <v>0</v>
      </c>
    </row>
    <row r="985">
      <c r="A985" s="16">
        <v>1570.0</v>
      </c>
      <c r="B985" s="16" t="s">
        <v>65</v>
      </c>
      <c r="C985" s="22">
        <v>46056.0</v>
      </c>
      <c r="D985" s="16" t="s">
        <v>1664</v>
      </c>
      <c r="F985" s="16" t="s">
        <v>1389</v>
      </c>
      <c r="H985" s="16" t="s">
        <v>1389</v>
      </c>
      <c r="J985" s="16" t="s">
        <v>218</v>
      </c>
      <c r="O985" s="20">
        <v>179.9</v>
      </c>
      <c r="Q985" s="16" t="b">
        <v>1</v>
      </c>
      <c r="R985" s="16" t="b">
        <v>0</v>
      </c>
    </row>
    <row r="986">
      <c r="A986" s="16">
        <v>1572.0</v>
      </c>
      <c r="B986" s="16" t="s">
        <v>65</v>
      </c>
      <c r="C986" s="22">
        <v>46056.0</v>
      </c>
      <c r="D986" s="16" t="s">
        <v>342</v>
      </c>
      <c r="F986" s="16" t="s">
        <v>1219</v>
      </c>
      <c r="H986" s="16" t="s">
        <v>1219</v>
      </c>
      <c r="J986" s="16" t="s">
        <v>218</v>
      </c>
      <c r="O986" s="20">
        <v>2486.41</v>
      </c>
      <c r="Q986" s="16" t="b">
        <v>1</v>
      </c>
      <c r="R986" s="16" t="b">
        <v>0</v>
      </c>
    </row>
    <row r="987">
      <c r="A987" s="16" t="s">
        <v>2194</v>
      </c>
      <c r="B987" s="16" t="s">
        <v>65</v>
      </c>
      <c r="C987" s="22">
        <v>46056.0</v>
      </c>
      <c r="D987" s="16" t="s">
        <v>131</v>
      </c>
      <c r="F987" s="16" t="s">
        <v>6094</v>
      </c>
      <c r="H987" s="16" t="s">
        <v>6094</v>
      </c>
      <c r="J987" s="16" t="s">
        <v>218</v>
      </c>
      <c r="O987" s="20">
        <v>16.75</v>
      </c>
      <c r="Q987" s="16" t="b">
        <v>1</v>
      </c>
      <c r="R987" s="16" t="b">
        <v>0</v>
      </c>
    </row>
    <row r="988">
      <c r="A988" s="16">
        <v>1588.0</v>
      </c>
      <c r="B988" s="16" t="s">
        <v>65</v>
      </c>
      <c r="C988" s="22">
        <v>46104.0</v>
      </c>
      <c r="D988" s="16" t="s">
        <v>131</v>
      </c>
      <c r="F988" s="16" t="s">
        <v>1404</v>
      </c>
      <c r="H988" s="16" t="s">
        <v>1404</v>
      </c>
      <c r="J988" s="16" t="s">
        <v>218</v>
      </c>
      <c r="O988" s="20">
        <v>1110.0</v>
      </c>
      <c r="Q988" s="16" t="b">
        <v>1</v>
      </c>
      <c r="R988" s="16" t="b">
        <v>0</v>
      </c>
    </row>
    <row r="989">
      <c r="A989" s="16">
        <v>1589.0</v>
      </c>
      <c r="B989" s="16" t="s">
        <v>65</v>
      </c>
      <c r="C989" s="22">
        <v>46104.0</v>
      </c>
      <c r="D989" s="16" t="s">
        <v>131</v>
      </c>
      <c r="F989" s="16" t="s">
        <v>1411</v>
      </c>
      <c r="H989" s="16" t="s">
        <v>1411</v>
      </c>
      <c r="J989" s="16" t="s">
        <v>218</v>
      </c>
      <c r="O989" s="20">
        <v>700.0</v>
      </c>
      <c r="Q989" s="16" t="b">
        <v>1</v>
      </c>
      <c r="R989" s="16" t="b">
        <v>0</v>
      </c>
    </row>
    <row r="990">
      <c r="A990" s="16">
        <v>1590.0</v>
      </c>
      <c r="B990" s="16" t="s">
        <v>65</v>
      </c>
      <c r="C990" s="22">
        <v>46104.0</v>
      </c>
      <c r="D990" s="16" t="s">
        <v>131</v>
      </c>
      <c r="F990" s="16" t="s">
        <v>1421</v>
      </c>
      <c r="H990" s="16" t="s">
        <v>1421</v>
      </c>
      <c r="J990" s="16" t="s">
        <v>218</v>
      </c>
      <c r="O990" s="20">
        <v>396.0</v>
      </c>
      <c r="Q990" s="16" t="b">
        <v>1</v>
      </c>
      <c r="R990" s="16" t="b">
        <v>0</v>
      </c>
    </row>
    <row r="991">
      <c r="A991" s="16">
        <v>1591.0</v>
      </c>
      <c r="B991" s="16" t="s">
        <v>65</v>
      </c>
      <c r="C991" s="22">
        <v>46063.0</v>
      </c>
      <c r="D991" s="16" t="s">
        <v>1322</v>
      </c>
      <c r="F991" s="16" t="s">
        <v>6095</v>
      </c>
      <c r="H991" s="16" t="s">
        <v>6095</v>
      </c>
      <c r="J991" s="16" t="s">
        <v>218</v>
      </c>
      <c r="O991" s="20">
        <v>253.0</v>
      </c>
      <c r="Q991" s="16" t="b">
        <v>1</v>
      </c>
      <c r="R991" s="16" t="b">
        <v>0</v>
      </c>
    </row>
    <row r="992">
      <c r="A992" s="16">
        <v>1595.0</v>
      </c>
      <c r="B992" s="16" t="s">
        <v>65</v>
      </c>
      <c r="C992" s="22">
        <v>46063.0</v>
      </c>
      <c r="D992" s="16" t="s">
        <v>1159</v>
      </c>
      <c r="F992" s="16" t="s">
        <v>1219</v>
      </c>
      <c r="H992" s="16" t="s">
        <v>1219</v>
      </c>
      <c r="J992" s="16" t="s">
        <v>218</v>
      </c>
      <c r="O992" s="20">
        <v>1101.52</v>
      </c>
      <c r="Q992" s="16" t="b">
        <v>1</v>
      </c>
      <c r="R992" s="16" t="b">
        <v>0</v>
      </c>
    </row>
    <row r="993">
      <c r="A993" s="16" t="s">
        <v>2210</v>
      </c>
      <c r="B993" s="16" t="s">
        <v>65</v>
      </c>
      <c r="C993" s="22">
        <v>46063.0</v>
      </c>
      <c r="D993" s="16" t="s">
        <v>670</v>
      </c>
      <c r="F993" s="16" t="s">
        <v>6096</v>
      </c>
      <c r="H993" s="16" t="s">
        <v>6096</v>
      </c>
      <c r="J993" s="16" t="s">
        <v>218</v>
      </c>
      <c r="O993" s="20">
        <v>1260.58</v>
      </c>
      <c r="Q993" s="16" t="b">
        <v>1</v>
      </c>
      <c r="R993" s="16" t="b">
        <v>0</v>
      </c>
    </row>
    <row r="994">
      <c r="A994" s="16">
        <v>1600.0</v>
      </c>
      <c r="B994" s="16" t="s">
        <v>65</v>
      </c>
      <c r="C994" s="22">
        <v>46071.0</v>
      </c>
      <c r="D994" s="16" t="s">
        <v>1159</v>
      </c>
      <c r="F994" s="16" t="s">
        <v>1231</v>
      </c>
      <c r="H994" s="16" t="s">
        <v>1231</v>
      </c>
      <c r="J994" s="16" t="s">
        <v>218</v>
      </c>
      <c r="O994" s="20">
        <v>923.22</v>
      </c>
      <c r="Q994" s="16" t="b">
        <v>1</v>
      </c>
      <c r="R994" s="16" t="b">
        <v>0</v>
      </c>
    </row>
    <row r="995">
      <c r="A995" s="16">
        <v>1601.0</v>
      </c>
      <c r="B995" s="16" t="s">
        <v>65</v>
      </c>
      <c r="C995" s="22">
        <v>46071.0</v>
      </c>
      <c r="D995" s="16" t="s">
        <v>1159</v>
      </c>
      <c r="F995" s="16" t="s">
        <v>1243</v>
      </c>
      <c r="H995" s="16" t="s">
        <v>1243</v>
      </c>
      <c r="J995" s="16" t="s">
        <v>218</v>
      </c>
      <c r="O995" s="20">
        <v>12920.5</v>
      </c>
      <c r="Q995" s="16" t="b">
        <v>1</v>
      </c>
      <c r="R995" s="16" t="b">
        <v>0</v>
      </c>
    </row>
    <row r="996">
      <c r="A996" s="16" t="s">
        <v>2215</v>
      </c>
      <c r="B996" s="16" t="s">
        <v>65</v>
      </c>
      <c r="C996" s="22">
        <v>46071.0</v>
      </c>
      <c r="D996" s="16" t="s">
        <v>6041</v>
      </c>
      <c r="F996" s="16" t="s">
        <v>6080</v>
      </c>
      <c r="H996" s="16" t="s">
        <v>6080</v>
      </c>
      <c r="J996" s="16" t="s">
        <v>218</v>
      </c>
      <c r="O996" s="20">
        <v>1362.22</v>
      </c>
      <c r="Q996" s="16" t="b">
        <v>1</v>
      </c>
      <c r="R996" s="16" t="b">
        <v>0</v>
      </c>
    </row>
    <row r="997">
      <c r="A997" s="16" t="s">
        <v>2218</v>
      </c>
      <c r="B997" s="16" t="s">
        <v>65</v>
      </c>
      <c r="C997" s="22">
        <v>46071.0</v>
      </c>
      <c r="D997" s="16" t="s">
        <v>131</v>
      </c>
      <c r="F997" s="16" t="s">
        <v>6097</v>
      </c>
      <c r="H997" s="16" t="s">
        <v>6097</v>
      </c>
      <c r="J997" s="16" t="s">
        <v>218</v>
      </c>
      <c r="O997" s="20">
        <v>4003.68</v>
      </c>
      <c r="Q997" s="16" t="b">
        <v>1</v>
      </c>
      <c r="R997" s="16" t="b">
        <v>0</v>
      </c>
    </row>
    <row r="998">
      <c r="A998" s="16" t="s">
        <v>2221</v>
      </c>
      <c r="B998" s="16" t="s">
        <v>65</v>
      </c>
      <c r="C998" s="22">
        <v>46077.0</v>
      </c>
      <c r="D998" s="16" t="s">
        <v>131</v>
      </c>
      <c r="F998" s="16" t="s">
        <v>6098</v>
      </c>
      <c r="H998" s="16" t="s">
        <v>6098</v>
      </c>
      <c r="J998" s="16" t="s">
        <v>218</v>
      </c>
      <c r="O998" s="20">
        <v>2260.16</v>
      </c>
      <c r="Q998" s="16" t="b">
        <v>1</v>
      </c>
      <c r="R998" s="16" t="b">
        <v>0</v>
      </c>
    </row>
    <row r="999">
      <c r="A999" s="16" t="s">
        <v>2224</v>
      </c>
      <c r="B999" s="16" t="s">
        <v>65</v>
      </c>
      <c r="C999" s="22">
        <v>46077.0</v>
      </c>
      <c r="D999" s="16" t="s">
        <v>131</v>
      </c>
      <c r="F999" s="16" t="s">
        <v>6099</v>
      </c>
      <c r="H999" s="16" t="s">
        <v>6099</v>
      </c>
      <c r="J999" s="16" t="s">
        <v>218</v>
      </c>
      <c r="O999" s="20">
        <v>131.6</v>
      </c>
      <c r="Q999" s="16" t="b">
        <v>1</v>
      </c>
      <c r="R999" s="16" t="b">
        <v>0</v>
      </c>
    </row>
    <row r="1000">
      <c r="A1000" s="16">
        <v>1612.0</v>
      </c>
      <c r="B1000" s="16" t="s">
        <v>65</v>
      </c>
      <c r="C1000" s="22">
        <v>46077.0</v>
      </c>
      <c r="D1000" s="16" t="s">
        <v>1322</v>
      </c>
      <c r="F1000" s="22">
        <v>46296.0</v>
      </c>
      <c r="H1000" s="22">
        <v>46296.0</v>
      </c>
      <c r="J1000" s="16" t="s">
        <v>218</v>
      </c>
      <c r="O1000" s="20">
        <v>238.01</v>
      </c>
      <c r="Q1000" s="16" t="b">
        <v>1</v>
      </c>
      <c r="R1000" s="16" t="b">
        <v>0</v>
      </c>
    </row>
    <row r="1001">
      <c r="A1001" s="16">
        <v>1617.0</v>
      </c>
      <c r="B1001" s="16" t="s">
        <v>65</v>
      </c>
      <c r="C1001" s="22">
        <v>46077.0</v>
      </c>
      <c r="D1001" s="16" t="s">
        <v>1175</v>
      </c>
      <c r="F1001" s="16" t="s">
        <v>1219</v>
      </c>
      <c r="H1001" s="16" t="s">
        <v>1219</v>
      </c>
      <c r="J1001" s="16" t="s">
        <v>218</v>
      </c>
      <c r="O1001" s="20">
        <v>585.0</v>
      </c>
      <c r="Q1001" s="16" t="b">
        <v>1</v>
      </c>
      <c r="R1001" s="16" t="b">
        <v>0</v>
      </c>
    </row>
    <row r="1002">
      <c r="A1002" s="16">
        <v>1618.0</v>
      </c>
      <c r="B1002" s="16" t="s">
        <v>65</v>
      </c>
      <c r="C1002" s="22">
        <v>46083.0</v>
      </c>
      <c r="F1002" s="16" t="s">
        <v>1219</v>
      </c>
      <c r="H1002" s="16" t="s">
        <v>1219</v>
      </c>
      <c r="J1002" s="16" t="s">
        <v>218</v>
      </c>
      <c r="K1002" s="16" t="s">
        <v>132</v>
      </c>
      <c r="O1002" s="20">
        <v>2698.62</v>
      </c>
      <c r="Q1002" s="16" t="b">
        <v>1</v>
      </c>
      <c r="R1002" s="16" t="b">
        <v>0</v>
      </c>
    </row>
    <row r="1003">
      <c r="A1003" s="16">
        <v>1619.0</v>
      </c>
      <c r="B1003" s="16" t="s">
        <v>65</v>
      </c>
      <c r="C1003" s="22">
        <v>46083.0</v>
      </c>
      <c r="F1003" s="16" t="s">
        <v>1219</v>
      </c>
      <c r="H1003" s="16" t="s">
        <v>1219</v>
      </c>
      <c r="J1003" s="16" t="s">
        <v>218</v>
      </c>
      <c r="K1003" s="16" t="s">
        <v>348</v>
      </c>
      <c r="O1003" s="20">
        <v>1887.46</v>
      </c>
      <c r="Q1003" s="16" t="b">
        <v>1</v>
      </c>
      <c r="R1003" s="16" t="b">
        <v>0</v>
      </c>
    </row>
    <row r="1004">
      <c r="A1004" s="16">
        <v>1620.0</v>
      </c>
      <c r="B1004" s="16" t="s">
        <v>65</v>
      </c>
      <c r="C1004" s="22">
        <v>46083.0</v>
      </c>
      <c r="F1004" s="16" t="s">
        <v>1219</v>
      </c>
      <c r="H1004" s="16" t="s">
        <v>1219</v>
      </c>
      <c r="J1004" s="16" t="s">
        <v>218</v>
      </c>
      <c r="K1004" s="20">
        <v>5.7411272E7</v>
      </c>
      <c r="O1004" s="20">
        <v>2347.75</v>
      </c>
      <c r="Q1004" s="16" t="b">
        <v>1</v>
      </c>
      <c r="R1004" s="16" t="b">
        <v>0</v>
      </c>
    </row>
    <row r="1005">
      <c r="A1005" s="16">
        <v>1621.0</v>
      </c>
      <c r="B1005" s="16" t="s">
        <v>65</v>
      </c>
      <c r="C1005" s="22">
        <v>46083.0</v>
      </c>
      <c r="F1005" s="16" t="s">
        <v>1219</v>
      </c>
      <c r="H1005" s="16" t="s">
        <v>1219</v>
      </c>
      <c r="J1005" s="16" t="s">
        <v>218</v>
      </c>
      <c r="K1005" s="16" t="s">
        <v>754</v>
      </c>
      <c r="O1005" s="20">
        <v>2275.05</v>
      </c>
      <c r="Q1005" s="16" t="b">
        <v>1</v>
      </c>
      <c r="R1005" s="16" t="b">
        <v>0</v>
      </c>
    </row>
    <row r="1006">
      <c r="A1006" s="16">
        <v>1622.0</v>
      </c>
      <c r="B1006" s="16" t="s">
        <v>65</v>
      </c>
      <c r="C1006" s="22">
        <v>46077.0</v>
      </c>
      <c r="F1006" s="16" t="s">
        <v>6046</v>
      </c>
      <c r="H1006" s="16" t="s">
        <v>6046</v>
      </c>
      <c r="J1006" s="16" t="s">
        <v>218</v>
      </c>
      <c r="K1006" s="16" t="s">
        <v>377</v>
      </c>
      <c r="O1006" s="20">
        <v>32.0</v>
      </c>
      <c r="Q1006" s="16" t="b">
        <v>1</v>
      </c>
      <c r="R1006" s="16" t="b">
        <v>0</v>
      </c>
    </row>
    <row r="1007">
      <c r="A1007" s="16">
        <v>1628.0</v>
      </c>
      <c r="B1007" s="16" t="s">
        <v>65</v>
      </c>
      <c r="C1007" s="22">
        <v>46077.0</v>
      </c>
      <c r="D1007" s="16" t="s">
        <v>398</v>
      </c>
      <c r="F1007" s="16" t="s">
        <v>1219</v>
      </c>
      <c r="H1007" s="16" t="s">
        <v>1219</v>
      </c>
      <c r="J1007" s="16" t="s">
        <v>218</v>
      </c>
      <c r="O1007" s="20">
        <v>7000.0</v>
      </c>
      <c r="Q1007" s="16" t="b">
        <v>1</v>
      </c>
      <c r="R1007" s="16" t="b">
        <v>0</v>
      </c>
    </row>
    <row r="1008">
      <c r="A1008" s="16" t="s">
        <v>2239</v>
      </c>
      <c r="B1008" s="16" t="s">
        <v>65</v>
      </c>
      <c r="C1008" s="22">
        <v>46078.0</v>
      </c>
      <c r="D1008" s="16" t="s">
        <v>131</v>
      </c>
      <c r="F1008" s="16" t="s">
        <v>6100</v>
      </c>
      <c r="H1008" s="16" t="s">
        <v>6100</v>
      </c>
      <c r="J1008" s="16" t="s">
        <v>218</v>
      </c>
      <c r="O1008" s="20">
        <v>2704.94</v>
      </c>
      <c r="Q1008" s="16" t="b">
        <v>1</v>
      </c>
      <c r="R1008" s="16" t="b">
        <v>0</v>
      </c>
    </row>
    <row r="1009">
      <c r="A1009" s="16" t="s">
        <v>2242</v>
      </c>
      <c r="B1009" s="16" t="s">
        <v>65</v>
      </c>
      <c r="C1009" s="22">
        <v>46097.0</v>
      </c>
      <c r="D1009" s="16" t="s">
        <v>131</v>
      </c>
      <c r="F1009" s="16" t="s">
        <v>6101</v>
      </c>
      <c r="H1009" s="16" t="s">
        <v>6101</v>
      </c>
      <c r="J1009" s="16" t="s">
        <v>187</v>
      </c>
      <c r="O1009" s="20">
        <v>917.79</v>
      </c>
      <c r="Q1009" s="16" t="b">
        <v>1</v>
      </c>
      <c r="R1009" s="16" t="b">
        <v>0</v>
      </c>
    </row>
    <row r="1010">
      <c r="A1010" s="16" t="s">
        <v>2245</v>
      </c>
      <c r="B1010" s="16" t="s">
        <v>65</v>
      </c>
      <c r="C1010" s="22">
        <v>46077.0</v>
      </c>
      <c r="D1010" s="16" t="s">
        <v>131</v>
      </c>
      <c r="F1010" s="16" t="s">
        <v>6102</v>
      </c>
      <c r="H1010" s="16" t="s">
        <v>6102</v>
      </c>
      <c r="J1010" s="16" t="s">
        <v>218</v>
      </c>
      <c r="O1010" s="20">
        <v>1119.31</v>
      </c>
      <c r="Q1010" s="16" t="b">
        <v>1</v>
      </c>
      <c r="R1010" s="16" t="b">
        <v>0</v>
      </c>
    </row>
    <row r="1011">
      <c r="A1011" s="16" t="s">
        <v>2247</v>
      </c>
      <c r="B1011" s="16" t="s">
        <v>65</v>
      </c>
      <c r="C1011" s="22">
        <v>46078.0</v>
      </c>
      <c r="D1011" s="16" t="s">
        <v>131</v>
      </c>
      <c r="F1011" s="16" t="s">
        <v>6103</v>
      </c>
      <c r="H1011" s="16" t="s">
        <v>6103</v>
      </c>
      <c r="J1011" s="16" t="s">
        <v>218</v>
      </c>
      <c r="O1011" s="20">
        <v>5206.0</v>
      </c>
      <c r="Q1011" s="16" t="b">
        <v>1</v>
      </c>
      <c r="R1011" s="16" t="b">
        <v>0</v>
      </c>
    </row>
    <row r="1012">
      <c r="A1012" s="16" t="s">
        <v>2249</v>
      </c>
      <c r="B1012" s="16" t="s">
        <v>65</v>
      </c>
      <c r="C1012" s="22">
        <v>46078.0</v>
      </c>
      <c r="D1012" s="16" t="s">
        <v>131</v>
      </c>
      <c r="F1012" s="16" t="s">
        <v>6104</v>
      </c>
      <c r="H1012" s="16" t="s">
        <v>6104</v>
      </c>
      <c r="J1012" s="16" t="s">
        <v>218</v>
      </c>
      <c r="O1012" s="20">
        <v>348.0</v>
      </c>
      <c r="Q1012" s="16" t="b">
        <v>1</v>
      </c>
      <c r="R1012" s="16" t="b">
        <v>0</v>
      </c>
    </row>
    <row r="1013">
      <c r="A1013" s="16" t="s">
        <v>2252</v>
      </c>
      <c r="B1013" s="16" t="s">
        <v>65</v>
      </c>
      <c r="C1013" s="22">
        <v>46097.0</v>
      </c>
      <c r="D1013" s="16" t="s">
        <v>131</v>
      </c>
      <c r="F1013" s="16" t="s">
        <v>6105</v>
      </c>
      <c r="H1013" s="16" t="s">
        <v>6105</v>
      </c>
      <c r="J1013" s="16" t="s">
        <v>187</v>
      </c>
      <c r="O1013" s="20">
        <v>280.66</v>
      </c>
      <c r="Q1013" s="16" t="b">
        <v>1</v>
      </c>
      <c r="R1013" s="16" t="b">
        <v>0</v>
      </c>
    </row>
    <row r="1014">
      <c r="A1014" s="16" t="s">
        <v>2256</v>
      </c>
      <c r="B1014" s="16" t="s">
        <v>65</v>
      </c>
      <c r="C1014" s="22">
        <v>46097.0</v>
      </c>
      <c r="D1014" s="16" t="s">
        <v>131</v>
      </c>
      <c r="F1014" s="16" t="s">
        <v>6106</v>
      </c>
      <c r="H1014" s="16" t="s">
        <v>6106</v>
      </c>
      <c r="J1014" s="16" t="s">
        <v>187</v>
      </c>
      <c r="O1014" s="20">
        <v>1291.0</v>
      </c>
      <c r="Q1014" s="16" t="b">
        <v>1</v>
      </c>
      <c r="R1014" s="16" t="b">
        <v>0</v>
      </c>
    </row>
    <row r="1015">
      <c r="A1015" s="16" t="s">
        <v>2260</v>
      </c>
      <c r="B1015" s="16" t="s">
        <v>65</v>
      </c>
      <c r="C1015" s="22">
        <v>46079.0</v>
      </c>
      <c r="D1015" s="16" t="s">
        <v>6107</v>
      </c>
      <c r="F1015" s="16" t="s">
        <v>6108</v>
      </c>
      <c r="H1015" s="16" t="s">
        <v>6108</v>
      </c>
      <c r="J1015" s="16" t="s">
        <v>218</v>
      </c>
      <c r="O1015" s="20">
        <v>204.0</v>
      </c>
      <c r="Q1015" s="16" t="b">
        <v>1</v>
      </c>
      <c r="R1015" s="16" t="b">
        <v>0</v>
      </c>
    </row>
    <row r="1016">
      <c r="A1016" s="16">
        <v>1644.0</v>
      </c>
      <c r="B1016" s="16" t="s">
        <v>65</v>
      </c>
      <c r="C1016" s="22">
        <v>46083.0</v>
      </c>
      <c r="D1016" s="16" t="s">
        <v>1159</v>
      </c>
      <c r="F1016" s="16" t="s">
        <v>1383</v>
      </c>
      <c r="H1016" s="16" t="s">
        <v>1383</v>
      </c>
      <c r="J1016" s="16" t="s">
        <v>218</v>
      </c>
      <c r="O1016" s="20">
        <v>533.95</v>
      </c>
      <c r="Q1016" s="16" t="b">
        <v>1</v>
      </c>
      <c r="R1016" s="16" t="b">
        <v>0</v>
      </c>
    </row>
    <row r="1017">
      <c r="A1017" s="16">
        <v>1645.0</v>
      </c>
      <c r="B1017" s="16" t="s">
        <v>65</v>
      </c>
      <c r="C1017" s="22">
        <v>46084.0</v>
      </c>
      <c r="D1017" s="16" t="s">
        <v>1664</v>
      </c>
      <c r="F1017" s="16" t="s">
        <v>1389</v>
      </c>
      <c r="H1017" s="16" t="s">
        <v>1389</v>
      </c>
      <c r="J1017" s="16" t="s">
        <v>218</v>
      </c>
      <c r="O1017" s="20">
        <v>179.9</v>
      </c>
      <c r="Q1017" s="16" t="b">
        <v>1</v>
      </c>
      <c r="R1017" s="16" t="b">
        <v>0</v>
      </c>
    </row>
    <row r="1018">
      <c r="A1018" s="16">
        <v>1647.0</v>
      </c>
      <c r="B1018" s="16" t="s">
        <v>65</v>
      </c>
      <c r="C1018" s="22">
        <v>46084.0</v>
      </c>
      <c r="D1018" s="16" t="s">
        <v>342</v>
      </c>
      <c r="F1018" s="16" t="s">
        <v>1219</v>
      </c>
      <c r="H1018" s="16" t="s">
        <v>1219</v>
      </c>
      <c r="J1018" s="16" t="s">
        <v>218</v>
      </c>
      <c r="O1018" s="20">
        <v>2290.19</v>
      </c>
      <c r="Q1018" s="16" t="b">
        <v>1</v>
      </c>
      <c r="R1018" s="16" t="b">
        <v>0</v>
      </c>
    </row>
    <row r="1019">
      <c r="A1019" s="16" t="s">
        <v>2268</v>
      </c>
      <c r="B1019" s="16" t="s">
        <v>65</v>
      </c>
      <c r="C1019" s="22">
        <v>46081.0</v>
      </c>
      <c r="D1019" s="16" t="s">
        <v>177</v>
      </c>
      <c r="F1019" s="16" t="s">
        <v>6109</v>
      </c>
      <c r="H1019" s="16" t="s">
        <v>6109</v>
      </c>
      <c r="J1019" s="16" t="s">
        <v>218</v>
      </c>
      <c r="O1019" s="20">
        <v>72.96</v>
      </c>
      <c r="Q1019" s="16" t="b">
        <v>1</v>
      </c>
      <c r="R1019" s="16" t="b">
        <v>0</v>
      </c>
    </row>
    <row r="1020">
      <c r="A1020" s="16" t="s">
        <v>2271</v>
      </c>
      <c r="B1020" s="16" t="s">
        <v>65</v>
      </c>
      <c r="C1020" s="22">
        <v>46091.0</v>
      </c>
      <c r="D1020" s="16" t="s">
        <v>1322</v>
      </c>
      <c r="F1020" s="16" t="s">
        <v>6110</v>
      </c>
      <c r="H1020" s="16" t="s">
        <v>6110</v>
      </c>
      <c r="J1020" s="16" t="s">
        <v>187</v>
      </c>
      <c r="O1020" s="20">
        <v>164.0</v>
      </c>
      <c r="Q1020" s="16" t="b">
        <v>1</v>
      </c>
      <c r="R1020" s="16" t="b">
        <v>0</v>
      </c>
    </row>
    <row r="1021">
      <c r="A1021" s="16" t="s">
        <v>2273</v>
      </c>
      <c r="B1021" s="16" t="s">
        <v>65</v>
      </c>
      <c r="C1021" s="22">
        <v>46097.0</v>
      </c>
      <c r="D1021" s="16" t="s">
        <v>131</v>
      </c>
      <c r="F1021" s="16" t="s">
        <v>6111</v>
      </c>
      <c r="H1021" s="16" t="s">
        <v>6111</v>
      </c>
      <c r="J1021" s="16" t="s">
        <v>187</v>
      </c>
      <c r="O1021" s="20">
        <v>61.83</v>
      </c>
      <c r="Q1021" s="16" t="b">
        <v>1</v>
      </c>
      <c r="R1021" s="16" t="b">
        <v>0</v>
      </c>
    </row>
    <row r="1022">
      <c r="A1022" s="16" t="s">
        <v>2276</v>
      </c>
      <c r="B1022" s="16" t="s">
        <v>65</v>
      </c>
      <c r="C1022" s="22">
        <v>46083.0</v>
      </c>
      <c r="D1022" s="16" t="s">
        <v>5080</v>
      </c>
      <c r="F1022" s="259">
        <v>46083.0</v>
      </c>
      <c r="H1022" s="259">
        <v>46083.0</v>
      </c>
      <c r="J1022" s="16" t="s">
        <v>218</v>
      </c>
      <c r="O1022" s="20">
        <v>1215.41</v>
      </c>
      <c r="Q1022" s="16" t="b">
        <v>1</v>
      </c>
      <c r="R1022" s="16" t="b">
        <v>0</v>
      </c>
    </row>
    <row r="1023">
      <c r="A1023" s="16" t="s">
        <v>2280</v>
      </c>
      <c r="B1023" s="16" t="s">
        <v>65</v>
      </c>
      <c r="C1023" s="22">
        <v>46091.0</v>
      </c>
      <c r="D1023" s="16" t="s">
        <v>6041</v>
      </c>
      <c r="F1023" s="16" t="s">
        <v>6080</v>
      </c>
      <c r="H1023" s="16" t="s">
        <v>6080</v>
      </c>
      <c r="J1023" s="16" t="s">
        <v>187</v>
      </c>
      <c r="O1023" s="20">
        <v>866.96</v>
      </c>
      <c r="Q1023" s="16" t="b">
        <v>1</v>
      </c>
      <c r="R1023" s="16" t="b">
        <v>0</v>
      </c>
    </row>
    <row r="1024">
      <c r="A1024" s="16" t="s">
        <v>2282</v>
      </c>
      <c r="B1024" s="16" t="s">
        <v>65</v>
      </c>
      <c r="C1024" s="22">
        <v>46084.0</v>
      </c>
      <c r="D1024" s="16" t="s">
        <v>131</v>
      </c>
      <c r="F1024" s="16" t="s">
        <v>6112</v>
      </c>
      <c r="H1024" s="16" t="s">
        <v>6112</v>
      </c>
      <c r="J1024" s="16" t="s">
        <v>218</v>
      </c>
      <c r="O1024" s="20">
        <v>287.72</v>
      </c>
      <c r="Q1024" s="16" t="b">
        <v>1</v>
      </c>
      <c r="R1024" s="16" t="b">
        <v>0</v>
      </c>
    </row>
    <row r="1025">
      <c r="A1025" s="16">
        <v>1655.0</v>
      </c>
      <c r="B1025" s="16" t="s">
        <v>65</v>
      </c>
      <c r="C1025" s="22">
        <v>46112.0</v>
      </c>
      <c r="D1025" s="16" t="s">
        <v>131</v>
      </c>
      <c r="F1025" s="16" t="s">
        <v>1404</v>
      </c>
      <c r="H1025" s="16" t="s">
        <v>1404</v>
      </c>
      <c r="J1025" s="16" t="s">
        <v>218</v>
      </c>
      <c r="O1025" s="20">
        <v>1110.0</v>
      </c>
      <c r="Q1025" s="16" t="b">
        <v>1</v>
      </c>
      <c r="R1025" s="16" t="b">
        <v>0</v>
      </c>
    </row>
    <row r="1026">
      <c r="A1026" s="16">
        <v>1656.0</v>
      </c>
      <c r="B1026" s="16" t="s">
        <v>65</v>
      </c>
      <c r="C1026" s="22">
        <v>46112.0</v>
      </c>
      <c r="D1026" s="16" t="s">
        <v>131</v>
      </c>
      <c r="F1026" s="16" t="s">
        <v>1411</v>
      </c>
      <c r="H1026" s="16" t="s">
        <v>1411</v>
      </c>
      <c r="J1026" s="16" t="s">
        <v>218</v>
      </c>
      <c r="O1026" s="20">
        <v>700.0</v>
      </c>
      <c r="Q1026" s="16" t="b">
        <v>1</v>
      </c>
      <c r="R1026" s="16" t="b">
        <v>0</v>
      </c>
    </row>
    <row r="1027">
      <c r="A1027" s="16">
        <v>1657.0</v>
      </c>
      <c r="B1027" s="16" t="s">
        <v>65</v>
      </c>
      <c r="C1027" s="22">
        <v>46112.0</v>
      </c>
      <c r="D1027" s="16" t="s">
        <v>131</v>
      </c>
      <c r="F1027" s="16" t="s">
        <v>1421</v>
      </c>
      <c r="H1027" s="16" t="s">
        <v>1421</v>
      </c>
      <c r="J1027" s="16" t="s">
        <v>218</v>
      </c>
      <c r="O1027" s="20">
        <v>396.0</v>
      </c>
      <c r="Q1027" s="16" t="b">
        <v>1</v>
      </c>
      <c r="R1027" s="16" t="b">
        <v>0</v>
      </c>
    </row>
    <row r="1028">
      <c r="A1028" s="16">
        <v>1658.0</v>
      </c>
      <c r="B1028" s="16" t="s">
        <v>65</v>
      </c>
      <c r="C1028" s="22">
        <v>46126.0</v>
      </c>
      <c r="D1028" s="16" t="s">
        <v>1322</v>
      </c>
      <c r="F1028" s="16" t="s">
        <v>6113</v>
      </c>
      <c r="H1028" s="16" t="s">
        <v>6113</v>
      </c>
      <c r="J1028" s="16" t="s">
        <v>218</v>
      </c>
      <c r="O1028" s="20">
        <v>253.0</v>
      </c>
      <c r="Q1028" s="16" t="b">
        <v>1</v>
      </c>
      <c r="R1028" s="16" t="b">
        <v>0</v>
      </c>
    </row>
    <row r="1029">
      <c r="A1029" s="16" t="s">
        <v>2292</v>
      </c>
      <c r="B1029" s="16" t="s">
        <v>65</v>
      </c>
      <c r="C1029" s="22">
        <v>46098.0</v>
      </c>
      <c r="D1029" s="16" t="s">
        <v>131</v>
      </c>
      <c r="F1029" s="16" t="s">
        <v>6114</v>
      </c>
      <c r="H1029" s="16" t="s">
        <v>6114</v>
      </c>
      <c r="J1029" s="16" t="s">
        <v>187</v>
      </c>
      <c r="O1029" s="20">
        <v>1584.94</v>
      </c>
      <c r="Q1029" s="16" t="b">
        <v>1</v>
      </c>
      <c r="R1029" s="16" t="b">
        <v>0</v>
      </c>
    </row>
    <row r="1030">
      <c r="A1030" s="16">
        <v>1671.0</v>
      </c>
      <c r="B1030" s="16" t="s">
        <v>65</v>
      </c>
      <c r="C1030" s="22">
        <v>46091.0</v>
      </c>
      <c r="D1030" s="16" t="s">
        <v>1159</v>
      </c>
      <c r="F1030" s="16" t="s">
        <v>1219</v>
      </c>
      <c r="H1030" s="16" t="s">
        <v>1219</v>
      </c>
      <c r="J1030" s="16" t="s">
        <v>187</v>
      </c>
      <c r="O1030" s="20">
        <v>1080.79</v>
      </c>
      <c r="Q1030" s="16" t="b">
        <v>1</v>
      </c>
      <c r="R1030" s="16" t="b">
        <v>0</v>
      </c>
    </row>
    <row r="1031">
      <c r="A1031" s="16" t="s">
        <v>2295</v>
      </c>
      <c r="B1031" s="16" t="s">
        <v>65</v>
      </c>
      <c r="C1031" s="22">
        <v>46097.0</v>
      </c>
      <c r="D1031" s="16" t="s">
        <v>1322</v>
      </c>
      <c r="F1031" s="16" t="s">
        <v>6115</v>
      </c>
      <c r="H1031" s="16" t="s">
        <v>6115</v>
      </c>
      <c r="J1031" s="16" t="s">
        <v>187</v>
      </c>
      <c r="O1031" s="20">
        <v>558.0</v>
      </c>
      <c r="Q1031" s="16" t="b">
        <v>1</v>
      </c>
      <c r="R1031" s="16" t="b">
        <v>0</v>
      </c>
    </row>
    <row r="1032">
      <c r="A1032" s="16">
        <v>1682.0</v>
      </c>
      <c r="B1032" s="16" t="s">
        <v>65</v>
      </c>
      <c r="C1032" s="22">
        <v>46097.0</v>
      </c>
      <c r="D1032" s="16" t="s">
        <v>1159</v>
      </c>
      <c r="F1032" s="16" t="s">
        <v>1231</v>
      </c>
      <c r="H1032" s="16" t="s">
        <v>1231</v>
      </c>
      <c r="J1032" s="16" t="s">
        <v>187</v>
      </c>
      <c r="O1032" s="20">
        <v>909.31</v>
      </c>
      <c r="Q1032" s="16" t="b">
        <v>1</v>
      </c>
      <c r="R1032" s="16" t="b">
        <v>0</v>
      </c>
    </row>
    <row r="1033">
      <c r="A1033" s="16">
        <v>1683.0</v>
      </c>
      <c r="B1033" s="16" t="s">
        <v>65</v>
      </c>
      <c r="C1033" s="22">
        <v>46097.0</v>
      </c>
      <c r="D1033" s="16" t="s">
        <v>1159</v>
      </c>
      <c r="F1033" s="16" t="s">
        <v>1243</v>
      </c>
      <c r="H1033" s="16" t="s">
        <v>1243</v>
      </c>
      <c r="J1033" s="16" t="s">
        <v>187</v>
      </c>
      <c r="O1033" s="20">
        <v>10144.2</v>
      </c>
      <c r="Q1033" s="16" t="b">
        <v>1</v>
      </c>
      <c r="R1033" s="16" t="b">
        <v>0</v>
      </c>
    </row>
    <row r="1034">
      <c r="A1034" s="16" t="s">
        <v>2304</v>
      </c>
      <c r="B1034" s="16" t="s">
        <v>65</v>
      </c>
      <c r="C1034" s="22">
        <v>46097.0</v>
      </c>
      <c r="D1034" s="16" t="s">
        <v>131</v>
      </c>
      <c r="F1034" s="16" t="s">
        <v>6116</v>
      </c>
      <c r="H1034" s="16" t="s">
        <v>6116</v>
      </c>
      <c r="J1034" s="16" t="s">
        <v>187</v>
      </c>
      <c r="O1034" s="20">
        <v>1144.13</v>
      </c>
      <c r="Q1034" s="16" t="b">
        <v>1</v>
      </c>
      <c r="R1034" s="16" t="b">
        <v>0</v>
      </c>
    </row>
    <row r="1035">
      <c r="A1035" s="16" t="s">
        <v>2306</v>
      </c>
      <c r="B1035" s="16" t="s">
        <v>65</v>
      </c>
      <c r="C1035" s="22">
        <v>46104.0</v>
      </c>
      <c r="D1035" s="16" t="s">
        <v>131</v>
      </c>
      <c r="F1035" s="16" t="s">
        <v>6117</v>
      </c>
      <c r="H1035" s="16" t="s">
        <v>6117</v>
      </c>
      <c r="J1035" s="16" t="s">
        <v>187</v>
      </c>
      <c r="O1035" s="20">
        <v>218.68</v>
      </c>
      <c r="Q1035" s="16" t="b">
        <v>1</v>
      </c>
      <c r="R1035" s="16" t="b">
        <v>0</v>
      </c>
    </row>
    <row r="1036">
      <c r="A1036" s="16" t="s">
        <v>2308</v>
      </c>
      <c r="B1036" s="16" t="s">
        <v>65</v>
      </c>
      <c r="C1036" s="22">
        <v>46097.0</v>
      </c>
      <c r="D1036" s="16" t="s">
        <v>131</v>
      </c>
      <c r="F1036" s="16" t="s">
        <v>6118</v>
      </c>
      <c r="H1036" s="16" t="s">
        <v>6118</v>
      </c>
      <c r="J1036" s="16" t="s">
        <v>187</v>
      </c>
      <c r="O1036" s="20">
        <v>3.6</v>
      </c>
      <c r="Q1036" s="16" t="b">
        <v>1</v>
      </c>
      <c r="R1036" s="16" t="b">
        <v>0</v>
      </c>
    </row>
    <row r="1037">
      <c r="A1037" s="16" t="s">
        <v>2311</v>
      </c>
      <c r="B1037" s="16" t="s">
        <v>65</v>
      </c>
      <c r="C1037" s="22">
        <v>46097.0</v>
      </c>
      <c r="D1037" s="16" t="s">
        <v>131</v>
      </c>
      <c r="F1037" s="16" t="s">
        <v>6119</v>
      </c>
      <c r="H1037" s="16" t="s">
        <v>6119</v>
      </c>
      <c r="J1037" s="16" t="s">
        <v>187</v>
      </c>
      <c r="O1037" s="20">
        <v>1664.63</v>
      </c>
      <c r="Q1037" s="16" t="b">
        <v>1</v>
      </c>
      <c r="R1037" s="16" t="b">
        <v>0</v>
      </c>
    </row>
    <row r="1038">
      <c r="A1038" s="16" t="s">
        <v>2314</v>
      </c>
      <c r="B1038" s="16" t="s">
        <v>65</v>
      </c>
      <c r="C1038" s="22">
        <v>46104.0</v>
      </c>
      <c r="D1038" s="16" t="s">
        <v>1322</v>
      </c>
      <c r="F1038" s="16" t="s">
        <v>1482</v>
      </c>
      <c r="H1038" s="16" t="s">
        <v>1482</v>
      </c>
      <c r="J1038" s="16" t="s">
        <v>187</v>
      </c>
      <c r="O1038" s="20">
        <v>20.0</v>
      </c>
      <c r="Q1038" s="16" t="b">
        <v>1</v>
      </c>
      <c r="R1038" s="16" t="b">
        <v>0</v>
      </c>
    </row>
    <row r="1039">
      <c r="A1039" s="16">
        <v>1696.0</v>
      </c>
      <c r="B1039" s="16" t="s">
        <v>65</v>
      </c>
      <c r="C1039" s="22">
        <v>46104.0</v>
      </c>
      <c r="D1039" s="16" t="s">
        <v>1322</v>
      </c>
      <c r="F1039" s="259">
        <v>46301.0</v>
      </c>
      <c r="H1039" s="259">
        <v>46301.0</v>
      </c>
      <c r="J1039" s="16" t="s">
        <v>187</v>
      </c>
      <c r="O1039" s="20">
        <v>238.01</v>
      </c>
      <c r="Q1039" s="16" t="b">
        <v>1</v>
      </c>
      <c r="R1039" s="16" t="b">
        <v>0</v>
      </c>
    </row>
    <row r="1040">
      <c r="A1040" s="16" t="s">
        <v>2318</v>
      </c>
      <c r="B1040" s="16" t="s">
        <v>65</v>
      </c>
      <c r="C1040" s="22">
        <v>46105.0</v>
      </c>
      <c r="D1040" s="16" t="s">
        <v>131</v>
      </c>
      <c r="F1040" s="16" t="s">
        <v>6120</v>
      </c>
      <c r="H1040" s="16" t="s">
        <v>6120</v>
      </c>
      <c r="J1040" s="16" t="s">
        <v>187</v>
      </c>
      <c r="O1040" s="20">
        <v>4287.0</v>
      </c>
      <c r="Q1040" s="16" t="b">
        <v>1</v>
      </c>
      <c r="R1040" s="16" t="b">
        <v>0</v>
      </c>
    </row>
    <row r="1041">
      <c r="A1041" s="16" t="s">
        <v>2321</v>
      </c>
      <c r="B1041" s="16" t="s">
        <v>65</v>
      </c>
      <c r="C1041" s="22">
        <v>46105.0</v>
      </c>
      <c r="D1041" s="16" t="s">
        <v>131</v>
      </c>
      <c r="F1041" s="16" t="s">
        <v>6121</v>
      </c>
      <c r="H1041" s="16" t="s">
        <v>6121</v>
      </c>
      <c r="J1041" s="16" t="s">
        <v>187</v>
      </c>
      <c r="O1041" s="20">
        <v>2626.66</v>
      </c>
      <c r="Q1041" s="16" t="b">
        <v>1</v>
      </c>
      <c r="R1041" s="16" t="b">
        <v>0</v>
      </c>
    </row>
    <row r="1042">
      <c r="A1042" s="16">
        <v>1709.0</v>
      </c>
      <c r="B1042" s="16" t="s">
        <v>65</v>
      </c>
      <c r="C1042" s="22">
        <v>46112.0</v>
      </c>
      <c r="D1042" s="16" t="s">
        <v>1175</v>
      </c>
      <c r="F1042" s="16" t="s">
        <v>1219</v>
      </c>
      <c r="H1042" s="16" t="s">
        <v>1219</v>
      </c>
      <c r="J1042" s="16" t="s">
        <v>218</v>
      </c>
      <c r="O1042" s="20">
        <v>585.0</v>
      </c>
      <c r="Q1042" s="16" t="b">
        <v>1</v>
      </c>
      <c r="R1042" s="16" t="b">
        <v>0</v>
      </c>
    </row>
    <row r="1043">
      <c r="A1043" s="16">
        <v>1710.0</v>
      </c>
      <c r="B1043" s="16" t="s">
        <v>65</v>
      </c>
      <c r="C1043" s="22">
        <v>46114.0</v>
      </c>
      <c r="F1043" s="16" t="s">
        <v>1219</v>
      </c>
      <c r="H1043" s="16" t="s">
        <v>1219</v>
      </c>
      <c r="J1043" s="16" t="s">
        <v>218</v>
      </c>
      <c r="K1043" s="16" t="s">
        <v>132</v>
      </c>
      <c r="O1043" s="20">
        <v>2698.62</v>
      </c>
      <c r="Q1043" s="16" t="b">
        <v>1</v>
      </c>
      <c r="R1043" s="16" t="b">
        <v>0</v>
      </c>
    </row>
    <row r="1044">
      <c r="A1044" s="16">
        <v>1711.0</v>
      </c>
      <c r="B1044" s="16" t="s">
        <v>65</v>
      </c>
      <c r="C1044" s="22">
        <v>46114.0</v>
      </c>
      <c r="F1044" s="16" t="s">
        <v>1219</v>
      </c>
      <c r="H1044" s="16" t="s">
        <v>1219</v>
      </c>
      <c r="J1044" s="16" t="s">
        <v>218</v>
      </c>
      <c r="K1044" s="16" t="s">
        <v>348</v>
      </c>
      <c r="O1044" s="20">
        <v>1935.32</v>
      </c>
      <c r="Q1044" s="16" t="b">
        <v>1</v>
      </c>
      <c r="R1044" s="16" t="b">
        <v>0</v>
      </c>
    </row>
    <row r="1045">
      <c r="A1045" s="16">
        <v>1712.0</v>
      </c>
      <c r="B1045" s="16" t="s">
        <v>65</v>
      </c>
      <c r="C1045" s="22">
        <v>46114.0</v>
      </c>
      <c r="F1045" s="16" t="s">
        <v>1219</v>
      </c>
      <c r="H1045" s="16" t="s">
        <v>1219</v>
      </c>
      <c r="J1045" s="16" t="s">
        <v>218</v>
      </c>
      <c r="K1045" s="20">
        <v>5.7411272E7</v>
      </c>
      <c r="O1045" s="20">
        <v>2101.58</v>
      </c>
      <c r="Q1045" s="16" t="b">
        <v>1</v>
      </c>
      <c r="R1045" s="16" t="b">
        <v>0</v>
      </c>
    </row>
    <row r="1046">
      <c r="A1046" s="16">
        <v>1714.0</v>
      </c>
      <c r="B1046" s="16" t="s">
        <v>65</v>
      </c>
      <c r="C1046" s="22">
        <v>46105.0</v>
      </c>
      <c r="F1046" s="16" t="s">
        <v>6046</v>
      </c>
      <c r="H1046" s="16" t="s">
        <v>6046</v>
      </c>
      <c r="J1046" s="16" t="s">
        <v>187</v>
      </c>
      <c r="K1046" s="16" t="s">
        <v>377</v>
      </c>
      <c r="O1046" s="20">
        <v>32.0</v>
      </c>
      <c r="Q1046" s="16" t="b">
        <v>1</v>
      </c>
      <c r="R1046" s="16" t="b">
        <v>0</v>
      </c>
    </row>
    <row r="1047">
      <c r="A1047" s="16" t="s">
        <v>2333</v>
      </c>
      <c r="B1047" s="16" t="s">
        <v>65</v>
      </c>
      <c r="C1047" s="22">
        <v>46105.0</v>
      </c>
      <c r="F1047" s="16" t="s">
        <v>6122</v>
      </c>
      <c r="H1047" s="16" t="s">
        <v>6122</v>
      </c>
      <c r="J1047" s="16" t="s">
        <v>187</v>
      </c>
      <c r="K1047" s="16" t="s">
        <v>6077</v>
      </c>
      <c r="O1047" s="20">
        <v>300.0</v>
      </c>
      <c r="Q1047" s="16" t="b">
        <v>1</v>
      </c>
      <c r="R1047" s="16" t="b">
        <v>0</v>
      </c>
    </row>
    <row r="1048">
      <c r="A1048" s="16">
        <v>1719.0</v>
      </c>
      <c r="B1048" s="16" t="s">
        <v>65</v>
      </c>
      <c r="C1048" s="22">
        <v>46112.0</v>
      </c>
      <c r="D1048" s="16" t="s">
        <v>398</v>
      </c>
      <c r="F1048" s="16" t="s">
        <v>1219</v>
      </c>
      <c r="H1048" s="16" t="s">
        <v>1219</v>
      </c>
      <c r="J1048" s="16" t="s">
        <v>218</v>
      </c>
      <c r="O1048" s="20">
        <v>7000.0</v>
      </c>
      <c r="Q1048" s="16" t="b">
        <v>1</v>
      </c>
      <c r="R1048" s="16" t="b">
        <v>0</v>
      </c>
    </row>
    <row r="1049">
      <c r="A1049" s="16" t="s">
        <v>2336</v>
      </c>
      <c r="B1049" s="16" t="s">
        <v>65</v>
      </c>
      <c r="C1049" s="22">
        <v>46107.0</v>
      </c>
      <c r="F1049" s="16" t="s">
        <v>6123</v>
      </c>
      <c r="H1049" s="16" t="s">
        <v>6123</v>
      </c>
      <c r="J1049" s="16" t="s">
        <v>218</v>
      </c>
      <c r="K1049" s="16" t="s">
        <v>754</v>
      </c>
      <c r="O1049" s="20">
        <v>4135.1</v>
      </c>
      <c r="Q1049" s="16" t="b">
        <v>1</v>
      </c>
      <c r="R1049" s="16" t="b">
        <v>0</v>
      </c>
    </row>
    <row r="1050">
      <c r="A1050" s="16">
        <v>1727.0</v>
      </c>
      <c r="B1050" s="16" t="s">
        <v>65</v>
      </c>
      <c r="C1050" s="22">
        <v>46119.0</v>
      </c>
      <c r="D1050" s="16" t="s">
        <v>1159</v>
      </c>
      <c r="F1050" s="16" t="s">
        <v>1383</v>
      </c>
      <c r="H1050" s="16" t="s">
        <v>1383</v>
      </c>
      <c r="J1050" s="16" t="s">
        <v>218</v>
      </c>
      <c r="O1050" s="20">
        <v>533.95</v>
      </c>
      <c r="Q1050" s="16" t="b">
        <v>1</v>
      </c>
      <c r="R1050" s="16" t="b">
        <v>0</v>
      </c>
    </row>
    <row r="1051">
      <c r="A1051" s="16">
        <v>1728.0</v>
      </c>
      <c r="B1051" s="16" t="s">
        <v>65</v>
      </c>
      <c r="C1051" s="22">
        <v>46119.0</v>
      </c>
      <c r="D1051" s="16" t="s">
        <v>1664</v>
      </c>
      <c r="F1051" s="16" t="s">
        <v>1389</v>
      </c>
      <c r="H1051" s="16" t="s">
        <v>1389</v>
      </c>
      <c r="J1051" s="16" t="s">
        <v>218</v>
      </c>
      <c r="O1051" s="20">
        <v>179.9</v>
      </c>
      <c r="Q1051" s="16" t="b">
        <v>1</v>
      </c>
      <c r="R1051" s="16" t="b">
        <v>0</v>
      </c>
    </row>
    <row r="1052">
      <c r="A1052" s="16" t="s">
        <v>2344</v>
      </c>
      <c r="B1052" s="16" t="s">
        <v>65</v>
      </c>
      <c r="C1052" s="22">
        <v>46126.0</v>
      </c>
      <c r="D1052" s="16" t="s">
        <v>131</v>
      </c>
      <c r="F1052" s="16" t="s">
        <v>6124</v>
      </c>
      <c r="H1052" s="16" t="s">
        <v>6124</v>
      </c>
      <c r="J1052" s="16" t="s">
        <v>218</v>
      </c>
      <c r="O1052" s="20">
        <v>263.25</v>
      </c>
      <c r="Q1052" s="16" t="b">
        <v>1</v>
      </c>
      <c r="R1052" s="16" t="b">
        <v>0</v>
      </c>
    </row>
    <row r="1053">
      <c r="A1053" s="16" t="s">
        <v>2347</v>
      </c>
      <c r="B1053" s="16" t="s">
        <v>65</v>
      </c>
      <c r="C1053" s="22">
        <v>46119.0</v>
      </c>
      <c r="D1053" s="16" t="s">
        <v>131</v>
      </c>
      <c r="F1053" s="16" t="s">
        <v>6125</v>
      </c>
      <c r="H1053" s="16" t="s">
        <v>6125</v>
      </c>
      <c r="J1053" s="16" t="s">
        <v>218</v>
      </c>
      <c r="O1053" s="20">
        <v>6243.0</v>
      </c>
      <c r="Q1053" s="16" t="b">
        <v>1</v>
      </c>
      <c r="R1053" s="16" t="b">
        <v>0</v>
      </c>
    </row>
    <row r="1054">
      <c r="A1054" s="16" t="s">
        <v>2349</v>
      </c>
      <c r="B1054" s="16" t="s">
        <v>65</v>
      </c>
      <c r="C1054" s="22">
        <v>46126.0</v>
      </c>
      <c r="D1054" s="16" t="s">
        <v>131</v>
      </c>
      <c r="F1054" s="16" t="s">
        <v>6126</v>
      </c>
      <c r="H1054" s="16" t="s">
        <v>6126</v>
      </c>
      <c r="J1054" s="16" t="s">
        <v>218</v>
      </c>
      <c r="O1054" s="20">
        <v>2971.59</v>
      </c>
      <c r="Q1054" s="16" t="b">
        <v>1</v>
      </c>
      <c r="R1054" s="16" t="b">
        <v>0</v>
      </c>
    </row>
    <row r="1055">
      <c r="A1055" s="16" t="s">
        <v>2351</v>
      </c>
      <c r="B1055" s="16" t="s">
        <v>65</v>
      </c>
      <c r="C1055" s="22">
        <v>46114.0</v>
      </c>
      <c r="F1055" s="16" t="s">
        <v>6127</v>
      </c>
      <c r="H1055" s="16" t="s">
        <v>6127</v>
      </c>
      <c r="J1055" s="16" t="s">
        <v>218</v>
      </c>
      <c r="K1055" s="16" t="s">
        <v>6077</v>
      </c>
      <c r="O1055" s="20">
        <v>1791.37</v>
      </c>
      <c r="Q1055" s="16" t="b">
        <v>1</v>
      </c>
      <c r="R1055" s="16" t="b">
        <v>0</v>
      </c>
    </row>
    <row r="1056">
      <c r="A1056" s="16">
        <v>1743.0</v>
      </c>
      <c r="B1056" s="16" t="s">
        <v>65</v>
      </c>
      <c r="C1056" s="22">
        <v>46132.0</v>
      </c>
      <c r="D1056" s="16" t="s">
        <v>131</v>
      </c>
      <c r="F1056" s="16" t="s">
        <v>1404</v>
      </c>
      <c r="H1056" s="16" t="s">
        <v>1404</v>
      </c>
      <c r="J1056" s="16" t="s">
        <v>218</v>
      </c>
      <c r="O1056" s="20">
        <v>1110.0</v>
      </c>
      <c r="Q1056" s="16" t="b">
        <v>1</v>
      </c>
      <c r="R1056" s="16" t="b">
        <v>0</v>
      </c>
    </row>
    <row r="1057">
      <c r="A1057" s="16">
        <v>1744.0</v>
      </c>
      <c r="B1057" s="16" t="s">
        <v>65</v>
      </c>
      <c r="C1057" s="22">
        <v>46132.0</v>
      </c>
      <c r="D1057" s="16" t="s">
        <v>131</v>
      </c>
      <c r="F1057" s="16" t="s">
        <v>1411</v>
      </c>
      <c r="H1057" s="16" t="s">
        <v>1411</v>
      </c>
      <c r="J1057" s="16" t="s">
        <v>218</v>
      </c>
      <c r="O1057" s="20">
        <v>700.0</v>
      </c>
      <c r="Q1057" s="16" t="b">
        <v>1</v>
      </c>
      <c r="R1057" s="16" t="b">
        <v>0</v>
      </c>
    </row>
    <row r="1058">
      <c r="A1058" s="16">
        <v>1745.0</v>
      </c>
      <c r="B1058" s="16" t="s">
        <v>65</v>
      </c>
      <c r="C1058" s="22">
        <v>46132.0</v>
      </c>
      <c r="D1058" s="16" t="s">
        <v>131</v>
      </c>
      <c r="F1058" s="16" t="s">
        <v>1421</v>
      </c>
      <c r="H1058" s="16" t="s">
        <v>1421</v>
      </c>
      <c r="J1058" s="16" t="s">
        <v>218</v>
      </c>
      <c r="O1058" s="20">
        <v>396.0</v>
      </c>
      <c r="Q1058" s="16" t="b">
        <v>1</v>
      </c>
      <c r="R1058" s="16" t="b">
        <v>0</v>
      </c>
    </row>
    <row r="1059">
      <c r="A1059" s="16">
        <v>1746.0</v>
      </c>
      <c r="B1059" s="16" t="s">
        <v>65</v>
      </c>
      <c r="C1059" s="22">
        <v>46126.0</v>
      </c>
      <c r="D1059" s="16" t="s">
        <v>1322</v>
      </c>
      <c r="F1059" s="16" t="s">
        <v>6128</v>
      </c>
      <c r="H1059" s="16" t="s">
        <v>6128</v>
      </c>
      <c r="J1059" s="16" t="s">
        <v>218</v>
      </c>
      <c r="O1059" s="20">
        <v>253.0</v>
      </c>
      <c r="Q1059" s="16" t="b">
        <v>1</v>
      </c>
      <c r="R1059" s="16" t="b">
        <v>0</v>
      </c>
    </row>
    <row r="1060">
      <c r="A1060" s="16">
        <v>1748.0</v>
      </c>
      <c r="B1060" s="16" t="s">
        <v>65</v>
      </c>
      <c r="C1060" s="22">
        <v>46126.0</v>
      </c>
      <c r="D1060" s="16" t="s">
        <v>1159</v>
      </c>
      <c r="F1060" s="16" t="s">
        <v>1219</v>
      </c>
      <c r="H1060" s="16" t="s">
        <v>1219</v>
      </c>
      <c r="J1060" s="16" t="s">
        <v>218</v>
      </c>
      <c r="O1060" s="20">
        <v>1047.87</v>
      </c>
      <c r="Q1060" s="16" t="b">
        <v>1</v>
      </c>
      <c r="R1060" s="16" t="b">
        <v>0</v>
      </c>
    </row>
    <row r="1061">
      <c r="A1061" s="16" t="s">
        <v>2364</v>
      </c>
      <c r="B1061" s="16" t="s">
        <v>65</v>
      </c>
      <c r="C1061" s="22">
        <v>46126.0</v>
      </c>
      <c r="D1061" s="16" t="s">
        <v>6041</v>
      </c>
      <c r="F1061" s="16" t="s">
        <v>6080</v>
      </c>
      <c r="H1061" s="16" t="s">
        <v>6080</v>
      </c>
      <c r="J1061" s="16" t="s">
        <v>218</v>
      </c>
      <c r="O1061" s="20">
        <v>736.11</v>
      </c>
      <c r="Q1061" s="16" t="b">
        <v>1</v>
      </c>
      <c r="R1061" s="16" t="b">
        <v>0</v>
      </c>
    </row>
    <row r="1062">
      <c r="A1062" s="16" t="s">
        <v>2366</v>
      </c>
      <c r="B1062" s="16" t="s">
        <v>65</v>
      </c>
      <c r="C1062" s="22">
        <v>46205.0</v>
      </c>
      <c r="F1062" s="16" t="s">
        <v>6129</v>
      </c>
      <c r="H1062" s="16" t="s">
        <v>6129</v>
      </c>
      <c r="J1062" s="16" t="s">
        <v>382</v>
      </c>
      <c r="K1062" s="16" t="s">
        <v>132</v>
      </c>
      <c r="O1062" s="20">
        <v>0.01</v>
      </c>
      <c r="Q1062" s="16" t="b">
        <v>1</v>
      </c>
      <c r="R1062" s="16" t="b">
        <v>0</v>
      </c>
    </row>
    <row r="1063">
      <c r="A1063" s="16" t="s">
        <v>2368</v>
      </c>
      <c r="B1063" s="16" t="s">
        <v>65</v>
      </c>
      <c r="C1063" s="22">
        <v>46205.0</v>
      </c>
      <c r="F1063" s="16" t="s">
        <v>6130</v>
      </c>
      <c r="H1063" s="16" t="s">
        <v>6130</v>
      </c>
      <c r="J1063" s="16" t="s">
        <v>382</v>
      </c>
      <c r="K1063" s="16" t="s">
        <v>348</v>
      </c>
      <c r="O1063" s="20">
        <v>0.01</v>
      </c>
      <c r="Q1063" s="16" t="b">
        <v>1</v>
      </c>
      <c r="R1063" s="16" t="b">
        <v>0</v>
      </c>
    </row>
    <row r="1064">
      <c r="A1064" s="16" t="s">
        <v>2370</v>
      </c>
      <c r="B1064" s="16" t="s">
        <v>65</v>
      </c>
      <c r="C1064" s="22">
        <v>46223.0</v>
      </c>
      <c r="F1064" s="16" t="s">
        <v>6131</v>
      </c>
      <c r="H1064" s="16" t="s">
        <v>6131</v>
      </c>
      <c r="J1064" s="16" t="s">
        <v>382</v>
      </c>
      <c r="K1064" s="16">
        <v>5.7411272E7</v>
      </c>
      <c r="O1064" s="20">
        <v>0.01</v>
      </c>
      <c r="Q1064" s="16" t="b">
        <v>1</v>
      </c>
      <c r="R1064" s="16" t="b">
        <v>0</v>
      </c>
    </row>
    <row r="1065">
      <c r="A1065" s="16">
        <v>1753.0</v>
      </c>
      <c r="B1065" s="16" t="s">
        <v>65</v>
      </c>
      <c r="C1065" s="22">
        <v>46126.0</v>
      </c>
      <c r="D1065" s="16" t="s">
        <v>1159</v>
      </c>
      <c r="F1065" s="16" t="s">
        <v>1231</v>
      </c>
      <c r="H1065" s="16" t="s">
        <v>1231</v>
      </c>
      <c r="J1065" s="16" t="s">
        <v>218</v>
      </c>
      <c r="O1065" s="20">
        <v>883.79</v>
      </c>
      <c r="Q1065" s="16" t="b">
        <v>1</v>
      </c>
      <c r="R1065" s="16" t="b">
        <v>0</v>
      </c>
    </row>
    <row r="1066">
      <c r="A1066" s="16">
        <v>1754.0</v>
      </c>
      <c r="B1066" s="16" t="s">
        <v>65</v>
      </c>
      <c r="C1066" s="22">
        <v>46132.0</v>
      </c>
      <c r="D1066" s="16" t="s">
        <v>1159</v>
      </c>
      <c r="F1066" s="16" t="s">
        <v>1243</v>
      </c>
      <c r="H1066" s="16" t="s">
        <v>1243</v>
      </c>
      <c r="J1066" s="16" t="s">
        <v>218</v>
      </c>
      <c r="O1066" s="20">
        <v>11445.14</v>
      </c>
      <c r="Q1066" s="16" t="b">
        <v>1</v>
      </c>
      <c r="R1066" s="16" t="b">
        <v>0</v>
      </c>
    </row>
    <row r="1067">
      <c r="A1067" s="16" t="s">
        <v>2378</v>
      </c>
      <c r="B1067" s="16" t="s">
        <v>65</v>
      </c>
      <c r="C1067" s="22">
        <v>46126.0</v>
      </c>
      <c r="D1067" s="16" t="s">
        <v>131</v>
      </c>
      <c r="F1067" s="16" t="s">
        <v>6132</v>
      </c>
      <c r="H1067" s="16" t="s">
        <v>6132</v>
      </c>
      <c r="J1067" s="16" t="s">
        <v>218</v>
      </c>
      <c r="O1067" s="20">
        <v>13829.03</v>
      </c>
      <c r="Q1067" s="16" t="b">
        <v>1</v>
      </c>
      <c r="R1067" s="16" t="b">
        <v>0</v>
      </c>
    </row>
    <row r="1068">
      <c r="A1068" s="16" t="s">
        <v>2380</v>
      </c>
      <c r="B1068" s="16" t="s">
        <v>65</v>
      </c>
      <c r="C1068" s="22">
        <v>46126.0</v>
      </c>
      <c r="F1068" s="16" t="s">
        <v>6122</v>
      </c>
      <c r="H1068" s="16" t="s">
        <v>6122</v>
      </c>
      <c r="J1068" s="16" t="s">
        <v>218</v>
      </c>
      <c r="K1068" s="16" t="s">
        <v>6077</v>
      </c>
      <c r="O1068" s="20">
        <v>100.0</v>
      </c>
      <c r="Q1068" s="16" t="b">
        <v>1</v>
      </c>
      <c r="R1068" s="16" t="b">
        <v>0</v>
      </c>
    </row>
    <row r="1069">
      <c r="A1069" s="16" t="s">
        <v>2382</v>
      </c>
      <c r="B1069" s="16" t="s">
        <v>65</v>
      </c>
      <c r="C1069" s="22">
        <v>46140.0</v>
      </c>
      <c r="D1069" s="16" t="s">
        <v>131</v>
      </c>
      <c r="F1069" s="16" t="s">
        <v>6133</v>
      </c>
      <c r="H1069" s="16" t="s">
        <v>6133</v>
      </c>
      <c r="J1069" s="16" t="s">
        <v>218</v>
      </c>
      <c r="O1069" s="20">
        <v>2299.0</v>
      </c>
      <c r="Q1069" s="16" t="b">
        <v>1</v>
      </c>
      <c r="R1069" s="16" t="b">
        <v>0</v>
      </c>
    </row>
    <row r="1070">
      <c r="A1070" s="16" t="s">
        <v>2385</v>
      </c>
      <c r="B1070" s="16" t="s">
        <v>65</v>
      </c>
      <c r="C1070" s="22">
        <v>46139.0</v>
      </c>
      <c r="D1070" s="16" t="s">
        <v>131</v>
      </c>
      <c r="F1070" s="16" t="s">
        <v>6134</v>
      </c>
      <c r="H1070" s="16" t="s">
        <v>6134</v>
      </c>
      <c r="J1070" s="16" t="s">
        <v>218</v>
      </c>
      <c r="O1070" s="20">
        <v>1388.74</v>
      </c>
      <c r="Q1070" s="16" t="b">
        <v>1</v>
      </c>
      <c r="R1070" s="16" t="b">
        <v>0</v>
      </c>
    </row>
    <row r="1071">
      <c r="A1071" s="16">
        <v>1769.0</v>
      </c>
      <c r="B1071" s="16" t="s">
        <v>65</v>
      </c>
      <c r="C1071" s="22">
        <v>46132.0</v>
      </c>
      <c r="D1071" s="16" t="s">
        <v>1322</v>
      </c>
      <c r="F1071" s="22">
        <v>46302.0</v>
      </c>
      <c r="H1071" s="22">
        <v>46302.0</v>
      </c>
      <c r="J1071" s="16" t="s">
        <v>218</v>
      </c>
      <c r="O1071" s="20">
        <v>238.01</v>
      </c>
      <c r="Q1071" s="16" t="b">
        <v>1</v>
      </c>
      <c r="R1071" s="16" t="b">
        <v>0</v>
      </c>
    </row>
    <row r="1072">
      <c r="A1072" s="16" t="s">
        <v>2390</v>
      </c>
      <c r="B1072" s="16" t="s">
        <v>65</v>
      </c>
      <c r="C1072" s="22">
        <v>46132.0</v>
      </c>
      <c r="D1072" s="16" t="s">
        <v>131</v>
      </c>
      <c r="F1072" s="16" t="s">
        <v>6135</v>
      </c>
      <c r="H1072" s="16" t="s">
        <v>6135</v>
      </c>
      <c r="J1072" s="16" t="s">
        <v>218</v>
      </c>
      <c r="O1072" s="20">
        <v>80.55</v>
      </c>
      <c r="Q1072" s="16" t="b">
        <v>1</v>
      </c>
      <c r="R1072" s="16" t="b">
        <v>0</v>
      </c>
    </row>
    <row r="1073">
      <c r="A1073" s="16" t="s">
        <v>2392</v>
      </c>
      <c r="B1073" s="16" t="s">
        <v>65</v>
      </c>
      <c r="C1073" s="22">
        <v>46132.0</v>
      </c>
      <c r="D1073" s="16" t="s">
        <v>131</v>
      </c>
      <c r="F1073" s="16" t="s">
        <v>6136</v>
      </c>
      <c r="H1073" s="16" t="s">
        <v>6136</v>
      </c>
      <c r="J1073" s="16" t="s">
        <v>218</v>
      </c>
      <c r="O1073" s="20">
        <v>80.55</v>
      </c>
      <c r="Q1073" s="16" t="b">
        <v>1</v>
      </c>
      <c r="R1073" s="16" t="b">
        <v>0</v>
      </c>
    </row>
    <row r="1074">
      <c r="A1074" s="16" t="s">
        <v>2394</v>
      </c>
      <c r="B1074" s="16" t="s">
        <v>65</v>
      </c>
      <c r="C1074" s="22">
        <v>46132.0</v>
      </c>
      <c r="D1074" s="16" t="s">
        <v>131</v>
      </c>
      <c r="F1074" s="16" t="s">
        <v>6137</v>
      </c>
      <c r="H1074" s="16" t="s">
        <v>6137</v>
      </c>
      <c r="J1074" s="16" t="s">
        <v>218</v>
      </c>
      <c r="O1074" s="20">
        <v>14.0</v>
      </c>
      <c r="Q1074" s="16" t="b">
        <v>1</v>
      </c>
      <c r="R1074" s="16" t="b">
        <v>0</v>
      </c>
    </row>
    <row r="1075">
      <c r="A1075" s="16" t="s">
        <v>2396</v>
      </c>
      <c r="B1075" s="16" t="s">
        <v>65</v>
      </c>
      <c r="C1075" s="22">
        <v>46132.0</v>
      </c>
      <c r="D1075" s="16" t="s">
        <v>131</v>
      </c>
      <c r="F1075" s="16" t="s">
        <v>6138</v>
      </c>
      <c r="H1075" s="16" t="s">
        <v>6138</v>
      </c>
      <c r="J1075" s="16" t="s">
        <v>218</v>
      </c>
      <c r="O1075" s="20">
        <v>14.0</v>
      </c>
      <c r="Q1075" s="16" t="b">
        <v>1</v>
      </c>
      <c r="R1075" s="16" t="b">
        <v>0</v>
      </c>
    </row>
    <row r="1076">
      <c r="A1076" s="16">
        <v>1779.0</v>
      </c>
      <c r="B1076" s="16" t="s">
        <v>65</v>
      </c>
      <c r="C1076" s="22">
        <v>46139.0</v>
      </c>
      <c r="D1076" s="16" t="s">
        <v>1175</v>
      </c>
      <c r="F1076" s="16" t="s">
        <v>6139</v>
      </c>
      <c r="H1076" s="16" t="s">
        <v>6139</v>
      </c>
      <c r="J1076" s="16" t="s">
        <v>218</v>
      </c>
      <c r="O1076" s="20">
        <v>663.0</v>
      </c>
      <c r="Q1076" s="16" t="b">
        <v>1</v>
      </c>
      <c r="R1076" s="16" t="b">
        <v>0</v>
      </c>
    </row>
    <row r="1077">
      <c r="A1077" s="16">
        <v>1780.0</v>
      </c>
      <c r="B1077" s="16" t="s">
        <v>65</v>
      </c>
      <c r="C1077" s="22">
        <v>46142.0</v>
      </c>
      <c r="F1077" s="16" t="s">
        <v>1219</v>
      </c>
      <c r="H1077" s="16" t="s">
        <v>1219</v>
      </c>
      <c r="J1077" s="16" t="s">
        <v>218</v>
      </c>
      <c r="K1077" s="16" t="s">
        <v>132</v>
      </c>
      <c r="O1077" s="20">
        <v>2914.83</v>
      </c>
      <c r="Q1077" s="16" t="b">
        <v>1</v>
      </c>
      <c r="R1077" s="16" t="b">
        <v>0</v>
      </c>
    </row>
    <row r="1078">
      <c r="A1078" s="16">
        <v>1781.0</v>
      </c>
      <c r="B1078" s="16" t="s">
        <v>65</v>
      </c>
      <c r="C1078" s="22">
        <v>46142.0</v>
      </c>
      <c r="F1078" s="16" t="s">
        <v>1219</v>
      </c>
      <c r="H1078" s="16" t="s">
        <v>1219</v>
      </c>
      <c r="J1078" s="16" t="s">
        <v>218</v>
      </c>
      <c r="K1078" s="16" t="s">
        <v>348</v>
      </c>
      <c r="O1078" s="20">
        <v>2183.75</v>
      </c>
      <c r="Q1078" s="16" t="b">
        <v>1</v>
      </c>
      <c r="R1078" s="16" t="b">
        <v>0</v>
      </c>
    </row>
    <row r="1079">
      <c r="A1079" s="16">
        <v>1782.0</v>
      </c>
      <c r="B1079" s="16" t="s">
        <v>65</v>
      </c>
      <c r="C1079" s="22">
        <v>46142.0</v>
      </c>
      <c r="F1079" s="16" t="s">
        <v>1219</v>
      </c>
      <c r="H1079" s="16" t="s">
        <v>1219</v>
      </c>
      <c r="J1079" s="16" t="s">
        <v>218</v>
      </c>
      <c r="K1079" s="20">
        <v>5.7411272E7</v>
      </c>
      <c r="O1079" s="20">
        <v>2340.37</v>
      </c>
      <c r="Q1079" s="16" t="b">
        <v>1</v>
      </c>
      <c r="R1079" s="16" t="b">
        <v>0</v>
      </c>
    </row>
    <row r="1080">
      <c r="A1080" s="16">
        <v>1783.0</v>
      </c>
      <c r="B1080" s="16" t="s">
        <v>65</v>
      </c>
      <c r="C1080" s="22">
        <v>46142.0</v>
      </c>
      <c r="F1080" s="16" t="s">
        <v>1219</v>
      </c>
      <c r="H1080" s="16" t="s">
        <v>1219</v>
      </c>
      <c r="J1080" s="16" t="s">
        <v>218</v>
      </c>
      <c r="K1080" s="16" t="s">
        <v>6077</v>
      </c>
      <c r="O1080" s="20">
        <v>1946.31</v>
      </c>
      <c r="Q1080" s="16" t="b">
        <v>1</v>
      </c>
      <c r="R1080" s="16" t="b">
        <v>0</v>
      </c>
    </row>
    <row r="1081">
      <c r="A1081" s="16">
        <v>1784.0</v>
      </c>
      <c r="B1081" s="16" t="s">
        <v>65</v>
      </c>
      <c r="C1081" s="22">
        <v>46139.0</v>
      </c>
      <c r="F1081" s="16" t="s">
        <v>6046</v>
      </c>
      <c r="H1081" s="16" t="s">
        <v>6046</v>
      </c>
      <c r="J1081" s="16" t="s">
        <v>218</v>
      </c>
      <c r="K1081" s="16" t="s">
        <v>377</v>
      </c>
      <c r="O1081" s="20">
        <v>32.0</v>
      </c>
      <c r="Q1081" s="16" t="b">
        <v>1</v>
      </c>
      <c r="R1081" s="16" t="b">
        <v>0</v>
      </c>
    </row>
    <row r="1082">
      <c r="A1082" s="16" t="s">
        <v>2413</v>
      </c>
      <c r="B1082" s="16" t="s">
        <v>65</v>
      </c>
      <c r="C1082" s="22">
        <v>46135.0</v>
      </c>
      <c r="D1082" s="16" t="s">
        <v>342</v>
      </c>
      <c r="F1082" s="16" t="s">
        <v>1383</v>
      </c>
      <c r="H1082" s="16" t="s">
        <v>1383</v>
      </c>
      <c r="J1082" s="16" t="s">
        <v>218</v>
      </c>
      <c r="O1082" s="20">
        <v>2569.71</v>
      </c>
      <c r="Q1082" s="16" t="b">
        <v>1</v>
      </c>
      <c r="R1082" s="16" t="b">
        <v>0</v>
      </c>
    </row>
    <row r="1083">
      <c r="A1083" s="16">
        <v>1788.0</v>
      </c>
      <c r="B1083" s="16" t="s">
        <v>65</v>
      </c>
      <c r="C1083" s="22">
        <v>46153.0</v>
      </c>
      <c r="D1083" s="16" t="s">
        <v>398</v>
      </c>
      <c r="F1083" s="16" t="s">
        <v>1219</v>
      </c>
      <c r="H1083" s="16" t="s">
        <v>1219</v>
      </c>
      <c r="J1083" s="16" t="s">
        <v>218</v>
      </c>
      <c r="O1083" s="20">
        <v>7000.0</v>
      </c>
      <c r="Q1083" s="16" t="b">
        <v>1</v>
      </c>
      <c r="R1083" s="16" t="b">
        <v>0</v>
      </c>
    </row>
    <row r="1084">
      <c r="A1084" s="16">
        <v>1791.0</v>
      </c>
      <c r="B1084" s="16" t="s">
        <v>65</v>
      </c>
      <c r="C1084" s="22">
        <v>46146.0</v>
      </c>
      <c r="D1084" s="16" t="s">
        <v>1159</v>
      </c>
      <c r="F1084" s="16" t="s">
        <v>1383</v>
      </c>
      <c r="H1084" s="16" t="s">
        <v>1383</v>
      </c>
      <c r="J1084" s="16" t="s">
        <v>218</v>
      </c>
      <c r="O1084" s="20">
        <v>533.95</v>
      </c>
      <c r="Q1084" s="16" t="b">
        <v>1</v>
      </c>
      <c r="R1084" s="16" t="b">
        <v>0</v>
      </c>
    </row>
    <row r="1085">
      <c r="A1085" s="16">
        <v>1792.0</v>
      </c>
      <c r="B1085" s="16" t="s">
        <v>65</v>
      </c>
      <c r="C1085" s="22">
        <v>46146.0</v>
      </c>
      <c r="D1085" s="16" t="s">
        <v>1664</v>
      </c>
      <c r="F1085" s="16" t="s">
        <v>1389</v>
      </c>
      <c r="H1085" s="16" t="s">
        <v>1389</v>
      </c>
      <c r="J1085" s="16" t="s">
        <v>218</v>
      </c>
      <c r="O1085" s="20">
        <v>179.9</v>
      </c>
      <c r="Q1085" s="16" t="b">
        <v>1</v>
      </c>
      <c r="R1085" s="16" t="b">
        <v>0</v>
      </c>
    </row>
    <row r="1086">
      <c r="A1086" s="16">
        <v>1794.0</v>
      </c>
      <c r="B1086" s="16" t="s">
        <v>65</v>
      </c>
      <c r="C1086" s="22">
        <v>46147.0</v>
      </c>
      <c r="D1086" s="16" t="s">
        <v>342</v>
      </c>
      <c r="F1086" s="16" t="s">
        <v>1219</v>
      </c>
      <c r="H1086" s="16" t="s">
        <v>1219</v>
      </c>
      <c r="J1086" s="16" t="s">
        <v>218</v>
      </c>
      <c r="O1086" s="20">
        <v>1608.3</v>
      </c>
      <c r="Q1086" s="16" t="b">
        <v>1</v>
      </c>
      <c r="R1086" s="16" t="b">
        <v>0</v>
      </c>
    </row>
    <row r="1087">
      <c r="A1087" s="16" t="s">
        <v>2423</v>
      </c>
      <c r="B1087" s="16" t="s">
        <v>65</v>
      </c>
      <c r="C1087" s="22">
        <v>46153.0</v>
      </c>
      <c r="D1087" s="16" t="s">
        <v>131</v>
      </c>
      <c r="F1087" s="16" t="s">
        <v>6140</v>
      </c>
      <c r="H1087" s="16" t="s">
        <v>6140</v>
      </c>
      <c r="J1087" s="16" t="s">
        <v>218</v>
      </c>
      <c r="O1087" s="20">
        <v>1.75</v>
      </c>
      <c r="Q1087" s="16" t="b">
        <v>1</v>
      </c>
      <c r="R1087" s="16" t="b">
        <v>0</v>
      </c>
    </row>
    <row r="1088">
      <c r="A1088" s="16" t="s">
        <v>2426</v>
      </c>
      <c r="B1088" s="16" t="s">
        <v>65</v>
      </c>
      <c r="C1088" s="22">
        <v>46153.0</v>
      </c>
      <c r="D1088" s="16" t="s">
        <v>131</v>
      </c>
      <c r="F1088" s="16" t="s">
        <v>6141</v>
      </c>
      <c r="H1088" s="16" t="s">
        <v>6141</v>
      </c>
      <c r="J1088" s="16" t="s">
        <v>218</v>
      </c>
      <c r="O1088" s="20">
        <v>30.0</v>
      </c>
      <c r="Q1088" s="16" t="b">
        <v>1</v>
      </c>
      <c r="R1088" s="16" t="b">
        <v>0</v>
      </c>
    </row>
    <row r="1089">
      <c r="A1089" s="16" t="s">
        <v>2429</v>
      </c>
      <c r="B1089" s="16" t="s">
        <v>65</v>
      </c>
      <c r="C1089" s="22">
        <v>46154.0</v>
      </c>
      <c r="D1089" s="16" t="s">
        <v>131</v>
      </c>
      <c r="F1089" s="16" t="s">
        <v>6142</v>
      </c>
      <c r="H1089" s="16" t="s">
        <v>6142</v>
      </c>
      <c r="J1089" s="16" t="s">
        <v>218</v>
      </c>
      <c r="O1089" s="20">
        <v>1235.0</v>
      </c>
      <c r="Q1089" s="16" t="b">
        <v>1</v>
      </c>
      <c r="R1089" s="16" t="b">
        <v>0</v>
      </c>
    </row>
    <row r="1090">
      <c r="A1090" s="16" t="s">
        <v>2432</v>
      </c>
      <c r="B1090" s="16" t="s">
        <v>65</v>
      </c>
      <c r="C1090" s="22">
        <v>46153.0</v>
      </c>
      <c r="D1090" s="16" t="s">
        <v>131</v>
      </c>
      <c r="F1090" s="16" t="s">
        <v>6143</v>
      </c>
      <c r="H1090" s="16" t="s">
        <v>6143</v>
      </c>
      <c r="J1090" s="16" t="s">
        <v>218</v>
      </c>
      <c r="O1090" s="20">
        <v>118.33</v>
      </c>
      <c r="Q1090" s="16" t="b">
        <v>1</v>
      </c>
      <c r="R1090" s="16" t="b">
        <v>0</v>
      </c>
    </row>
    <row r="1091">
      <c r="A1091" s="16" t="s">
        <v>2437</v>
      </c>
      <c r="B1091" s="16" t="s">
        <v>65</v>
      </c>
      <c r="C1091" s="22">
        <v>46153.0</v>
      </c>
      <c r="D1091" s="16" t="s">
        <v>131</v>
      </c>
      <c r="F1091" s="16" t="s">
        <v>6144</v>
      </c>
      <c r="H1091" s="16" t="s">
        <v>6144</v>
      </c>
      <c r="J1091" s="16" t="s">
        <v>218</v>
      </c>
      <c r="O1091" s="20">
        <v>5.18</v>
      </c>
      <c r="Q1091" s="16" t="b">
        <v>1</v>
      </c>
      <c r="R1091" s="16" t="b">
        <v>0</v>
      </c>
    </row>
    <row r="1092">
      <c r="A1092" s="16">
        <v>1806.0</v>
      </c>
      <c r="B1092" s="16" t="s">
        <v>65</v>
      </c>
      <c r="C1092" s="22">
        <v>46154.0</v>
      </c>
      <c r="D1092" s="16" t="s">
        <v>131</v>
      </c>
      <c r="F1092" s="16" t="s">
        <v>1404</v>
      </c>
      <c r="H1092" s="16" t="s">
        <v>1404</v>
      </c>
      <c r="J1092" s="16" t="s">
        <v>218</v>
      </c>
      <c r="O1092" s="20">
        <v>1110.0</v>
      </c>
      <c r="Q1092" s="16" t="b">
        <v>1</v>
      </c>
      <c r="R1092" s="16" t="b">
        <v>0</v>
      </c>
    </row>
    <row r="1093">
      <c r="A1093" s="16">
        <v>1807.0</v>
      </c>
      <c r="B1093" s="16" t="s">
        <v>65</v>
      </c>
      <c r="C1093" s="22">
        <v>46153.0</v>
      </c>
      <c r="D1093" s="16" t="s">
        <v>131</v>
      </c>
      <c r="F1093" s="16" t="s">
        <v>1411</v>
      </c>
      <c r="H1093" s="16" t="s">
        <v>1411</v>
      </c>
      <c r="J1093" s="16" t="s">
        <v>218</v>
      </c>
      <c r="O1093" s="20">
        <v>1033.0</v>
      </c>
      <c r="Q1093" s="16" t="b">
        <v>1</v>
      </c>
      <c r="R1093" s="16" t="b">
        <v>0</v>
      </c>
    </row>
    <row r="1094">
      <c r="A1094" s="16">
        <v>1808.0</v>
      </c>
      <c r="B1094" s="16" t="s">
        <v>65</v>
      </c>
      <c r="C1094" s="22">
        <v>46153.0</v>
      </c>
      <c r="D1094" s="16" t="s">
        <v>131</v>
      </c>
      <c r="F1094" s="16" t="s">
        <v>1421</v>
      </c>
      <c r="H1094" s="16" t="s">
        <v>1421</v>
      </c>
      <c r="J1094" s="16" t="s">
        <v>218</v>
      </c>
      <c r="O1094" s="20">
        <v>396.0</v>
      </c>
      <c r="Q1094" s="16" t="b">
        <v>1</v>
      </c>
      <c r="R1094" s="16" t="b">
        <v>0</v>
      </c>
    </row>
    <row r="1095">
      <c r="A1095" s="16">
        <v>1809.0</v>
      </c>
      <c r="B1095" s="16" t="s">
        <v>65</v>
      </c>
      <c r="C1095" s="22">
        <v>46153.0</v>
      </c>
      <c r="D1095" s="16" t="s">
        <v>1322</v>
      </c>
      <c r="F1095" s="16" t="s">
        <v>6145</v>
      </c>
      <c r="H1095" s="16" t="s">
        <v>6145</v>
      </c>
      <c r="J1095" s="16" t="s">
        <v>218</v>
      </c>
      <c r="O1095" s="20">
        <v>253.0</v>
      </c>
      <c r="Q1095" s="16" t="b">
        <v>1</v>
      </c>
      <c r="R1095" s="16" t="b">
        <v>0</v>
      </c>
    </row>
    <row r="1096">
      <c r="A1096" s="16">
        <v>1813.0</v>
      </c>
      <c r="B1096" s="16" t="s">
        <v>65</v>
      </c>
      <c r="C1096" s="22">
        <v>46161.0</v>
      </c>
      <c r="D1096" s="16" t="s">
        <v>1159</v>
      </c>
      <c r="F1096" s="16" t="s">
        <v>1219</v>
      </c>
      <c r="H1096" s="16" t="s">
        <v>1219</v>
      </c>
      <c r="J1096" s="16" t="s">
        <v>218</v>
      </c>
      <c r="O1096" s="20">
        <v>1010.56</v>
      </c>
      <c r="Q1096" s="16" t="b">
        <v>1</v>
      </c>
      <c r="R1096" s="16" t="b">
        <v>0</v>
      </c>
    </row>
    <row r="1097">
      <c r="A1097" s="16">
        <v>1814.0</v>
      </c>
      <c r="B1097" s="16" t="s">
        <v>65</v>
      </c>
      <c r="C1097" s="22">
        <v>46161.0</v>
      </c>
      <c r="D1097" s="16" t="s">
        <v>1159</v>
      </c>
      <c r="F1097" s="16" t="s">
        <v>1231</v>
      </c>
      <c r="H1097" s="16" t="s">
        <v>1231</v>
      </c>
      <c r="J1097" s="16" t="s">
        <v>218</v>
      </c>
      <c r="O1097" s="20">
        <v>818.71</v>
      </c>
      <c r="Q1097" s="16" t="b">
        <v>1</v>
      </c>
      <c r="R1097" s="16" t="b">
        <v>0</v>
      </c>
    </row>
    <row r="1098">
      <c r="A1098" s="16">
        <v>1815.0</v>
      </c>
      <c r="B1098" s="16" t="s">
        <v>65</v>
      </c>
      <c r="C1098" s="22">
        <v>46161.0</v>
      </c>
      <c r="D1098" s="16" t="s">
        <v>1159</v>
      </c>
      <c r="F1098" s="16" t="s">
        <v>1243</v>
      </c>
      <c r="H1098" s="16" t="s">
        <v>1243</v>
      </c>
      <c r="J1098" s="16" t="s">
        <v>218</v>
      </c>
      <c r="O1098" s="20">
        <v>7255.35</v>
      </c>
      <c r="Q1098" s="16" t="b">
        <v>1</v>
      </c>
      <c r="R1098" s="16" t="b">
        <v>0</v>
      </c>
    </row>
    <row r="1099">
      <c r="A1099" s="16" t="s">
        <v>2455</v>
      </c>
      <c r="B1099" s="16" t="s">
        <v>65</v>
      </c>
      <c r="C1099" s="22">
        <v>46153.0</v>
      </c>
      <c r="D1099" s="16" t="s">
        <v>131</v>
      </c>
      <c r="F1099" s="16" t="s">
        <v>6146</v>
      </c>
      <c r="H1099" s="16" t="s">
        <v>6146</v>
      </c>
      <c r="J1099" s="16" t="s">
        <v>218</v>
      </c>
      <c r="O1099" s="20">
        <v>1.75</v>
      </c>
      <c r="Q1099" s="16" t="b">
        <v>1</v>
      </c>
      <c r="R1099" s="16" t="b">
        <v>0</v>
      </c>
    </row>
    <row r="1100">
      <c r="A1100" s="16" t="s">
        <v>2458</v>
      </c>
      <c r="B1100" s="16" t="s">
        <v>65</v>
      </c>
      <c r="C1100" s="22">
        <v>46153.0</v>
      </c>
      <c r="D1100" s="16" t="s">
        <v>131</v>
      </c>
      <c r="F1100" s="16" t="s">
        <v>6147</v>
      </c>
      <c r="H1100" s="16" t="s">
        <v>6147</v>
      </c>
      <c r="J1100" s="16" t="s">
        <v>218</v>
      </c>
      <c r="O1100" s="20">
        <v>24.11</v>
      </c>
      <c r="Q1100" s="16" t="b">
        <v>1</v>
      </c>
      <c r="R1100" s="16" t="b">
        <v>0</v>
      </c>
    </row>
    <row r="1101">
      <c r="A1101" s="16" t="s">
        <v>2460</v>
      </c>
      <c r="B1101" s="16" t="s">
        <v>65</v>
      </c>
      <c r="C1101" s="22">
        <v>46161.0</v>
      </c>
      <c r="D1101" s="16" t="s">
        <v>6041</v>
      </c>
      <c r="F1101" s="16" t="s">
        <v>52</v>
      </c>
      <c r="H1101" s="16" t="s">
        <v>52</v>
      </c>
      <c r="J1101" s="16" t="s">
        <v>218</v>
      </c>
      <c r="O1101" s="20">
        <v>718.52</v>
      </c>
      <c r="Q1101" s="16" t="b">
        <v>1</v>
      </c>
      <c r="R1101" s="16" t="b">
        <v>0</v>
      </c>
    </row>
    <row r="1102">
      <c r="A1102" s="16" t="s">
        <v>2464</v>
      </c>
      <c r="B1102" s="16" t="s">
        <v>65</v>
      </c>
      <c r="C1102" s="22">
        <v>46154.0</v>
      </c>
      <c r="F1102" s="16" t="s">
        <v>1900</v>
      </c>
      <c r="H1102" s="16" t="s">
        <v>1900</v>
      </c>
      <c r="J1102" s="16" t="s">
        <v>218</v>
      </c>
      <c r="K1102" s="16" t="s">
        <v>6077</v>
      </c>
      <c r="O1102" s="20">
        <v>200.0</v>
      </c>
      <c r="Q1102" s="16" t="b">
        <v>1</v>
      </c>
      <c r="R1102" s="16" t="b">
        <v>0</v>
      </c>
    </row>
    <row r="1103">
      <c r="A1103" s="16" t="s">
        <v>2466</v>
      </c>
      <c r="B1103" s="16" t="s">
        <v>65</v>
      </c>
      <c r="C1103" s="22">
        <v>46167.0</v>
      </c>
      <c r="D1103" s="16" t="s">
        <v>131</v>
      </c>
      <c r="F1103" s="16" t="s">
        <v>6148</v>
      </c>
      <c r="H1103" s="16" t="s">
        <v>6148</v>
      </c>
      <c r="J1103" s="16" t="s">
        <v>218</v>
      </c>
      <c r="O1103" s="20">
        <v>166.87</v>
      </c>
      <c r="Q1103" s="16" t="b">
        <v>1</v>
      </c>
      <c r="R1103" s="16" t="b">
        <v>0</v>
      </c>
    </row>
    <row r="1104">
      <c r="A1104" s="16" t="s">
        <v>2468</v>
      </c>
      <c r="B1104" s="16" t="s">
        <v>65</v>
      </c>
      <c r="C1104" s="22">
        <v>46167.0</v>
      </c>
      <c r="D1104" s="16" t="s">
        <v>131</v>
      </c>
      <c r="F1104" s="16" t="s">
        <v>6149</v>
      </c>
      <c r="H1104" s="16" t="s">
        <v>6149</v>
      </c>
      <c r="J1104" s="16" t="s">
        <v>218</v>
      </c>
      <c r="O1104" s="20">
        <v>60.0</v>
      </c>
      <c r="Q1104" s="16" t="b">
        <v>1</v>
      </c>
      <c r="R1104" s="16" t="b">
        <v>0</v>
      </c>
    </row>
    <row r="1105">
      <c r="A1105" s="16" t="s">
        <v>2470</v>
      </c>
      <c r="B1105" s="16" t="s">
        <v>65</v>
      </c>
      <c r="C1105" s="22">
        <v>46161.0</v>
      </c>
      <c r="D1105" s="16" t="s">
        <v>131</v>
      </c>
      <c r="F1105" s="16" t="s">
        <v>6150</v>
      </c>
      <c r="H1105" s="16" t="s">
        <v>6150</v>
      </c>
      <c r="J1105" s="16" t="s">
        <v>218</v>
      </c>
      <c r="O1105" s="20">
        <v>1851.2</v>
      </c>
      <c r="Q1105" s="16" t="b">
        <v>1</v>
      </c>
      <c r="R1105" s="16" t="b">
        <v>0</v>
      </c>
    </row>
    <row r="1106">
      <c r="A1106" s="16" t="s">
        <v>2474</v>
      </c>
      <c r="B1106" s="16" t="s">
        <v>65</v>
      </c>
      <c r="C1106" s="22">
        <v>46167.0</v>
      </c>
      <c r="D1106" s="16" t="s">
        <v>131</v>
      </c>
      <c r="F1106" s="16" t="s">
        <v>6151</v>
      </c>
      <c r="H1106" s="16" t="s">
        <v>6151</v>
      </c>
      <c r="J1106" s="16" t="s">
        <v>218</v>
      </c>
      <c r="O1106" s="20">
        <v>773.58</v>
      </c>
      <c r="Q1106" s="16" t="b">
        <v>1</v>
      </c>
      <c r="R1106" s="16" t="b">
        <v>0</v>
      </c>
    </row>
    <row r="1107">
      <c r="A1107" s="16">
        <v>1834.0</v>
      </c>
      <c r="B1107" s="16" t="s">
        <v>65</v>
      </c>
      <c r="C1107" s="22">
        <v>46167.0</v>
      </c>
      <c r="D1107" s="16" t="s">
        <v>1322</v>
      </c>
      <c r="F1107" s="22">
        <v>46303.0</v>
      </c>
      <c r="H1107" s="22">
        <v>46303.0</v>
      </c>
      <c r="J1107" s="16" t="s">
        <v>218</v>
      </c>
      <c r="O1107" s="20">
        <v>238.01</v>
      </c>
      <c r="Q1107" s="16" t="b">
        <v>1</v>
      </c>
      <c r="R1107" s="16" t="b">
        <v>0</v>
      </c>
    </row>
    <row r="1108">
      <c r="A1108" s="16" t="s">
        <v>2481</v>
      </c>
      <c r="B1108" s="16" t="s">
        <v>65</v>
      </c>
      <c r="C1108" s="22">
        <v>46167.0</v>
      </c>
      <c r="D1108" s="16" t="s">
        <v>131</v>
      </c>
      <c r="F1108" s="16" t="s">
        <v>6152</v>
      </c>
      <c r="H1108" s="16" t="s">
        <v>6152</v>
      </c>
      <c r="J1108" s="16" t="s">
        <v>218</v>
      </c>
      <c r="O1108" s="20">
        <v>56.0</v>
      </c>
      <c r="Q1108" s="16" t="b">
        <v>1</v>
      </c>
      <c r="R1108" s="16" t="b">
        <v>0</v>
      </c>
    </row>
    <row r="1109">
      <c r="A1109" s="16" t="s">
        <v>2483</v>
      </c>
      <c r="B1109" s="16" t="s">
        <v>65</v>
      </c>
      <c r="C1109" s="22">
        <v>46167.0</v>
      </c>
      <c r="D1109" s="16" t="s">
        <v>131</v>
      </c>
      <c r="F1109" s="16" t="s">
        <v>6153</v>
      </c>
      <c r="H1109" s="16" t="s">
        <v>6153</v>
      </c>
      <c r="J1109" s="16" t="s">
        <v>218</v>
      </c>
      <c r="O1109" s="20">
        <v>24.15</v>
      </c>
      <c r="Q1109" s="16" t="b">
        <v>1</v>
      </c>
      <c r="R1109" s="16" t="b">
        <v>0</v>
      </c>
    </row>
    <row r="1110">
      <c r="A1110" s="16">
        <v>1841.0</v>
      </c>
      <c r="B1110" s="16" t="s">
        <v>65</v>
      </c>
      <c r="C1110" s="22">
        <v>46167.0</v>
      </c>
      <c r="D1110" s="16" t="s">
        <v>1175</v>
      </c>
      <c r="F1110" s="16" t="s">
        <v>1219</v>
      </c>
      <c r="H1110" s="16" t="s">
        <v>1219</v>
      </c>
      <c r="J1110" s="16" t="s">
        <v>218</v>
      </c>
      <c r="O1110" s="20">
        <v>624.0</v>
      </c>
      <c r="Q1110" s="16" t="b">
        <v>1</v>
      </c>
      <c r="R1110" s="16" t="b">
        <v>0</v>
      </c>
    </row>
    <row r="1111">
      <c r="A1111" s="16">
        <v>1842.0</v>
      </c>
      <c r="B1111" s="16" t="s">
        <v>65</v>
      </c>
      <c r="C1111" s="22">
        <v>46171.0</v>
      </c>
      <c r="F1111" s="16" t="s">
        <v>1219</v>
      </c>
      <c r="H1111" s="16" t="s">
        <v>1219</v>
      </c>
      <c r="J1111" s="16" t="s">
        <v>218</v>
      </c>
      <c r="K1111" s="16" t="s">
        <v>132</v>
      </c>
      <c r="O1111" s="20">
        <v>2816.78</v>
      </c>
      <c r="Q1111" s="16" t="b">
        <v>1</v>
      </c>
      <c r="R1111" s="16" t="b">
        <v>0</v>
      </c>
    </row>
    <row r="1112">
      <c r="A1112" s="16">
        <v>1843.0</v>
      </c>
      <c r="B1112" s="16" t="s">
        <v>65</v>
      </c>
      <c r="C1112" s="22">
        <v>46171.0</v>
      </c>
      <c r="F1112" s="16" t="s">
        <v>1219</v>
      </c>
      <c r="H1112" s="16" t="s">
        <v>1219</v>
      </c>
      <c r="J1112" s="16" t="s">
        <v>218</v>
      </c>
      <c r="K1112" s="16" t="s">
        <v>348</v>
      </c>
      <c r="O1112" s="20">
        <v>2009.54</v>
      </c>
      <c r="Q1112" s="16" t="b">
        <v>1</v>
      </c>
      <c r="R1112" s="16" t="b">
        <v>0</v>
      </c>
    </row>
    <row r="1113">
      <c r="A1113" s="16">
        <v>1844.0</v>
      </c>
      <c r="B1113" s="16" t="s">
        <v>65</v>
      </c>
      <c r="C1113" s="22">
        <v>46171.0</v>
      </c>
      <c r="F1113" s="16" t="s">
        <v>1219</v>
      </c>
      <c r="H1113" s="16" t="s">
        <v>1219</v>
      </c>
      <c r="J1113" s="16" t="s">
        <v>218</v>
      </c>
      <c r="K1113" s="20">
        <v>5.7411272E7</v>
      </c>
      <c r="O1113" s="20">
        <v>2177.59</v>
      </c>
      <c r="Q1113" s="16" t="b">
        <v>1</v>
      </c>
      <c r="R1113" s="16" t="b">
        <v>0</v>
      </c>
    </row>
    <row r="1114">
      <c r="A1114" s="16">
        <v>1846.0</v>
      </c>
      <c r="B1114" s="16" t="s">
        <v>65</v>
      </c>
      <c r="C1114" s="22">
        <v>46167.0</v>
      </c>
      <c r="F1114" s="16" t="s">
        <v>6046</v>
      </c>
      <c r="H1114" s="16" t="s">
        <v>6046</v>
      </c>
      <c r="J1114" s="16" t="s">
        <v>218</v>
      </c>
      <c r="K1114" s="16" t="s">
        <v>377</v>
      </c>
      <c r="O1114" s="20">
        <v>32.0</v>
      </c>
      <c r="Q1114" s="16" t="b">
        <v>1</v>
      </c>
      <c r="R1114" s="16" t="b">
        <v>0</v>
      </c>
    </row>
    <row r="1115">
      <c r="A1115" s="16">
        <v>1847.0</v>
      </c>
      <c r="B1115" s="16" t="s">
        <v>65</v>
      </c>
      <c r="C1115" s="22">
        <v>46167.0</v>
      </c>
      <c r="D1115" s="16" t="s">
        <v>1322</v>
      </c>
      <c r="F1115" s="22">
        <v>46296.0</v>
      </c>
      <c r="H1115" s="22">
        <v>46296.0</v>
      </c>
      <c r="J1115" s="16" t="s">
        <v>218</v>
      </c>
      <c r="O1115" s="20">
        <v>981.0</v>
      </c>
      <c r="Q1115" s="16" t="b">
        <v>1</v>
      </c>
      <c r="R1115" s="16" t="b">
        <v>0</v>
      </c>
    </row>
    <row r="1116">
      <c r="A1116" s="16" t="s">
        <v>2497</v>
      </c>
      <c r="B1116" s="16" t="s">
        <v>65</v>
      </c>
      <c r="C1116" s="22">
        <v>46175.0</v>
      </c>
      <c r="D1116" s="16" t="s">
        <v>131</v>
      </c>
      <c r="F1116" s="16" t="s">
        <v>6154</v>
      </c>
      <c r="H1116" s="16" t="s">
        <v>6154</v>
      </c>
      <c r="J1116" s="16" t="s">
        <v>218</v>
      </c>
      <c r="O1116" s="20">
        <v>351.0</v>
      </c>
      <c r="Q1116" s="16" t="b">
        <v>1</v>
      </c>
      <c r="R1116" s="16" t="b">
        <v>0</v>
      </c>
    </row>
    <row r="1117">
      <c r="A1117" s="16" t="s">
        <v>2500</v>
      </c>
      <c r="B1117" s="16" t="s">
        <v>65</v>
      </c>
      <c r="C1117" s="22">
        <v>46167.0</v>
      </c>
      <c r="D1117" s="16" t="s">
        <v>131</v>
      </c>
      <c r="F1117" s="16" t="s">
        <v>6155</v>
      </c>
      <c r="H1117" s="16" t="s">
        <v>6155</v>
      </c>
      <c r="J1117" s="16" t="s">
        <v>218</v>
      </c>
      <c r="O1117" s="20">
        <v>3600.06</v>
      </c>
      <c r="Q1117" s="16" t="b">
        <v>1</v>
      </c>
      <c r="R1117" s="16" t="b">
        <v>0</v>
      </c>
    </row>
    <row r="1118">
      <c r="A1118" s="16">
        <v>1852.0</v>
      </c>
      <c r="B1118" s="16" t="s">
        <v>65</v>
      </c>
      <c r="C1118" s="22">
        <v>46175.0</v>
      </c>
      <c r="D1118" s="16" t="s">
        <v>398</v>
      </c>
      <c r="F1118" s="16" t="s">
        <v>1219</v>
      </c>
      <c r="H1118" s="16" t="s">
        <v>1219</v>
      </c>
      <c r="J1118" s="16" t="s">
        <v>218</v>
      </c>
      <c r="O1118" s="20">
        <v>7000.0</v>
      </c>
      <c r="Q1118" s="16" t="b">
        <v>1</v>
      </c>
      <c r="R1118" s="16" t="b">
        <v>0</v>
      </c>
    </row>
    <row r="1119">
      <c r="A1119" s="16">
        <v>1857.0</v>
      </c>
      <c r="B1119" s="16" t="s">
        <v>65</v>
      </c>
      <c r="C1119" s="22">
        <v>46182.0</v>
      </c>
      <c r="D1119" s="16" t="s">
        <v>1159</v>
      </c>
      <c r="F1119" s="16" t="s">
        <v>1383</v>
      </c>
      <c r="H1119" s="16" t="s">
        <v>1383</v>
      </c>
      <c r="J1119" s="16" t="s">
        <v>218</v>
      </c>
      <c r="O1119" s="20">
        <v>533.95</v>
      </c>
      <c r="Q1119" s="16" t="b">
        <v>1</v>
      </c>
      <c r="R1119" s="16" t="b">
        <v>0</v>
      </c>
    </row>
    <row r="1120">
      <c r="A1120" s="16">
        <v>1858.0</v>
      </c>
      <c r="B1120" s="16" t="s">
        <v>65</v>
      </c>
      <c r="C1120" s="22">
        <v>46182.0</v>
      </c>
      <c r="D1120" s="16" t="s">
        <v>1664</v>
      </c>
      <c r="F1120" s="16" t="s">
        <v>1389</v>
      </c>
      <c r="H1120" s="16" t="s">
        <v>1389</v>
      </c>
      <c r="J1120" s="16" t="s">
        <v>218</v>
      </c>
      <c r="O1120" s="20">
        <v>179.9</v>
      </c>
      <c r="Q1120" s="16" t="b">
        <v>1</v>
      </c>
      <c r="R1120" s="16" t="b">
        <v>0</v>
      </c>
    </row>
    <row r="1121">
      <c r="A1121" s="16">
        <v>1860.0</v>
      </c>
      <c r="B1121" s="16" t="s">
        <v>65</v>
      </c>
      <c r="C1121" s="22">
        <v>46182.0</v>
      </c>
      <c r="D1121" s="16" t="s">
        <v>342</v>
      </c>
      <c r="F1121" s="16" t="s">
        <v>1219</v>
      </c>
      <c r="H1121" s="16" t="s">
        <v>1219</v>
      </c>
      <c r="J1121" s="16" t="s">
        <v>218</v>
      </c>
      <c r="O1121" s="20">
        <v>1834.94</v>
      </c>
      <c r="Q1121" s="16" t="b">
        <v>1</v>
      </c>
      <c r="R1121" s="16" t="b">
        <v>0</v>
      </c>
    </row>
    <row r="1122">
      <c r="A1122" s="16" t="s">
        <v>2509</v>
      </c>
      <c r="B1122" s="16" t="s">
        <v>65</v>
      </c>
      <c r="C1122" s="22">
        <v>46175.0</v>
      </c>
      <c r="F1122" s="16" t="s">
        <v>6156</v>
      </c>
      <c r="H1122" s="16" t="s">
        <v>6156</v>
      </c>
      <c r="J1122" s="16" t="s">
        <v>218</v>
      </c>
      <c r="K1122" s="16" t="s">
        <v>6077</v>
      </c>
      <c r="O1122" s="20">
        <v>669.41</v>
      </c>
      <c r="Q1122" s="16" t="b">
        <v>1</v>
      </c>
      <c r="R1122" s="16" t="b">
        <v>0</v>
      </c>
    </row>
    <row r="1123">
      <c r="A1123" s="16" t="s">
        <v>2512</v>
      </c>
      <c r="B1123" s="16" t="s">
        <v>65</v>
      </c>
      <c r="C1123" s="22">
        <v>46175.0</v>
      </c>
      <c r="F1123" s="16" t="s">
        <v>6157</v>
      </c>
      <c r="H1123" s="16" t="s">
        <v>6157</v>
      </c>
      <c r="J1123" s="16" t="s">
        <v>218</v>
      </c>
      <c r="K1123" s="16" t="s">
        <v>6077</v>
      </c>
      <c r="O1123" s="20">
        <v>3295.41</v>
      </c>
      <c r="Q1123" s="16" t="b">
        <v>1</v>
      </c>
      <c r="R1123" s="16" t="b">
        <v>0</v>
      </c>
    </row>
    <row r="1124">
      <c r="A1124" s="16">
        <v>1864.0</v>
      </c>
      <c r="B1124" s="16" t="s">
        <v>65</v>
      </c>
      <c r="C1124" s="22">
        <v>46188.0</v>
      </c>
      <c r="D1124" s="16" t="s">
        <v>131</v>
      </c>
      <c r="F1124" s="16" t="s">
        <v>1404</v>
      </c>
      <c r="H1124" s="16" t="s">
        <v>1404</v>
      </c>
      <c r="J1124" s="16" t="s">
        <v>218</v>
      </c>
      <c r="O1124" s="20">
        <v>1110.0</v>
      </c>
      <c r="Q1124" s="16" t="b">
        <v>1</v>
      </c>
      <c r="R1124" s="16" t="b">
        <v>0</v>
      </c>
    </row>
    <row r="1125">
      <c r="A1125" s="16">
        <v>1865.0</v>
      </c>
      <c r="B1125" s="16" t="s">
        <v>65</v>
      </c>
      <c r="C1125" s="22">
        <v>46188.0</v>
      </c>
      <c r="D1125" s="16" t="s">
        <v>131</v>
      </c>
      <c r="F1125" s="16" t="s">
        <v>1411</v>
      </c>
      <c r="H1125" s="16" t="s">
        <v>1411</v>
      </c>
      <c r="J1125" s="16" t="s">
        <v>218</v>
      </c>
      <c r="O1125" s="20">
        <v>1110.0</v>
      </c>
      <c r="Q1125" s="16" t="b">
        <v>1</v>
      </c>
      <c r="R1125" s="16" t="b">
        <v>0</v>
      </c>
    </row>
    <row r="1126">
      <c r="A1126" s="16">
        <v>1866.0</v>
      </c>
      <c r="B1126" s="16" t="s">
        <v>65</v>
      </c>
      <c r="C1126" s="22">
        <v>46188.0</v>
      </c>
      <c r="D1126" s="16" t="s">
        <v>131</v>
      </c>
      <c r="F1126" s="16" t="s">
        <v>1421</v>
      </c>
      <c r="H1126" s="16" t="s">
        <v>1421</v>
      </c>
      <c r="J1126" s="16" t="s">
        <v>218</v>
      </c>
      <c r="O1126" s="20">
        <v>396.0</v>
      </c>
      <c r="Q1126" s="16" t="b">
        <v>1</v>
      </c>
      <c r="R1126" s="16" t="b">
        <v>0</v>
      </c>
    </row>
    <row r="1127">
      <c r="A1127" s="16">
        <v>1867.0</v>
      </c>
      <c r="B1127" s="16" t="s">
        <v>65</v>
      </c>
      <c r="C1127" s="22">
        <v>46182.0</v>
      </c>
      <c r="D1127" s="16" t="s">
        <v>1322</v>
      </c>
      <c r="F1127" s="16" t="s">
        <v>6158</v>
      </c>
      <c r="H1127" s="16" t="s">
        <v>6158</v>
      </c>
      <c r="J1127" s="16" t="s">
        <v>218</v>
      </c>
      <c r="O1127" s="20">
        <v>253.0</v>
      </c>
      <c r="Q1127" s="16" t="b">
        <v>1</v>
      </c>
      <c r="R1127" s="16" t="b">
        <v>0</v>
      </c>
    </row>
    <row r="1128">
      <c r="A1128" s="16">
        <v>1868.0</v>
      </c>
      <c r="B1128" s="16" t="s">
        <v>65</v>
      </c>
      <c r="C1128" s="22">
        <v>46189.0</v>
      </c>
      <c r="D1128" s="16" t="s">
        <v>1159</v>
      </c>
      <c r="F1128" s="16" t="s">
        <v>1219</v>
      </c>
      <c r="H1128" s="16" t="s">
        <v>1219</v>
      </c>
      <c r="J1128" s="16" t="s">
        <v>218</v>
      </c>
      <c r="O1128" s="20">
        <v>981.06</v>
      </c>
      <c r="Q1128" s="16" t="b">
        <v>1</v>
      </c>
      <c r="R1128" s="16" t="b">
        <v>0</v>
      </c>
    </row>
    <row r="1129">
      <c r="A1129" s="16" t="s">
        <v>2525</v>
      </c>
      <c r="B1129" s="16" t="s">
        <v>65</v>
      </c>
      <c r="C1129" s="22">
        <v>46182.0</v>
      </c>
      <c r="D1129" s="16" t="s">
        <v>1304</v>
      </c>
      <c r="F1129" s="16" t="s">
        <v>6159</v>
      </c>
      <c r="H1129" s="16" t="s">
        <v>6159</v>
      </c>
      <c r="J1129" s="16" t="s">
        <v>218</v>
      </c>
      <c r="O1129" s="20">
        <v>3365.41</v>
      </c>
      <c r="Q1129" s="16" t="b">
        <v>1</v>
      </c>
      <c r="R1129" s="16" t="b">
        <v>0</v>
      </c>
    </row>
    <row r="1130">
      <c r="A1130" s="16">
        <v>1872.0</v>
      </c>
      <c r="B1130" s="16" t="s">
        <v>65</v>
      </c>
      <c r="C1130" s="22">
        <v>46189.0</v>
      </c>
      <c r="D1130" s="16" t="s">
        <v>1159</v>
      </c>
      <c r="F1130" s="16" t="s">
        <v>1231</v>
      </c>
      <c r="H1130" s="16" t="s">
        <v>1231</v>
      </c>
      <c r="J1130" s="16" t="s">
        <v>218</v>
      </c>
      <c r="O1130" s="20">
        <v>608.41</v>
      </c>
      <c r="Q1130" s="16" t="b">
        <v>1</v>
      </c>
      <c r="R1130" s="16" t="b">
        <v>0</v>
      </c>
    </row>
    <row r="1131">
      <c r="A1131" s="16">
        <v>1873.0</v>
      </c>
      <c r="B1131" s="16" t="s">
        <v>65</v>
      </c>
      <c r="C1131" s="22">
        <v>46195.0</v>
      </c>
      <c r="D1131" s="16" t="s">
        <v>1159</v>
      </c>
      <c r="F1131" s="16" t="s">
        <v>1243</v>
      </c>
      <c r="H1131" s="16" t="s">
        <v>1243</v>
      </c>
      <c r="J1131" s="16" t="s">
        <v>218</v>
      </c>
      <c r="O1131" s="20">
        <v>5417.45</v>
      </c>
      <c r="Q1131" s="16" t="b">
        <v>1</v>
      </c>
      <c r="R1131" s="16" t="b">
        <v>0</v>
      </c>
    </row>
    <row r="1132">
      <c r="A1132" s="16" t="s">
        <v>2534</v>
      </c>
      <c r="B1132" s="16" t="s">
        <v>65</v>
      </c>
      <c r="C1132" s="22">
        <v>46195.0</v>
      </c>
      <c r="D1132" s="16" t="s">
        <v>131</v>
      </c>
      <c r="F1132" s="16" t="s">
        <v>6160</v>
      </c>
      <c r="H1132" s="16" t="s">
        <v>6160</v>
      </c>
      <c r="J1132" s="16" t="s">
        <v>218</v>
      </c>
      <c r="O1132" s="20">
        <v>1305.8</v>
      </c>
      <c r="Q1132" s="16" t="b">
        <v>1</v>
      </c>
      <c r="R1132" s="16" t="b">
        <v>0</v>
      </c>
    </row>
    <row r="1133">
      <c r="A1133" s="16" t="s">
        <v>2537</v>
      </c>
      <c r="B1133" s="16" t="s">
        <v>65</v>
      </c>
      <c r="C1133" s="22">
        <v>46189.0</v>
      </c>
      <c r="D1133" s="16" t="s">
        <v>131</v>
      </c>
      <c r="F1133" s="16" t="s">
        <v>6161</v>
      </c>
      <c r="H1133" s="16" t="s">
        <v>6161</v>
      </c>
      <c r="J1133" s="16" t="s">
        <v>218</v>
      </c>
      <c r="O1133" s="20">
        <v>323.37</v>
      </c>
      <c r="Q1133" s="16" t="b">
        <v>1</v>
      </c>
      <c r="R1133" s="16" t="b">
        <v>0</v>
      </c>
    </row>
    <row r="1134">
      <c r="A1134" s="16" t="s">
        <v>2540</v>
      </c>
      <c r="B1134" s="16" t="s">
        <v>65</v>
      </c>
      <c r="C1134" s="22">
        <v>46196.0</v>
      </c>
      <c r="D1134" s="16" t="s">
        <v>1304</v>
      </c>
      <c r="F1134" s="16" t="s">
        <v>6162</v>
      </c>
      <c r="H1134" s="16" t="s">
        <v>6162</v>
      </c>
      <c r="J1134" s="16" t="s">
        <v>218</v>
      </c>
      <c r="O1134" s="20">
        <v>1278.91</v>
      </c>
      <c r="Q1134" s="16" t="b">
        <v>1</v>
      </c>
      <c r="R1134" s="16" t="b">
        <v>0</v>
      </c>
    </row>
    <row r="1135">
      <c r="A1135" s="16">
        <v>1882.0</v>
      </c>
      <c r="B1135" s="16" t="s">
        <v>65</v>
      </c>
      <c r="C1135" s="22">
        <v>46196.0</v>
      </c>
      <c r="D1135" s="16" t="s">
        <v>1322</v>
      </c>
      <c r="F1135" s="22">
        <v>46304.0</v>
      </c>
      <c r="H1135" s="22">
        <v>46304.0</v>
      </c>
      <c r="J1135" s="16" t="s">
        <v>218</v>
      </c>
      <c r="O1135" s="20">
        <v>238.01</v>
      </c>
      <c r="Q1135" s="16" t="b">
        <v>1</v>
      </c>
      <c r="R1135" s="16" t="b">
        <v>0</v>
      </c>
    </row>
    <row r="1136">
      <c r="A1136" s="16" t="s">
        <v>2545</v>
      </c>
      <c r="B1136" s="16" t="s">
        <v>65</v>
      </c>
      <c r="C1136" s="22">
        <v>46195.0</v>
      </c>
      <c r="D1136" s="16" t="s">
        <v>1322</v>
      </c>
      <c r="F1136" s="16" t="s">
        <v>6163</v>
      </c>
      <c r="H1136" s="16" t="s">
        <v>6163</v>
      </c>
      <c r="J1136" s="16" t="s">
        <v>218</v>
      </c>
      <c r="O1136" s="20">
        <v>77.76</v>
      </c>
      <c r="Q1136" s="16" t="b">
        <v>1</v>
      </c>
      <c r="R1136" s="16" t="b">
        <v>0</v>
      </c>
    </row>
    <row r="1137">
      <c r="A1137" s="16">
        <v>1886.0</v>
      </c>
      <c r="B1137" s="16" t="s">
        <v>65</v>
      </c>
      <c r="C1137" s="22">
        <v>46203.83333333333</v>
      </c>
      <c r="D1137" s="16" t="s">
        <v>1175</v>
      </c>
      <c r="F1137" s="16" t="s">
        <v>1219</v>
      </c>
      <c r="H1137" s="16" t="s">
        <v>1219</v>
      </c>
      <c r="J1137" s="16" t="s">
        <v>218</v>
      </c>
      <c r="O1137" s="20">
        <v>624.0</v>
      </c>
      <c r="Q1137" s="16" t="b">
        <v>1</v>
      </c>
      <c r="R1137" s="16" t="b">
        <v>0</v>
      </c>
    </row>
    <row r="1138">
      <c r="A1138" s="16">
        <v>1887.0</v>
      </c>
      <c r="B1138" s="16" t="s">
        <v>65</v>
      </c>
      <c r="C1138" s="22">
        <v>46203.83333333333</v>
      </c>
      <c r="F1138" s="16" t="s">
        <v>1219</v>
      </c>
      <c r="H1138" s="16" t="s">
        <v>1219</v>
      </c>
      <c r="J1138" s="16" t="s">
        <v>218</v>
      </c>
      <c r="K1138" s="16" t="s">
        <v>132</v>
      </c>
      <c r="O1138" s="20">
        <v>0.01</v>
      </c>
      <c r="Q1138" s="16" t="b">
        <v>1</v>
      </c>
      <c r="R1138" s="16" t="b">
        <v>0</v>
      </c>
    </row>
    <row r="1139">
      <c r="A1139" s="16">
        <v>1888.0</v>
      </c>
      <c r="B1139" s="16" t="s">
        <v>65</v>
      </c>
      <c r="C1139" s="22">
        <v>46203.83333333333</v>
      </c>
      <c r="F1139" s="16" t="s">
        <v>1219</v>
      </c>
      <c r="H1139" s="16" t="s">
        <v>1219</v>
      </c>
      <c r="J1139" s="16" t="s">
        <v>218</v>
      </c>
      <c r="K1139" s="16" t="s">
        <v>348</v>
      </c>
      <c r="O1139" s="20">
        <v>1.0</v>
      </c>
      <c r="Q1139" s="16" t="b">
        <v>1</v>
      </c>
      <c r="R1139" s="16" t="b">
        <v>0</v>
      </c>
    </row>
    <row r="1140">
      <c r="A1140" s="16">
        <v>1889.0</v>
      </c>
      <c r="B1140" s="16" t="s">
        <v>65</v>
      </c>
      <c r="C1140" s="22">
        <v>46203.83333333333</v>
      </c>
      <c r="F1140" s="16" t="s">
        <v>1219</v>
      </c>
      <c r="H1140" s="16" t="s">
        <v>1219</v>
      </c>
      <c r="J1140" s="16" t="s">
        <v>218</v>
      </c>
      <c r="K1140" s="20">
        <v>5.7411272E7</v>
      </c>
      <c r="O1140" s="20">
        <v>1.0</v>
      </c>
      <c r="Q1140" s="16" t="b">
        <v>1</v>
      </c>
      <c r="R1140" s="16" t="b">
        <v>0</v>
      </c>
    </row>
    <row r="1141">
      <c r="A1141" s="16">
        <v>1890.0</v>
      </c>
      <c r="B1141" s="16" t="s">
        <v>65</v>
      </c>
      <c r="C1141" s="22">
        <v>46203.83333333333</v>
      </c>
      <c r="F1141" s="16" t="s">
        <v>1219</v>
      </c>
      <c r="H1141" s="16" t="s">
        <v>1219</v>
      </c>
      <c r="J1141" s="16" t="s">
        <v>218</v>
      </c>
      <c r="K1141" s="16" t="s">
        <v>754</v>
      </c>
      <c r="O1141" s="20">
        <v>1.0</v>
      </c>
      <c r="Q1141" s="16" t="b">
        <v>1</v>
      </c>
      <c r="R1141" s="16" t="b">
        <v>0</v>
      </c>
    </row>
    <row r="1142">
      <c r="A1142" s="16">
        <v>1891.0</v>
      </c>
      <c r="B1142" s="16" t="s">
        <v>65</v>
      </c>
      <c r="C1142" s="22">
        <v>46203.83333333333</v>
      </c>
      <c r="F1142" s="16" t="s">
        <v>6046</v>
      </c>
      <c r="H1142" s="16" t="s">
        <v>6046</v>
      </c>
      <c r="J1142" s="16" t="s">
        <v>218</v>
      </c>
      <c r="K1142" s="16" t="s">
        <v>377</v>
      </c>
      <c r="O1142" s="20">
        <v>32.0</v>
      </c>
      <c r="Q1142" s="16" t="b">
        <v>1</v>
      </c>
      <c r="R1142" s="16" t="b">
        <v>0</v>
      </c>
    </row>
    <row r="1143">
      <c r="A1143" s="16">
        <v>1892.0</v>
      </c>
      <c r="B1143" s="16" t="s">
        <v>65</v>
      </c>
      <c r="C1143" s="22">
        <v>46203.83333333333</v>
      </c>
      <c r="D1143" s="16" t="s">
        <v>1322</v>
      </c>
      <c r="F1143" s="22">
        <v>46297.0</v>
      </c>
      <c r="H1143" s="22">
        <v>46297.0</v>
      </c>
      <c r="J1143" s="16" t="s">
        <v>218</v>
      </c>
      <c r="O1143" s="20">
        <v>981.0</v>
      </c>
      <c r="Q1143" s="16" t="b">
        <v>1</v>
      </c>
      <c r="R1143" s="16" t="b">
        <v>0</v>
      </c>
    </row>
    <row r="1144">
      <c r="A1144" s="16" t="s">
        <v>2564</v>
      </c>
      <c r="B1144" s="16" t="s">
        <v>65</v>
      </c>
      <c r="C1144" s="22">
        <v>46196.0</v>
      </c>
      <c r="D1144" s="16" t="s">
        <v>6041</v>
      </c>
      <c r="F1144" s="16" t="s">
        <v>52</v>
      </c>
      <c r="H1144" s="16" t="s">
        <v>52</v>
      </c>
      <c r="J1144" s="16" t="s">
        <v>218</v>
      </c>
      <c r="O1144" s="20">
        <v>855.81</v>
      </c>
      <c r="Q1144" s="16" t="b">
        <v>1</v>
      </c>
      <c r="R1144" s="16" t="b">
        <v>0</v>
      </c>
    </row>
    <row r="1145">
      <c r="A1145" s="16">
        <v>1894.0</v>
      </c>
      <c r="B1145" s="16" t="s">
        <v>65</v>
      </c>
      <c r="C1145" s="22">
        <v>46207.83333333333</v>
      </c>
      <c r="D1145" s="16" t="s">
        <v>398</v>
      </c>
      <c r="F1145" s="16" t="s">
        <v>1219</v>
      </c>
      <c r="H1145" s="16" t="s">
        <v>1219</v>
      </c>
      <c r="J1145" s="16" t="s">
        <v>218</v>
      </c>
      <c r="O1145" s="20">
        <v>7000.0</v>
      </c>
      <c r="Q1145" s="16" t="b">
        <v>1</v>
      </c>
      <c r="R1145" s="16" t="b">
        <v>0</v>
      </c>
    </row>
    <row r="1146">
      <c r="A1146" s="16" t="s">
        <v>3383</v>
      </c>
      <c r="B1146" s="16" t="s">
        <v>65</v>
      </c>
      <c r="C1146" s="22">
        <v>46044.0</v>
      </c>
      <c r="D1146" s="16" t="s">
        <v>1888</v>
      </c>
      <c r="E1146" s="16" t="s">
        <v>6164</v>
      </c>
      <c r="F1146" s="16"/>
      <c r="G1146" s="16" t="s">
        <v>6165</v>
      </c>
      <c r="H1146" s="16" t="s">
        <v>6166</v>
      </c>
      <c r="I1146" s="16" t="b">
        <v>0</v>
      </c>
      <c r="J1146" s="16" t="s">
        <v>382</v>
      </c>
      <c r="O1146" s="16">
        <v>11.88</v>
      </c>
      <c r="Q1146" s="16" t="b">
        <v>1</v>
      </c>
      <c r="R1146" s="16"/>
    </row>
    <row r="1147">
      <c r="A1147" s="16" t="s">
        <v>4592</v>
      </c>
      <c r="B1147" s="16" t="s">
        <v>65</v>
      </c>
      <c r="C1147" s="22">
        <v>46189.0</v>
      </c>
      <c r="D1147" s="16" t="s">
        <v>131</v>
      </c>
      <c r="E1147" s="16" t="s">
        <v>6167</v>
      </c>
      <c r="F1147" s="16"/>
      <c r="G1147" s="16" t="s">
        <v>6168</v>
      </c>
      <c r="H1147" s="16" t="s">
        <v>6169</v>
      </c>
      <c r="I1147" s="16" t="b">
        <v>0</v>
      </c>
      <c r="J1147" s="16" t="s">
        <v>382</v>
      </c>
      <c r="L1147" s="16" t="s">
        <v>6170</v>
      </c>
      <c r="M1147" s="16" t="s">
        <v>6171</v>
      </c>
      <c r="N1147" s="16" t="s">
        <v>6172</v>
      </c>
      <c r="O1147" s="16">
        <v>446.25</v>
      </c>
      <c r="Q1147" s="16" t="b">
        <v>1</v>
      </c>
      <c r="R1147" s="16"/>
    </row>
    <row r="1148">
      <c r="A1148" s="16" t="s">
        <v>4616</v>
      </c>
      <c r="B1148" s="16" t="s">
        <v>65</v>
      </c>
      <c r="C1148" s="22">
        <v>46198.0</v>
      </c>
      <c r="D1148" s="16" t="s">
        <v>246</v>
      </c>
      <c r="E1148" s="16" t="s">
        <v>6173</v>
      </c>
      <c r="F1148" s="16"/>
      <c r="G1148" s="16" t="s">
        <v>6174</v>
      </c>
      <c r="H1148" s="16" t="s">
        <v>6175</v>
      </c>
      <c r="I1148" s="16" t="b">
        <v>0</v>
      </c>
      <c r="J1148" s="16" t="s">
        <v>382</v>
      </c>
      <c r="L1148" s="16" t="s">
        <v>6176</v>
      </c>
      <c r="M1148" s="16" t="s">
        <v>6177</v>
      </c>
      <c r="N1148" s="16" t="s">
        <v>6178</v>
      </c>
      <c r="O1148" s="16">
        <v>141.0</v>
      </c>
      <c r="Q1148" s="16" t="b">
        <v>1</v>
      </c>
      <c r="R1148" s="16"/>
      <c r="S1148" s="16">
        <v>2.88</v>
      </c>
    </row>
    <row r="1149">
      <c r="A1149" s="16" t="s">
        <v>4603</v>
      </c>
      <c r="B1149" s="16" t="s">
        <v>65</v>
      </c>
      <c r="C1149" s="22">
        <v>46196.0</v>
      </c>
      <c r="D1149" s="16" t="s">
        <v>1888</v>
      </c>
      <c r="E1149" s="16" t="s">
        <v>6179</v>
      </c>
      <c r="F1149" s="16"/>
      <c r="G1149" s="16" t="s">
        <v>6180</v>
      </c>
      <c r="H1149" s="16" t="s">
        <v>6181</v>
      </c>
      <c r="I1149" s="16" t="b">
        <v>0</v>
      </c>
      <c r="J1149" s="16" t="s">
        <v>382</v>
      </c>
      <c r="L1149" s="16" t="s">
        <v>6182</v>
      </c>
      <c r="M1149" s="16" t="s">
        <v>6183</v>
      </c>
      <c r="N1149" s="16" t="s">
        <v>6184</v>
      </c>
      <c r="O1149" s="16">
        <v>220.14</v>
      </c>
      <c r="Q1149" s="16" t="b">
        <v>1</v>
      </c>
      <c r="R1149" s="16"/>
    </row>
    <row r="1150">
      <c r="A1150" s="16" t="s">
        <v>4609</v>
      </c>
      <c r="B1150" s="16" t="s">
        <v>65</v>
      </c>
      <c r="C1150" s="22">
        <v>46196.0</v>
      </c>
      <c r="D1150" s="16" t="s">
        <v>1888</v>
      </c>
      <c r="E1150" s="16" t="s">
        <v>6185</v>
      </c>
      <c r="F1150" s="16"/>
      <c r="G1150" s="16" t="s">
        <v>6186</v>
      </c>
      <c r="H1150" s="16" t="s">
        <v>149</v>
      </c>
      <c r="I1150" s="16" t="b">
        <v>0</v>
      </c>
      <c r="J1150" s="16" t="s">
        <v>382</v>
      </c>
      <c r="L1150" s="16" t="s">
        <v>6187</v>
      </c>
      <c r="M1150" s="16" t="s">
        <v>6188</v>
      </c>
      <c r="N1150" s="16" t="s">
        <v>6189</v>
      </c>
      <c r="O1150" s="16">
        <v>242.1</v>
      </c>
      <c r="Q1150" s="16" t="b">
        <v>1</v>
      </c>
      <c r="R1150" s="16"/>
    </row>
    <row r="1151">
      <c r="A1151" s="16" t="s">
        <v>702</v>
      </c>
      <c r="B1151" s="16" t="s">
        <v>65</v>
      </c>
      <c r="C1151" s="22">
        <v>46199.0</v>
      </c>
      <c r="D1151" s="16" t="s">
        <v>163</v>
      </c>
      <c r="E1151" s="16" t="s">
        <v>6190</v>
      </c>
      <c r="F1151" s="16"/>
      <c r="G1151" s="16" t="s">
        <v>6191</v>
      </c>
      <c r="H1151" s="16" t="s">
        <v>529</v>
      </c>
      <c r="I1151" s="16" t="b">
        <v>1</v>
      </c>
      <c r="J1151" s="16" t="s">
        <v>382</v>
      </c>
      <c r="L1151" s="16"/>
      <c r="M1151" s="16"/>
      <c r="N1151" s="16"/>
      <c r="O1151" s="16">
        <v>23.47</v>
      </c>
      <c r="P1151" s="23" t="s">
        <v>6192</v>
      </c>
      <c r="Q1151" s="16" t="b">
        <v>1</v>
      </c>
      <c r="R1151" s="16"/>
    </row>
    <row r="1152">
      <c r="A1152" s="16" t="s">
        <v>4618</v>
      </c>
      <c r="B1152" s="16" t="s">
        <v>65</v>
      </c>
      <c r="C1152" s="22">
        <v>46195.0</v>
      </c>
      <c r="D1152" s="23" t="s">
        <v>6193</v>
      </c>
      <c r="E1152" s="16" t="s">
        <v>6194</v>
      </c>
      <c r="F1152" s="16"/>
      <c r="G1152" s="16" t="s">
        <v>6195</v>
      </c>
      <c r="H1152" s="16" t="s">
        <v>1010</v>
      </c>
      <c r="I1152" s="16" t="b">
        <v>1</v>
      </c>
      <c r="J1152" s="16" t="s">
        <v>382</v>
      </c>
      <c r="L1152" s="16"/>
      <c r="M1152" s="16"/>
      <c r="N1152" s="16"/>
      <c r="O1152" s="16">
        <v>121.61</v>
      </c>
      <c r="P1152" s="23" t="s">
        <v>6196</v>
      </c>
      <c r="Q1152" s="16" t="b">
        <v>1</v>
      </c>
      <c r="R1152" s="16"/>
    </row>
    <row r="1153">
      <c r="A1153" s="16" t="s">
        <v>4635</v>
      </c>
      <c r="B1153" s="16" t="s">
        <v>65</v>
      </c>
      <c r="C1153" s="22">
        <v>46198.0</v>
      </c>
      <c r="D1153" s="16" t="s">
        <v>983</v>
      </c>
      <c r="E1153" s="16" t="s">
        <v>6197</v>
      </c>
      <c r="F1153" s="16"/>
      <c r="G1153" s="16" t="s">
        <v>6198</v>
      </c>
      <c r="H1153" s="16" t="s">
        <v>5043</v>
      </c>
      <c r="I1153" s="16" t="b">
        <v>1</v>
      </c>
      <c r="J1153" s="16" t="s">
        <v>382</v>
      </c>
      <c r="L1153" s="16"/>
      <c r="M1153" s="16"/>
      <c r="N1153" s="16"/>
      <c r="O1153" s="16">
        <v>7.0</v>
      </c>
      <c r="P1153" s="23" t="s">
        <v>6199</v>
      </c>
      <c r="Q1153" s="16" t="b">
        <v>1</v>
      </c>
      <c r="R1153" s="16"/>
    </row>
    <row r="1154">
      <c r="A1154" s="16" t="s">
        <v>4637</v>
      </c>
      <c r="B1154" s="16" t="s">
        <v>65</v>
      </c>
      <c r="C1154" s="22">
        <v>46198.0</v>
      </c>
      <c r="D1154" s="16" t="s">
        <v>1435</v>
      </c>
      <c r="E1154" s="16" t="s">
        <v>6200</v>
      </c>
      <c r="F1154" s="16"/>
      <c r="G1154" s="16" t="s">
        <v>6201</v>
      </c>
      <c r="H1154" s="16" t="s">
        <v>157</v>
      </c>
      <c r="I1154" s="16" t="b">
        <v>1</v>
      </c>
      <c r="J1154" s="16" t="s">
        <v>382</v>
      </c>
      <c r="L1154" s="16"/>
      <c r="M1154" s="16"/>
      <c r="N1154" s="16"/>
      <c r="O1154" s="16">
        <v>11.02</v>
      </c>
      <c r="P1154" s="23" t="s">
        <v>6202</v>
      </c>
      <c r="Q1154" s="16" t="b">
        <v>1</v>
      </c>
      <c r="R1154" s="16"/>
    </row>
    <row r="1155">
      <c r="A1155" s="16" t="s">
        <v>4643</v>
      </c>
      <c r="B1155" s="16" t="s">
        <v>65</v>
      </c>
      <c r="C1155" s="22">
        <v>46198.0</v>
      </c>
      <c r="D1155" s="16" t="s">
        <v>557</v>
      </c>
      <c r="E1155" s="16" t="s">
        <v>6203</v>
      </c>
      <c r="F1155" s="16"/>
      <c r="G1155" s="16" t="s">
        <v>6204</v>
      </c>
      <c r="H1155" s="16" t="s">
        <v>4970</v>
      </c>
      <c r="I1155" s="16" t="b">
        <v>1</v>
      </c>
      <c r="J1155" s="16" t="s">
        <v>382</v>
      </c>
      <c r="L1155" s="16"/>
      <c r="M1155" s="16"/>
      <c r="N1155" s="16"/>
      <c r="O1155" s="16">
        <v>21.98</v>
      </c>
      <c r="P1155" s="23" t="s">
        <v>6205</v>
      </c>
      <c r="Q1155" s="16" t="b">
        <v>1</v>
      </c>
      <c r="R1155" s="16"/>
    </row>
    <row r="1156">
      <c r="A1156" s="16" t="s">
        <v>4631</v>
      </c>
      <c r="B1156" s="16" t="s">
        <v>65</v>
      </c>
      <c r="C1156" s="22">
        <v>46197.0</v>
      </c>
      <c r="D1156" s="16" t="s">
        <v>5445</v>
      </c>
      <c r="E1156" s="16" t="s">
        <v>6206</v>
      </c>
      <c r="F1156" s="16"/>
      <c r="G1156" s="16" t="s">
        <v>6207</v>
      </c>
      <c r="H1156" s="16" t="s">
        <v>5652</v>
      </c>
      <c r="I1156" s="16" t="b">
        <v>1</v>
      </c>
      <c r="J1156" s="16" t="s">
        <v>382</v>
      </c>
      <c r="L1156" s="16"/>
      <c r="M1156" s="16"/>
      <c r="N1156" s="16"/>
      <c r="O1156" s="16">
        <v>135.0</v>
      </c>
      <c r="P1156" s="23" t="s">
        <v>6208</v>
      </c>
      <c r="Q1156" s="16" t="b">
        <v>1</v>
      </c>
      <c r="R1156" s="16"/>
    </row>
    <row r="1157">
      <c r="A1157" s="16" t="s">
        <v>4633</v>
      </c>
      <c r="B1157" s="16" t="s">
        <v>65</v>
      </c>
      <c r="C1157" s="22">
        <v>46197.0</v>
      </c>
      <c r="D1157" s="16" t="s">
        <v>3175</v>
      </c>
      <c r="E1157" s="16" t="s">
        <v>6209</v>
      </c>
      <c r="F1157" s="16"/>
      <c r="G1157" s="16" t="s">
        <v>6210</v>
      </c>
      <c r="H1157" s="16" t="s">
        <v>3593</v>
      </c>
      <c r="I1157" s="16" t="b">
        <v>1</v>
      </c>
      <c r="J1157" s="16" t="s">
        <v>382</v>
      </c>
      <c r="L1157" s="16"/>
      <c r="M1157" s="16"/>
      <c r="N1157" s="16"/>
      <c r="O1157" s="16">
        <v>60.0</v>
      </c>
      <c r="P1157" s="23" t="s">
        <v>6211</v>
      </c>
      <c r="Q1157" s="16" t="b">
        <v>1</v>
      </c>
      <c r="R1157" s="16"/>
    </row>
    <row r="1158">
      <c r="A1158" s="16" t="s">
        <v>4628</v>
      </c>
      <c r="B1158" s="16" t="s">
        <v>65</v>
      </c>
      <c r="C1158" s="22">
        <v>46195.0</v>
      </c>
      <c r="D1158" s="16" t="s">
        <v>6212</v>
      </c>
      <c r="E1158" s="16" t="s">
        <v>6213</v>
      </c>
      <c r="F1158" s="16"/>
      <c r="G1158" s="16" t="s">
        <v>6214</v>
      </c>
      <c r="H1158" s="16" t="s">
        <v>6215</v>
      </c>
      <c r="I1158" s="16" t="b">
        <v>1</v>
      </c>
      <c r="J1158" s="16" t="s">
        <v>382</v>
      </c>
      <c r="L1158" s="16"/>
      <c r="M1158" s="16"/>
      <c r="N1158" s="16"/>
      <c r="O1158" s="16">
        <v>20.0</v>
      </c>
      <c r="P1158" s="23" t="s">
        <v>6216</v>
      </c>
      <c r="Q1158" s="16" t="b">
        <v>1</v>
      </c>
      <c r="R1158" s="16"/>
    </row>
    <row r="1159">
      <c r="A1159" s="16" t="s">
        <v>4653</v>
      </c>
      <c r="B1159" s="16" t="s">
        <v>65</v>
      </c>
      <c r="C1159" s="22">
        <v>46196.0</v>
      </c>
      <c r="D1159" s="16" t="s">
        <v>6217</v>
      </c>
      <c r="E1159" s="16" t="s">
        <v>6218</v>
      </c>
      <c r="F1159" s="16"/>
      <c r="G1159" s="16" t="s">
        <v>6219</v>
      </c>
      <c r="H1159" s="16" t="s">
        <v>6220</v>
      </c>
      <c r="I1159" s="16" t="b">
        <v>1</v>
      </c>
      <c r="J1159" s="16" t="s">
        <v>382</v>
      </c>
      <c r="L1159" s="16"/>
      <c r="M1159" s="16"/>
      <c r="N1159" s="16"/>
      <c r="O1159" s="16">
        <v>60.0</v>
      </c>
      <c r="P1159" s="23" t="s">
        <v>6221</v>
      </c>
      <c r="Q1159" s="16" t="b">
        <v>1</v>
      </c>
      <c r="R1159" s="16"/>
    </row>
    <row r="1160">
      <c r="A1160" s="16" t="s">
        <v>4665</v>
      </c>
      <c r="B1160" s="16" t="s">
        <v>65</v>
      </c>
      <c r="C1160" s="22">
        <v>46179.0</v>
      </c>
      <c r="D1160" s="23" t="s">
        <v>6193</v>
      </c>
      <c r="E1160" s="16" t="s">
        <v>6222</v>
      </c>
      <c r="F1160" s="16"/>
      <c r="G1160" s="16" t="s">
        <v>6223</v>
      </c>
      <c r="H1160" s="16" t="s">
        <v>1010</v>
      </c>
      <c r="I1160" s="16" t="b">
        <v>1</v>
      </c>
      <c r="J1160" s="16" t="s">
        <v>382</v>
      </c>
      <c r="L1160" s="16" t="s">
        <v>6224</v>
      </c>
      <c r="M1160" s="16"/>
      <c r="N1160" s="16"/>
      <c r="O1160" s="16">
        <v>125.06</v>
      </c>
      <c r="P1160" s="23" t="s">
        <v>6225</v>
      </c>
      <c r="Q1160" s="16" t="b">
        <v>1</v>
      </c>
      <c r="R1160" s="16"/>
    </row>
    <row r="1161">
      <c r="A1161" s="16" t="s">
        <v>743</v>
      </c>
      <c r="B1161" s="16" t="s">
        <v>65</v>
      </c>
      <c r="C1161" s="22">
        <v>46200.0</v>
      </c>
      <c r="D1161" s="23" t="s">
        <v>6193</v>
      </c>
      <c r="E1161" s="16" t="s">
        <v>6226</v>
      </c>
      <c r="F1161" s="16"/>
      <c r="G1161" s="16" t="s">
        <v>6227</v>
      </c>
      <c r="H1161" s="16" t="s">
        <v>195</v>
      </c>
      <c r="I1161" s="16" t="b">
        <v>1</v>
      </c>
      <c r="J1161" s="16" t="s">
        <v>382</v>
      </c>
      <c r="L1161" s="16"/>
      <c r="M1161" s="16"/>
      <c r="N1161" s="16"/>
      <c r="O1161" s="16">
        <v>183.42</v>
      </c>
      <c r="P1161" s="23" t="s">
        <v>6228</v>
      </c>
      <c r="Q1161" s="16" t="b">
        <v>1</v>
      </c>
      <c r="R1161" s="16"/>
    </row>
    <row r="1162">
      <c r="A1162" s="16" t="s">
        <v>725</v>
      </c>
      <c r="B1162" s="16" t="s">
        <v>65</v>
      </c>
      <c r="C1162" s="22">
        <v>46200.0</v>
      </c>
      <c r="D1162" s="16" t="s">
        <v>3175</v>
      </c>
      <c r="E1162" s="16" t="s">
        <v>6229</v>
      </c>
      <c r="F1162" s="16"/>
      <c r="G1162" s="16" t="s">
        <v>6230</v>
      </c>
      <c r="H1162" s="16" t="s">
        <v>3593</v>
      </c>
      <c r="I1162" s="16" t="b">
        <v>1</v>
      </c>
      <c r="J1162" s="16" t="s">
        <v>382</v>
      </c>
      <c r="L1162" s="16"/>
      <c r="M1162" s="16"/>
      <c r="N1162" s="16"/>
      <c r="O1162" s="16">
        <v>112.0</v>
      </c>
      <c r="P1162" s="23" t="s">
        <v>6231</v>
      </c>
      <c r="Q1162" s="16" t="b">
        <v>1</v>
      </c>
      <c r="R1162" s="16"/>
    </row>
    <row r="1163">
      <c r="A1163" s="16" t="s">
        <v>718</v>
      </c>
      <c r="B1163" s="16" t="s">
        <v>65</v>
      </c>
      <c r="C1163" s="22">
        <v>46200.0</v>
      </c>
      <c r="D1163" s="16" t="s">
        <v>5445</v>
      </c>
      <c r="E1163" s="16" t="s">
        <v>6232</v>
      </c>
      <c r="F1163" s="16"/>
      <c r="G1163" s="16" t="s">
        <v>6233</v>
      </c>
      <c r="H1163" s="16" t="s">
        <v>5652</v>
      </c>
      <c r="I1163" s="16" t="b">
        <v>1</v>
      </c>
      <c r="J1163" s="16" t="s">
        <v>382</v>
      </c>
      <c r="L1163" s="16"/>
      <c r="M1163" s="16"/>
      <c r="N1163" s="16"/>
      <c r="O1163" s="16">
        <v>50.0</v>
      </c>
      <c r="P1163" s="23" t="s">
        <v>6234</v>
      </c>
      <c r="Q1163" s="16" t="b">
        <v>1</v>
      </c>
      <c r="R1163" s="16"/>
    </row>
    <row r="1164">
      <c r="A1164" s="16" t="s">
        <v>4670</v>
      </c>
      <c r="B1164" s="16" t="s">
        <v>65</v>
      </c>
      <c r="C1164" s="22">
        <v>46202.0</v>
      </c>
      <c r="D1164" s="16"/>
      <c r="E1164" s="16"/>
      <c r="F1164" s="16" t="s">
        <v>6122</v>
      </c>
      <c r="G1164" s="16"/>
      <c r="H1164" s="16" t="s">
        <v>6122</v>
      </c>
      <c r="I1164" s="16"/>
      <c r="J1164" s="16" t="s">
        <v>218</v>
      </c>
      <c r="K1164" s="16" t="s">
        <v>132</v>
      </c>
      <c r="L1164" s="16"/>
      <c r="M1164" s="16"/>
      <c r="N1164" s="16"/>
      <c r="O1164" s="16">
        <v>1150.0</v>
      </c>
      <c r="P1164" s="16"/>
      <c r="Q1164" s="16" t="b">
        <v>1</v>
      </c>
      <c r="R1164" s="16" t="b">
        <v>0</v>
      </c>
    </row>
    <row r="1165">
      <c r="A1165" s="16">
        <v>1900.0</v>
      </c>
      <c r="B1165" s="16" t="s">
        <v>65</v>
      </c>
      <c r="C1165" s="22">
        <v>46212.83333333333</v>
      </c>
      <c r="D1165" s="16" t="s">
        <v>1159</v>
      </c>
      <c r="E1165" s="16"/>
      <c r="F1165" s="16" t="s">
        <v>1383</v>
      </c>
      <c r="G1165" s="16"/>
      <c r="H1165" s="16" t="s">
        <v>1383</v>
      </c>
      <c r="I1165" s="16"/>
      <c r="J1165" s="16" t="s">
        <v>218</v>
      </c>
      <c r="L1165" s="16"/>
      <c r="M1165" s="16"/>
      <c r="N1165" s="16"/>
      <c r="O1165" s="16">
        <v>533.95</v>
      </c>
      <c r="P1165" s="16"/>
      <c r="Q1165" s="16" t="b">
        <v>1</v>
      </c>
      <c r="R1165" s="16" t="b">
        <v>0</v>
      </c>
    </row>
    <row r="1166">
      <c r="A1166" s="16">
        <v>1901.0</v>
      </c>
      <c r="B1166" s="16" t="s">
        <v>65</v>
      </c>
      <c r="C1166" s="22">
        <v>46212.83333333333</v>
      </c>
      <c r="D1166" s="16" t="s">
        <v>1664</v>
      </c>
      <c r="E1166" s="16"/>
      <c r="F1166" s="16" t="s">
        <v>1389</v>
      </c>
      <c r="G1166" s="16"/>
      <c r="H1166" s="16" t="s">
        <v>1389</v>
      </c>
      <c r="I1166" s="16"/>
      <c r="J1166" s="16" t="s">
        <v>218</v>
      </c>
      <c r="L1166" s="16"/>
      <c r="M1166" s="16"/>
      <c r="N1166" s="16"/>
      <c r="O1166" s="16">
        <v>179.9</v>
      </c>
      <c r="P1166" s="16"/>
      <c r="Q1166" s="16" t="b">
        <v>1</v>
      </c>
      <c r="R1166" s="16" t="b">
        <v>0</v>
      </c>
    </row>
    <row r="1167">
      <c r="A1167" s="16">
        <v>1902.0</v>
      </c>
      <c r="B1167" s="16" t="s">
        <v>65</v>
      </c>
      <c r="C1167" s="22">
        <v>46212.83333333333</v>
      </c>
      <c r="D1167" s="16" t="s">
        <v>775</v>
      </c>
      <c r="E1167" s="16"/>
      <c r="F1167" s="16" t="s">
        <v>1219</v>
      </c>
      <c r="G1167" s="16"/>
      <c r="H1167" s="16" t="s">
        <v>1219</v>
      </c>
      <c r="I1167" s="16"/>
      <c r="J1167" s="16" t="s">
        <v>218</v>
      </c>
      <c r="L1167" s="16"/>
      <c r="M1167" s="16"/>
      <c r="N1167" s="16"/>
      <c r="O1167" s="16">
        <v>148.11</v>
      </c>
      <c r="P1167" s="16"/>
      <c r="Q1167" s="16" t="b">
        <v>1</v>
      </c>
      <c r="R1167" s="16" t="b">
        <v>0</v>
      </c>
    </row>
    <row r="1168">
      <c r="A1168" s="16">
        <v>1903.0</v>
      </c>
      <c r="B1168" s="16" t="s">
        <v>65</v>
      </c>
      <c r="C1168" s="22">
        <v>46212.83333333333</v>
      </c>
      <c r="D1168" s="16" t="s">
        <v>342</v>
      </c>
      <c r="E1168" s="16"/>
      <c r="F1168" s="16" t="s">
        <v>1219</v>
      </c>
      <c r="G1168" s="16"/>
      <c r="H1168" s="16" t="s">
        <v>1219</v>
      </c>
      <c r="I1168" s="16"/>
      <c r="J1168" s="16" t="s">
        <v>218</v>
      </c>
      <c r="L1168" s="16"/>
      <c r="M1168" s="16"/>
      <c r="N1168" s="16"/>
      <c r="O1168" s="16">
        <v>1.0</v>
      </c>
      <c r="P1168" s="16"/>
      <c r="Q1168" s="16" t="b">
        <v>1</v>
      </c>
      <c r="R1168" s="16" t="b">
        <v>0</v>
      </c>
    </row>
    <row r="1169">
      <c r="A1169" s="16" t="s">
        <v>4678</v>
      </c>
      <c r="B1169" s="16" t="s">
        <v>65</v>
      </c>
      <c r="C1169" s="22">
        <v>46216.0</v>
      </c>
      <c r="D1169" s="16" t="s">
        <v>131</v>
      </c>
      <c r="E1169" s="16"/>
      <c r="F1169" s="16" t="s">
        <v>6235</v>
      </c>
      <c r="G1169" s="16"/>
      <c r="H1169" s="16" t="s">
        <v>6235</v>
      </c>
      <c r="I1169" s="16"/>
      <c r="J1169" s="16" t="s">
        <v>382</v>
      </c>
      <c r="L1169" s="16"/>
      <c r="M1169" s="16"/>
      <c r="N1169" s="16"/>
      <c r="O1169" s="16">
        <v>1667.15</v>
      </c>
      <c r="P1169" s="16"/>
      <c r="Q1169" s="16" t="b">
        <v>1</v>
      </c>
      <c r="R1169" s="16" t="b">
        <v>0</v>
      </c>
    </row>
    <row r="1170">
      <c r="A1170" s="16" t="s">
        <v>4680</v>
      </c>
      <c r="B1170" s="16" t="s">
        <v>65</v>
      </c>
      <c r="C1170" s="22">
        <v>46216.0</v>
      </c>
      <c r="D1170" s="16" t="s">
        <v>131</v>
      </c>
      <c r="E1170" s="16"/>
      <c r="F1170" s="16" t="s">
        <v>6236</v>
      </c>
      <c r="G1170" s="16"/>
      <c r="H1170" s="16" t="s">
        <v>6236</v>
      </c>
      <c r="I1170" s="16"/>
      <c r="J1170" s="16" t="s">
        <v>382</v>
      </c>
      <c r="L1170" s="16"/>
      <c r="M1170" s="16"/>
      <c r="N1170" s="16"/>
      <c r="O1170" s="16">
        <v>292.64</v>
      </c>
      <c r="P1170" s="16"/>
      <c r="Q1170" s="16" t="b">
        <v>1</v>
      </c>
      <c r="R1170" s="16" t="b">
        <v>0</v>
      </c>
    </row>
    <row r="1171">
      <c r="A1171" s="16" t="s">
        <v>4682</v>
      </c>
      <c r="B1171" s="16" t="s">
        <v>65</v>
      </c>
      <c r="C1171" s="22">
        <v>46203.0</v>
      </c>
      <c r="D1171" s="16" t="s">
        <v>131</v>
      </c>
      <c r="E1171" s="16"/>
      <c r="F1171" s="16" t="s">
        <v>6237</v>
      </c>
      <c r="G1171" s="16"/>
      <c r="H1171" s="16" t="s">
        <v>6237</v>
      </c>
      <c r="I1171" s="16"/>
      <c r="J1171" s="16" t="s">
        <v>382</v>
      </c>
      <c r="L1171" s="16"/>
      <c r="M1171" s="16"/>
      <c r="N1171" s="16"/>
      <c r="O1171" s="16">
        <v>105.0</v>
      </c>
      <c r="P1171" s="16"/>
      <c r="Q1171" s="16" t="b">
        <v>1</v>
      </c>
      <c r="R1171" s="16" t="b">
        <v>0</v>
      </c>
    </row>
    <row r="1172">
      <c r="A1172" s="16" t="s">
        <v>782</v>
      </c>
      <c r="B1172" s="16" t="s">
        <v>65</v>
      </c>
      <c r="C1172" s="22">
        <v>46204.0</v>
      </c>
      <c r="D1172" s="16" t="s">
        <v>163</v>
      </c>
      <c r="E1172" s="16" t="s">
        <v>6238</v>
      </c>
      <c r="F1172" s="16"/>
      <c r="G1172" s="16" t="s">
        <v>6239</v>
      </c>
      <c r="H1172" s="16" t="s">
        <v>529</v>
      </c>
      <c r="I1172" s="16" t="b">
        <v>1</v>
      </c>
      <c r="J1172" s="16" t="s">
        <v>382</v>
      </c>
      <c r="L1172" s="16"/>
      <c r="M1172" s="16"/>
      <c r="N1172" s="16"/>
      <c r="O1172" s="16">
        <v>57.72</v>
      </c>
      <c r="P1172" s="23" t="s">
        <v>6240</v>
      </c>
      <c r="Q1172" s="16" t="b">
        <v>1</v>
      </c>
      <c r="R1172" s="16"/>
    </row>
    <row r="1173">
      <c r="A1173" s="16" t="s">
        <v>4703</v>
      </c>
      <c r="B1173" s="16" t="s">
        <v>65</v>
      </c>
      <c r="C1173" s="22">
        <v>46202.0</v>
      </c>
      <c r="D1173" s="16" t="s">
        <v>131</v>
      </c>
      <c r="E1173" s="16" t="s">
        <v>6241</v>
      </c>
      <c r="F1173" s="16"/>
      <c r="G1173" s="16" t="s">
        <v>6242</v>
      </c>
      <c r="H1173" s="16" t="s">
        <v>6243</v>
      </c>
      <c r="I1173" s="16" t="b">
        <v>0</v>
      </c>
      <c r="J1173" s="16" t="s">
        <v>382</v>
      </c>
      <c r="L1173" s="16"/>
      <c r="M1173" s="16"/>
      <c r="N1173" s="16"/>
      <c r="O1173" s="16">
        <v>1667.15</v>
      </c>
      <c r="P1173" s="16"/>
      <c r="Q1173" s="16" t="b">
        <v>1</v>
      </c>
      <c r="R1173" s="16"/>
    </row>
    <row r="1174">
      <c r="A1174" s="16" t="s">
        <v>4710</v>
      </c>
      <c r="B1174" s="16" t="s">
        <v>65</v>
      </c>
      <c r="C1174" s="22">
        <v>46204.0</v>
      </c>
      <c r="D1174" s="16" t="s">
        <v>131</v>
      </c>
      <c r="E1174" s="16" t="s">
        <v>6244</v>
      </c>
      <c r="F1174" s="16"/>
      <c r="G1174" s="16" t="s">
        <v>6245</v>
      </c>
      <c r="H1174" s="16" t="s">
        <v>171</v>
      </c>
      <c r="I1174" s="16" t="b">
        <v>0</v>
      </c>
      <c r="J1174" s="16" t="s">
        <v>382</v>
      </c>
      <c r="L1174" s="16" t="s">
        <v>6246</v>
      </c>
      <c r="M1174" s="16"/>
      <c r="N1174" s="16"/>
      <c r="O1174" s="16">
        <v>8450.02</v>
      </c>
      <c r="P1174" s="16"/>
      <c r="Q1174" s="16" t="b">
        <v>1</v>
      </c>
      <c r="R1174" s="16"/>
      <c r="S1174" s="16">
        <v>448.07</v>
      </c>
    </row>
    <row r="1175">
      <c r="A1175" s="16" t="s">
        <v>4693</v>
      </c>
      <c r="B1175" s="16" t="s">
        <v>65</v>
      </c>
      <c r="C1175" s="22">
        <v>46218.0</v>
      </c>
      <c r="D1175" s="16" t="s">
        <v>131</v>
      </c>
      <c r="E1175" s="16"/>
      <c r="F1175" s="16" t="s">
        <v>6247</v>
      </c>
      <c r="G1175" s="16"/>
      <c r="H1175" s="16" t="s">
        <v>6247</v>
      </c>
      <c r="I1175" s="16"/>
      <c r="J1175" s="16" t="s">
        <v>382</v>
      </c>
      <c r="L1175" s="16"/>
      <c r="M1175" s="16"/>
      <c r="N1175" s="16"/>
      <c r="O1175" s="16">
        <v>8450.02</v>
      </c>
      <c r="P1175" s="16"/>
      <c r="Q1175" s="16" t="b">
        <v>1</v>
      </c>
      <c r="R1175" s="16" t="b">
        <v>0</v>
      </c>
    </row>
    <row r="1176">
      <c r="A1176" s="16" t="s">
        <v>4695</v>
      </c>
      <c r="B1176" s="16" t="s">
        <v>65</v>
      </c>
      <c r="C1176" s="22">
        <v>46218.0</v>
      </c>
      <c r="D1176" s="16" t="s">
        <v>131</v>
      </c>
      <c r="E1176" s="16"/>
      <c r="F1176" s="16" t="s">
        <v>6248</v>
      </c>
      <c r="G1176" s="16"/>
      <c r="H1176" s="16" t="s">
        <v>6248</v>
      </c>
      <c r="I1176" s="16"/>
      <c r="J1176" s="16" t="s">
        <v>382</v>
      </c>
      <c r="L1176" s="16"/>
      <c r="M1176" s="16"/>
      <c r="N1176" s="16"/>
      <c r="O1176" s="16">
        <v>1898.5</v>
      </c>
      <c r="P1176" s="16"/>
      <c r="Q1176" s="16" t="b">
        <v>1</v>
      </c>
      <c r="R1176" s="16" t="b">
        <v>0</v>
      </c>
    </row>
    <row r="1177">
      <c r="A1177" s="16">
        <v>1911.0</v>
      </c>
      <c r="B1177" s="16" t="s">
        <v>65</v>
      </c>
      <c r="C1177" s="22">
        <v>46217.83333333333</v>
      </c>
      <c r="D1177" s="16" t="s">
        <v>131</v>
      </c>
      <c r="E1177" s="16"/>
      <c r="F1177" s="16" t="s">
        <v>1404</v>
      </c>
      <c r="G1177" s="16"/>
      <c r="H1177" s="16" t="s">
        <v>1404</v>
      </c>
      <c r="I1177" s="16"/>
      <c r="J1177" s="16" t="s">
        <v>218</v>
      </c>
      <c r="L1177" s="16"/>
      <c r="M1177" s="16"/>
      <c r="N1177" s="16"/>
      <c r="O1177" s="16">
        <v>1110.0</v>
      </c>
      <c r="P1177" s="16"/>
      <c r="Q1177" s="16" t="b">
        <v>1</v>
      </c>
      <c r="R1177" s="16" t="b">
        <v>0</v>
      </c>
    </row>
    <row r="1178">
      <c r="A1178" s="16">
        <v>1912.0</v>
      </c>
      <c r="B1178" s="16" t="s">
        <v>65</v>
      </c>
      <c r="C1178" s="22">
        <v>46217.83333333333</v>
      </c>
      <c r="D1178" s="16" t="s">
        <v>131</v>
      </c>
      <c r="E1178" s="16"/>
      <c r="F1178" s="16" t="s">
        <v>1411</v>
      </c>
      <c r="G1178" s="16"/>
      <c r="H1178" s="16" t="s">
        <v>1411</v>
      </c>
      <c r="I1178" s="16"/>
      <c r="J1178" s="16" t="s">
        <v>218</v>
      </c>
      <c r="L1178" s="16"/>
      <c r="M1178" s="16"/>
      <c r="N1178" s="16"/>
      <c r="O1178" s="16">
        <v>700.0</v>
      </c>
      <c r="P1178" s="16"/>
      <c r="Q1178" s="16" t="b">
        <v>1</v>
      </c>
      <c r="R1178" s="16" t="b">
        <v>0</v>
      </c>
    </row>
    <row r="1179">
      <c r="A1179" s="16">
        <v>1913.0</v>
      </c>
      <c r="B1179" s="16" t="s">
        <v>65</v>
      </c>
      <c r="C1179" s="22">
        <v>46217.83333333333</v>
      </c>
      <c r="D1179" s="16" t="s">
        <v>131</v>
      </c>
      <c r="E1179" s="16"/>
      <c r="F1179" s="16" t="s">
        <v>1421</v>
      </c>
      <c r="G1179" s="16"/>
      <c r="H1179" s="16" t="s">
        <v>1421</v>
      </c>
      <c r="I1179" s="16"/>
      <c r="J1179" s="16" t="s">
        <v>218</v>
      </c>
      <c r="L1179" s="16"/>
      <c r="M1179" s="16"/>
      <c r="N1179" s="16"/>
      <c r="O1179" s="16">
        <v>396.0</v>
      </c>
      <c r="P1179" s="16"/>
      <c r="Q1179" s="16" t="b">
        <v>1</v>
      </c>
      <c r="R1179" s="16" t="b">
        <v>0</v>
      </c>
    </row>
    <row r="1180">
      <c r="A1180" s="16">
        <v>1914.0</v>
      </c>
      <c r="B1180" s="16" t="s">
        <v>65</v>
      </c>
      <c r="C1180" s="22">
        <v>46217.83333333333</v>
      </c>
      <c r="D1180" s="16" t="s">
        <v>1322</v>
      </c>
      <c r="E1180" s="16"/>
      <c r="F1180" s="16" t="s">
        <v>6250</v>
      </c>
      <c r="G1180" s="16"/>
      <c r="H1180" s="16" t="s">
        <v>6250</v>
      </c>
      <c r="I1180" s="16"/>
      <c r="J1180" s="16" t="s">
        <v>218</v>
      </c>
      <c r="L1180" s="16"/>
      <c r="M1180" s="16"/>
      <c r="N1180" s="16"/>
      <c r="O1180" s="16">
        <v>253.0</v>
      </c>
      <c r="P1180" s="16"/>
      <c r="Q1180" s="16" t="b">
        <v>1</v>
      </c>
      <c r="R1180" s="16" t="b">
        <v>0</v>
      </c>
    </row>
    <row r="1181">
      <c r="A1181" s="16" t="s">
        <v>803</v>
      </c>
      <c r="B1181" s="16" t="s">
        <v>65</v>
      </c>
      <c r="C1181" s="22">
        <v>46208.0</v>
      </c>
      <c r="D1181" s="23" t="s">
        <v>6193</v>
      </c>
      <c r="E1181" s="16" t="s">
        <v>6251</v>
      </c>
      <c r="F1181" s="16"/>
      <c r="G1181" s="16" t="s">
        <v>6252</v>
      </c>
      <c r="H1181" s="16" t="s">
        <v>195</v>
      </c>
      <c r="I1181" s="16" t="b">
        <v>1</v>
      </c>
      <c r="J1181" s="16" t="s">
        <v>382</v>
      </c>
      <c r="L1181" s="16"/>
      <c r="M1181" s="16"/>
      <c r="N1181" s="16"/>
      <c r="O1181" s="16">
        <v>143.75</v>
      </c>
      <c r="P1181" s="23" t="s">
        <v>6253</v>
      </c>
      <c r="Q1181" s="16" t="b">
        <v>1</v>
      </c>
      <c r="R1181" s="16"/>
    </row>
    <row r="1182">
      <c r="A1182" s="16" t="s">
        <v>814</v>
      </c>
      <c r="B1182" s="16" t="s">
        <v>65</v>
      </c>
      <c r="C1182" s="22">
        <v>46208.0</v>
      </c>
      <c r="D1182" s="16" t="s">
        <v>5445</v>
      </c>
      <c r="E1182" s="16" t="s">
        <v>6254</v>
      </c>
      <c r="F1182" s="16"/>
      <c r="G1182" s="16" t="s">
        <v>6255</v>
      </c>
      <c r="H1182" s="16" t="s">
        <v>5652</v>
      </c>
      <c r="I1182" s="16" t="b">
        <v>1</v>
      </c>
      <c r="J1182" s="16" t="s">
        <v>382</v>
      </c>
      <c r="L1182" s="16"/>
      <c r="M1182" s="16"/>
      <c r="N1182" s="16"/>
      <c r="O1182" s="16">
        <v>110.0</v>
      </c>
      <c r="P1182" s="23" t="s">
        <v>6256</v>
      </c>
      <c r="Q1182" s="16" t="b">
        <v>1</v>
      </c>
      <c r="R1182" s="16"/>
    </row>
    <row r="1183">
      <c r="A1183" s="16" t="s">
        <v>819</v>
      </c>
      <c r="B1183" s="16" t="s">
        <v>65</v>
      </c>
      <c r="C1183" s="22">
        <v>46208.0</v>
      </c>
      <c r="D1183" s="16" t="s">
        <v>3175</v>
      </c>
      <c r="E1183" s="16" t="s">
        <v>6258</v>
      </c>
      <c r="F1183" s="16"/>
      <c r="G1183" s="16" t="s">
        <v>6259</v>
      </c>
      <c r="H1183" s="16" t="s">
        <v>3593</v>
      </c>
      <c r="I1183" s="16" t="b">
        <v>1</v>
      </c>
      <c r="J1183" s="16" t="s">
        <v>382</v>
      </c>
      <c r="L1183" s="16"/>
      <c r="M1183" s="16"/>
      <c r="N1183" s="16"/>
      <c r="O1183" s="16">
        <v>217.0</v>
      </c>
      <c r="P1183" s="23" t="s">
        <v>6260</v>
      </c>
      <c r="Q1183" s="16" t="b">
        <v>1</v>
      </c>
      <c r="R1183" s="16"/>
    </row>
    <row r="1184">
      <c r="A1184" s="16" t="s">
        <v>825</v>
      </c>
      <c r="B1184" s="16" t="s">
        <v>65</v>
      </c>
      <c r="C1184" s="22">
        <v>46208.0</v>
      </c>
      <c r="D1184" s="16" t="s">
        <v>5965</v>
      </c>
      <c r="E1184" s="16" t="s">
        <v>6261</v>
      </c>
      <c r="F1184" s="16"/>
      <c r="G1184" s="16" t="s">
        <v>6262</v>
      </c>
      <c r="H1184" s="16" t="s">
        <v>6002</v>
      </c>
      <c r="I1184" s="16" t="b">
        <v>1</v>
      </c>
      <c r="J1184" s="16" t="s">
        <v>382</v>
      </c>
      <c r="L1184" s="16"/>
      <c r="M1184" s="16"/>
      <c r="N1184" s="16"/>
      <c r="O1184" s="16">
        <v>120.0</v>
      </c>
      <c r="P1184" s="23" t="s">
        <v>6263</v>
      </c>
      <c r="Q1184" s="16" t="b">
        <v>1</v>
      </c>
      <c r="R1184" s="16"/>
    </row>
    <row r="1185">
      <c r="A1185" s="16" t="s">
        <v>4714</v>
      </c>
      <c r="B1185" s="16" t="s">
        <v>65</v>
      </c>
      <c r="C1185" s="22">
        <v>46206.0</v>
      </c>
      <c r="D1185" s="16" t="s">
        <v>202</v>
      </c>
      <c r="E1185" s="16" t="s">
        <v>6264</v>
      </c>
      <c r="F1185" s="16"/>
      <c r="G1185" s="16" t="s">
        <v>6265</v>
      </c>
      <c r="H1185" s="16" t="s">
        <v>481</v>
      </c>
      <c r="I1185" s="16" t="b">
        <v>0</v>
      </c>
      <c r="J1185" s="16" t="s">
        <v>382</v>
      </c>
      <c r="L1185" s="16"/>
      <c r="M1185" s="16"/>
      <c r="N1185" s="16"/>
      <c r="O1185" s="16">
        <v>115.0</v>
      </c>
      <c r="P1185" s="16"/>
      <c r="Q1185" s="16" t="b">
        <v>1</v>
      </c>
      <c r="R1185" s="16"/>
    </row>
    <row r="1186">
      <c r="A1186" s="16" t="s">
        <v>830</v>
      </c>
      <c r="B1186" s="16" t="s">
        <v>65</v>
      </c>
      <c r="C1186" s="22">
        <v>46209.0</v>
      </c>
      <c r="D1186" s="23" t="s">
        <v>6193</v>
      </c>
      <c r="E1186" s="16" t="s">
        <v>6266</v>
      </c>
      <c r="F1186" s="16"/>
      <c r="G1186" s="16" t="s">
        <v>6267</v>
      </c>
      <c r="H1186" s="16" t="s">
        <v>157</v>
      </c>
      <c r="I1186" s="16" t="b">
        <v>1</v>
      </c>
      <c r="J1186" s="16" t="s">
        <v>382</v>
      </c>
      <c r="L1186" s="16"/>
      <c r="M1186" s="16"/>
      <c r="N1186" s="16"/>
      <c r="O1186" s="16">
        <v>75.91</v>
      </c>
      <c r="P1186" s="23" t="s">
        <v>6268</v>
      </c>
      <c r="Q1186" s="16" t="b">
        <v>1</v>
      </c>
      <c r="R1186" s="16"/>
    </row>
    <row r="1187">
      <c r="A1187" s="16">
        <v>1916.0</v>
      </c>
      <c r="B1187" s="16" t="s">
        <v>65</v>
      </c>
      <c r="C1187" s="22">
        <v>46219.83333333333</v>
      </c>
      <c r="D1187" s="16" t="s">
        <v>1159</v>
      </c>
      <c r="E1187" s="16"/>
      <c r="F1187" s="16" t="s">
        <v>1219</v>
      </c>
      <c r="G1187" s="16"/>
      <c r="H1187" s="16" t="s">
        <v>1219</v>
      </c>
      <c r="I1187" s="16"/>
      <c r="J1187" s="16" t="s">
        <v>218</v>
      </c>
      <c r="L1187" s="16"/>
      <c r="M1187" s="16"/>
      <c r="N1187" s="16"/>
      <c r="O1187" s="16">
        <v>1.0</v>
      </c>
      <c r="P1187" s="16"/>
      <c r="Q1187" s="16" t="b">
        <v>1</v>
      </c>
      <c r="R1187" s="16" t="b">
        <v>0</v>
      </c>
    </row>
    <row r="1188">
      <c r="A1188" s="16" t="s">
        <v>868</v>
      </c>
      <c r="B1188" s="16" t="s">
        <v>65</v>
      </c>
      <c r="C1188" s="22">
        <v>46212.0</v>
      </c>
      <c r="D1188" s="16" t="s">
        <v>6269</v>
      </c>
      <c r="E1188" s="16" t="s">
        <v>6270</v>
      </c>
      <c r="F1188" s="16"/>
      <c r="G1188" s="16" t="s">
        <v>6271</v>
      </c>
      <c r="H1188" s="16" t="s">
        <v>6272</v>
      </c>
      <c r="I1188" s="16" t="b">
        <v>1</v>
      </c>
      <c r="J1188" s="16" t="s">
        <v>382</v>
      </c>
      <c r="L1188" s="16"/>
      <c r="M1188" s="16"/>
      <c r="N1188" s="16"/>
      <c r="O1188" s="16">
        <v>40.5</v>
      </c>
      <c r="P1188" s="23" t="s">
        <v>6273</v>
      </c>
      <c r="Q1188" s="16" t="b">
        <v>1</v>
      </c>
      <c r="R1188" s="16"/>
    </row>
    <row r="1189">
      <c r="A1189" s="16" t="s">
        <v>4771</v>
      </c>
      <c r="B1189" s="16" t="s">
        <v>65</v>
      </c>
      <c r="C1189" s="22">
        <v>46212.0</v>
      </c>
      <c r="D1189" s="16" t="s">
        <v>202</v>
      </c>
      <c r="E1189" s="16" t="s">
        <v>6274</v>
      </c>
      <c r="F1189" s="16"/>
      <c r="G1189" s="16" t="s">
        <v>6275</v>
      </c>
      <c r="H1189" s="16" t="s">
        <v>481</v>
      </c>
      <c r="I1189" s="16" t="b">
        <v>0</v>
      </c>
      <c r="J1189" s="16" t="s">
        <v>382</v>
      </c>
      <c r="L1189" s="16"/>
      <c r="M1189" s="16"/>
      <c r="N1189" s="16"/>
      <c r="O1189" s="16">
        <v>92.0</v>
      </c>
      <c r="P1189" s="16"/>
      <c r="Q1189" s="16" t="b">
        <v>1</v>
      </c>
      <c r="R1189" s="16"/>
    </row>
    <row r="1190">
      <c r="A1190" s="16" t="s">
        <v>4804</v>
      </c>
      <c r="B1190" s="16" t="s">
        <v>65</v>
      </c>
      <c r="C1190" s="22">
        <v>46204.0</v>
      </c>
      <c r="D1190" s="16" t="s">
        <v>1508</v>
      </c>
      <c r="E1190" s="16" t="s">
        <v>6276</v>
      </c>
      <c r="F1190" s="16"/>
      <c r="G1190" s="16" t="s">
        <v>6277</v>
      </c>
      <c r="H1190" s="16" t="s">
        <v>6278</v>
      </c>
      <c r="I1190" s="16" t="b">
        <v>0</v>
      </c>
      <c r="J1190" s="16" t="s">
        <v>382</v>
      </c>
      <c r="L1190" s="16" t="s">
        <v>6279</v>
      </c>
      <c r="M1190" s="16"/>
      <c r="N1190" s="16"/>
      <c r="O1190" s="16">
        <v>188.07</v>
      </c>
      <c r="P1190" s="16"/>
      <c r="Q1190" s="16" t="b">
        <v>1</v>
      </c>
      <c r="R1190" s="16"/>
    </row>
    <row r="1191">
      <c r="A1191" s="16" t="s">
        <v>4808</v>
      </c>
      <c r="B1191" s="16" t="s">
        <v>65</v>
      </c>
      <c r="C1191" s="22">
        <v>46206.0</v>
      </c>
      <c r="D1191" s="16" t="s">
        <v>1508</v>
      </c>
      <c r="E1191" s="16" t="s">
        <v>6280</v>
      </c>
      <c r="F1191" s="16"/>
      <c r="G1191" s="16" t="s">
        <v>6281</v>
      </c>
      <c r="H1191" s="16" t="s">
        <v>6283</v>
      </c>
      <c r="I1191" s="16" t="b">
        <v>0</v>
      </c>
      <c r="J1191" s="16" t="s">
        <v>382</v>
      </c>
      <c r="L1191" s="16" t="s">
        <v>6285</v>
      </c>
      <c r="M1191" s="16"/>
      <c r="N1191" s="16"/>
      <c r="O1191" s="16">
        <v>115.0</v>
      </c>
      <c r="P1191" s="16"/>
      <c r="Q1191" s="16" t="b">
        <v>1</v>
      </c>
      <c r="R1191" s="16"/>
    </row>
    <row r="1192">
      <c r="A1192" s="16">
        <v>1920.0</v>
      </c>
      <c r="B1192" s="16" t="s">
        <v>65</v>
      </c>
      <c r="C1192" s="22">
        <v>46222.83333333333</v>
      </c>
      <c r="D1192" s="16" t="s">
        <v>1159</v>
      </c>
      <c r="E1192" s="16"/>
      <c r="F1192" s="16" t="s">
        <v>1231</v>
      </c>
      <c r="G1192" s="16"/>
      <c r="H1192" s="16" t="s">
        <v>1231</v>
      </c>
      <c r="I1192" s="16"/>
      <c r="J1192" s="16" t="s">
        <v>218</v>
      </c>
      <c r="L1192" s="16"/>
      <c r="M1192" s="16"/>
      <c r="N1192" s="16"/>
      <c r="O1192" s="16">
        <v>1.0</v>
      </c>
      <c r="P1192" s="16"/>
      <c r="Q1192" s="16" t="b">
        <v>1</v>
      </c>
      <c r="R1192" s="16" t="b">
        <v>0</v>
      </c>
    </row>
    <row r="1193">
      <c r="A1193" s="16">
        <v>1921.0</v>
      </c>
      <c r="B1193" s="16" t="s">
        <v>65</v>
      </c>
      <c r="C1193" s="22">
        <v>46222.83333333333</v>
      </c>
      <c r="D1193" s="16" t="s">
        <v>1159</v>
      </c>
      <c r="E1193" s="16"/>
      <c r="F1193" s="16" t="s">
        <v>1243</v>
      </c>
      <c r="G1193" s="16"/>
      <c r="H1193" s="16" t="s">
        <v>1243</v>
      </c>
      <c r="I1193" s="16"/>
      <c r="J1193" s="16" t="s">
        <v>218</v>
      </c>
      <c r="L1193" s="16"/>
      <c r="M1193" s="16"/>
      <c r="N1193" s="16"/>
      <c r="O1193" s="16">
        <v>1.0</v>
      </c>
      <c r="P1193" s="16"/>
      <c r="Q1193" s="16" t="b">
        <v>1</v>
      </c>
      <c r="R1193" s="16" t="b">
        <v>0</v>
      </c>
    </row>
    <row r="1194">
      <c r="A1194" s="16" t="s">
        <v>908</v>
      </c>
      <c r="B1194" s="16" t="s">
        <v>65</v>
      </c>
      <c r="C1194" s="22">
        <v>46214.0</v>
      </c>
      <c r="D1194" s="23" t="s">
        <v>6193</v>
      </c>
      <c r="E1194" s="16" t="s">
        <v>6286</v>
      </c>
      <c r="F1194" s="16"/>
      <c r="G1194" s="16" t="s">
        <v>6287</v>
      </c>
      <c r="H1194" s="16" t="s">
        <v>1010</v>
      </c>
      <c r="I1194" s="16" t="b">
        <v>1</v>
      </c>
      <c r="J1194" s="16" t="s">
        <v>382</v>
      </c>
      <c r="L1194" s="16"/>
      <c r="M1194" s="16"/>
      <c r="N1194" s="16"/>
      <c r="O1194" s="16">
        <v>94.83</v>
      </c>
      <c r="P1194" s="23" t="s">
        <v>6288</v>
      </c>
      <c r="Q1194" s="16" t="b">
        <v>1</v>
      </c>
      <c r="R1194" s="16"/>
    </row>
    <row r="1195">
      <c r="A1195" s="16" t="s">
        <v>4780</v>
      </c>
      <c r="B1195" s="16" t="s">
        <v>65</v>
      </c>
      <c r="C1195" s="22">
        <v>46144.0</v>
      </c>
      <c r="D1195" s="16" t="s">
        <v>6289</v>
      </c>
      <c r="E1195" s="16" t="s">
        <v>6290</v>
      </c>
      <c r="F1195" s="16"/>
      <c r="G1195" s="16" t="s">
        <v>6291</v>
      </c>
      <c r="H1195" s="16" t="s">
        <v>6292</v>
      </c>
      <c r="I1195" s="16" t="b">
        <v>0</v>
      </c>
      <c r="J1195" s="16" t="s">
        <v>382</v>
      </c>
      <c r="L1195" s="16"/>
      <c r="M1195" s="16"/>
      <c r="N1195" s="16"/>
      <c r="O1195" s="16">
        <v>1094.0</v>
      </c>
      <c r="P1195" s="16"/>
      <c r="Q1195" s="16" t="b">
        <v>1</v>
      </c>
      <c r="R1195" s="16"/>
    </row>
    <row r="1196">
      <c r="A1196" s="16" t="s">
        <v>936</v>
      </c>
      <c r="B1196" s="16" t="s">
        <v>65</v>
      </c>
      <c r="C1196" s="22">
        <v>46217.0</v>
      </c>
      <c r="D1196" s="16" t="s">
        <v>6294</v>
      </c>
      <c r="E1196" s="16" t="s">
        <v>6295</v>
      </c>
      <c r="F1196" s="16"/>
      <c r="G1196" s="16" t="s">
        <v>6296</v>
      </c>
      <c r="H1196" s="16" t="s">
        <v>6297</v>
      </c>
      <c r="I1196" s="16" t="b">
        <v>1</v>
      </c>
      <c r="J1196" s="16" t="s">
        <v>382</v>
      </c>
      <c r="L1196" s="16"/>
      <c r="M1196" s="16"/>
      <c r="N1196" s="16"/>
      <c r="O1196" s="16">
        <v>31.68</v>
      </c>
      <c r="P1196" s="23" t="s">
        <v>6299</v>
      </c>
      <c r="Q1196" s="16" t="b">
        <v>1</v>
      </c>
      <c r="R1196" s="16"/>
    </row>
    <row r="1197">
      <c r="A1197" s="16" t="s">
        <v>4784</v>
      </c>
      <c r="B1197" s="16" t="s">
        <v>65</v>
      </c>
      <c r="C1197" s="22">
        <v>46210.0</v>
      </c>
      <c r="D1197" s="16" t="s">
        <v>670</v>
      </c>
      <c r="E1197" s="16" t="s">
        <v>6300</v>
      </c>
      <c r="F1197" s="16"/>
      <c r="G1197" s="16" t="s">
        <v>6301</v>
      </c>
      <c r="H1197" s="16" t="s">
        <v>6302</v>
      </c>
      <c r="I1197" s="16" t="b">
        <v>0</v>
      </c>
      <c r="J1197" s="16" t="s">
        <v>382</v>
      </c>
      <c r="L1197" s="16" t="s">
        <v>6303</v>
      </c>
      <c r="M1197" s="16"/>
      <c r="N1197" s="16"/>
      <c r="O1197" s="16">
        <v>2802.06</v>
      </c>
      <c r="P1197" s="16"/>
      <c r="Q1197" s="16" t="b">
        <v>1</v>
      </c>
      <c r="R1197" s="16"/>
    </row>
    <row r="1198">
      <c r="A1198" s="16" t="s">
        <v>4778</v>
      </c>
      <c r="B1198" s="16" t="s">
        <v>65</v>
      </c>
      <c r="C1198" s="22">
        <v>46217.0</v>
      </c>
      <c r="D1198" s="16" t="s">
        <v>6304</v>
      </c>
      <c r="E1198" s="16"/>
      <c r="F1198" s="16" t="s">
        <v>6305</v>
      </c>
      <c r="G1198" s="16"/>
      <c r="H1198" s="16" t="s">
        <v>6305</v>
      </c>
      <c r="I1198" s="16"/>
      <c r="J1198" s="16" t="s">
        <v>218</v>
      </c>
      <c r="L1198" s="16"/>
      <c r="M1198" s="16"/>
      <c r="N1198" s="16"/>
      <c r="O1198" s="16">
        <v>130.0</v>
      </c>
      <c r="P1198" s="16"/>
      <c r="Q1198" s="16" t="b">
        <v>1</v>
      </c>
      <c r="R1198" s="16" t="b">
        <v>0</v>
      </c>
    </row>
    <row r="1199">
      <c r="A1199" s="16" t="s">
        <v>940</v>
      </c>
      <c r="B1199" s="16" t="s">
        <v>65</v>
      </c>
      <c r="C1199" s="22">
        <v>46218.0</v>
      </c>
      <c r="D1199" s="23" t="s">
        <v>6193</v>
      </c>
      <c r="E1199" s="16" t="s">
        <v>6308</v>
      </c>
      <c r="F1199" s="16"/>
      <c r="G1199" s="16" t="s">
        <v>6309</v>
      </c>
      <c r="H1199" s="16" t="s">
        <v>195</v>
      </c>
      <c r="I1199" s="16" t="b">
        <v>1</v>
      </c>
      <c r="J1199" s="16" t="s">
        <v>382</v>
      </c>
      <c r="L1199" s="16"/>
      <c r="M1199" s="16"/>
      <c r="N1199" s="16"/>
      <c r="O1199" s="16">
        <v>281.95</v>
      </c>
      <c r="P1199" s="23" t="s">
        <v>6310</v>
      </c>
      <c r="Q1199" s="16" t="b">
        <v>1</v>
      </c>
      <c r="R1199" s="16"/>
    </row>
    <row r="1200">
      <c r="A1200" s="16">
        <v>1927.0</v>
      </c>
      <c r="B1200" s="16" t="s">
        <v>65</v>
      </c>
      <c r="C1200" s="22">
        <v>46229.83333333333</v>
      </c>
      <c r="D1200" s="16" t="s">
        <v>1322</v>
      </c>
      <c r="E1200" s="16"/>
      <c r="F1200" s="22">
        <v>46305.0</v>
      </c>
      <c r="G1200" s="16"/>
      <c r="H1200" s="22">
        <v>46305.0</v>
      </c>
      <c r="I1200" s="16"/>
      <c r="J1200" s="16" t="s">
        <v>218</v>
      </c>
      <c r="L1200" s="16"/>
      <c r="M1200" s="16"/>
      <c r="N1200" s="16"/>
      <c r="O1200" s="16">
        <v>238.01</v>
      </c>
      <c r="P1200" s="16"/>
      <c r="Q1200" s="16" t="b">
        <v>1</v>
      </c>
      <c r="R1200" s="16" t="b">
        <v>0</v>
      </c>
    </row>
    <row r="1201">
      <c r="A1201" s="16" t="s">
        <v>4810</v>
      </c>
      <c r="B1201" s="16" t="s">
        <v>65</v>
      </c>
      <c r="C1201" s="22">
        <v>46233.0</v>
      </c>
      <c r="D1201" s="16" t="s">
        <v>131</v>
      </c>
      <c r="E1201" s="16"/>
      <c r="F1201" s="16" t="s">
        <v>6311</v>
      </c>
      <c r="G1201" s="16"/>
      <c r="H1201" s="16" t="s">
        <v>6311</v>
      </c>
      <c r="I1201" s="16"/>
      <c r="J1201" s="16" t="s">
        <v>382</v>
      </c>
      <c r="L1201" s="16"/>
      <c r="M1201" s="16"/>
      <c r="N1201" s="16"/>
      <c r="O1201" s="16">
        <v>438.57</v>
      </c>
      <c r="P1201" s="16"/>
      <c r="Q1201" s="16" t="b">
        <v>1</v>
      </c>
      <c r="R1201" s="16" t="b">
        <v>0</v>
      </c>
    </row>
    <row r="1202">
      <c r="A1202" s="16" t="s">
        <v>4828</v>
      </c>
      <c r="B1202" s="16" t="s">
        <v>65</v>
      </c>
      <c r="C1202" s="22">
        <v>46221.0</v>
      </c>
      <c r="D1202" s="16" t="s">
        <v>6312</v>
      </c>
      <c r="E1202" s="16" t="s">
        <v>6313</v>
      </c>
      <c r="F1202" s="16"/>
      <c r="G1202" s="16" t="s">
        <v>6315</v>
      </c>
      <c r="H1202" s="16" t="s">
        <v>6316</v>
      </c>
      <c r="I1202" s="16" t="b">
        <v>0</v>
      </c>
      <c r="J1202" s="16" t="s">
        <v>382</v>
      </c>
      <c r="L1202" s="16"/>
      <c r="M1202" s="16"/>
      <c r="N1202" s="16"/>
      <c r="O1202" s="16">
        <v>170.54</v>
      </c>
      <c r="P1202" s="16"/>
      <c r="Q1202" s="16" t="b">
        <v>1</v>
      </c>
      <c r="R1202" s="16"/>
    </row>
    <row r="1203">
      <c r="A1203" s="16" t="s">
        <v>4815</v>
      </c>
      <c r="B1203" s="16" t="s">
        <v>65</v>
      </c>
      <c r="C1203" s="22">
        <v>46217.0</v>
      </c>
      <c r="D1203" s="16" t="s">
        <v>1888</v>
      </c>
      <c r="E1203" s="16" t="s">
        <v>6317</v>
      </c>
      <c r="F1203" s="16"/>
      <c r="G1203" s="16" t="s">
        <v>6318</v>
      </c>
      <c r="H1203" s="16" t="s">
        <v>149</v>
      </c>
      <c r="I1203" s="16" t="b">
        <v>0</v>
      </c>
      <c r="J1203" s="16" t="s">
        <v>382</v>
      </c>
      <c r="L1203" s="16"/>
      <c r="M1203" s="16"/>
      <c r="N1203" s="16"/>
      <c r="O1203" s="16">
        <v>610.62</v>
      </c>
      <c r="P1203" s="16"/>
      <c r="Q1203" s="16" t="b">
        <v>1</v>
      </c>
      <c r="R1203" s="16"/>
    </row>
    <row r="1204">
      <c r="A1204" s="16" t="s">
        <v>4826</v>
      </c>
      <c r="B1204" s="16" t="s">
        <v>65</v>
      </c>
      <c r="C1204" s="22">
        <v>46220.0</v>
      </c>
      <c r="D1204" s="16" t="s">
        <v>202</v>
      </c>
      <c r="E1204" s="16" t="s">
        <v>6320</v>
      </c>
      <c r="F1204" s="16"/>
      <c r="G1204" s="16" t="s">
        <v>6321</v>
      </c>
      <c r="H1204" s="16" t="s">
        <v>481</v>
      </c>
      <c r="I1204" s="16" t="b">
        <v>0</v>
      </c>
      <c r="J1204" s="16" t="s">
        <v>382</v>
      </c>
      <c r="L1204" s="16"/>
      <c r="M1204" s="16"/>
      <c r="N1204" s="16"/>
      <c r="O1204" s="16">
        <v>276.0</v>
      </c>
      <c r="P1204" s="16"/>
      <c r="Q1204" s="16" t="b">
        <v>1</v>
      </c>
      <c r="R1204" s="16"/>
    </row>
    <row r="1205">
      <c r="A1205" s="16" t="s">
        <v>997</v>
      </c>
      <c r="B1205" s="16" t="s">
        <v>65</v>
      </c>
      <c r="C1205" s="22">
        <v>46222.0</v>
      </c>
      <c r="D1205" s="16" t="s">
        <v>5445</v>
      </c>
      <c r="E1205" s="16" t="s">
        <v>6323</v>
      </c>
      <c r="F1205" s="16"/>
      <c r="G1205" s="16" t="s">
        <v>6324</v>
      </c>
      <c r="H1205" s="16" t="s">
        <v>5652</v>
      </c>
      <c r="I1205" s="16" t="b">
        <v>1</v>
      </c>
      <c r="J1205" s="16" t="s">
        <v>382</v>
      </c>
      <c r="L1205" s="16"/>
      <c r="M1205" s="16"/>
      <c r="N1205" s="16"/>
      <c r="O1205" s="16">
        <v>322.0</v>
      </c>
      <c r="P1205" s="23" t="s">
        <v>6325</v>
      </c>
      <c r="Q1205" s="16" t="b">
        <v>1</v>
      </c>
      <c r="R1205" s="16"/>
    </row>
    <row r="1206">
      <c r="A1206" s="16" t="s">
        <v>1002</v>
      </c>
      <c r="B1206" s="16" t="s">
        <v>65</v>
      </c>
      <c r="C1206" s="22">
        <v>46222.0</v>
      </c>
      <c r="D1206" s="16" t="s">
        <v>3175</v>
      </c>
      <c r="E1206" s="16" t="s">
        <v>6328</v>
      </c>
      <c r="F1206" s="16"/>
      <c r="G1206" s="16" t="s">
        <v>6329</v>
      </c>
      <c r="H1206" s="16" t="s">
        <v>3593</v>
      </c>
      <c r="I1206" s="16" t="b">
        <v>1</v>
      </c>
      <c r="J1206" s="16" t="s">
        <v>382</v>
      </c>
      <c r="L1206" s="16"/>
      <c r="M1206" s="16"/>
      <c r="N1206" s="16"/>
      <c r="O1206" s="16">
        <v>200.0</v>
      </c>
      <c r="P1206" s="23" t="s">
        <v>6330</v>
      </c>
      <c r="Q1206" s="16" t="b">
        <v>1</v>
      </c>
      <c r="R1206" s="16"/>
    </row>
    <row r="1207">
      <c r="A1207" s="16" t="s">
        <v>1016</v>
      </c>
      <c r="B1207" s="16" t="s">
        <v>65</v>
      </c>
      <c r="C1207" s="22">
        <v>46223.0</v>
      </c>
      <c r="D1207" s="23" t="s">
        <v>6193</v>
      </c>
      <c r="E1207" s="16" t="s">
        <v>6331</v>
      </c>
      <c r="F1207" s="16"/>
      <c r="G1207" s="16" t="s">
        <v>6332</v>
      </c>
      <c r="H1207" s="16" t="s">
        <v>1010</v>
      </c>
      <c r="I1207" s="16" t="b">
        <v>1</v>
      </c>
      <c r="J1207" s="16" t="s">
        <v>382</v>
      </c>
      <c r="L1207" s="16"/>
      <c r="M1207" s="16"/>
      <c r="N1207" s="16"/>
      <c r="O1207" s="16">
        <v>158.28</v>
      </c>
      <c r="P1207" s="23" t="s">
        <v>6333</v>
      </c>
      <c r="Q1207" s="16" t="b">
        <v>1</v>
      </c>
      <c r="R1207" s="16"/>
    </row>
    <row r="1208">
      <c r="A1208" s="16" t="s">
        <v>1029</v>
      </c>
      <c r="B1208" s="16" t="s">
        <v>65</v>
      </c>
      <c r="C1208" s="22">
        <v>46223.0</v>
      </c>
      <c r="D1208" s="23" t="s">
        <v>6334</v>
      </c>
      <c r="E1208" s="16" t="s">
        <v>6335</v>
      </c>
      <c r="F1208" s="16"/>
      <c r="G1208" s="16" t="s">
        <v>6336</v>
      </c>
      <c r="H1208" s="16" t="s">
        <v>6337</v>
      </c>
      <c r="I1208" s="16" t="b">
        <v>1</v>
      </c>
      <c r="J1208" s="16" t="s">
        <v>382</v>
      </c>
      <c r="L1208" s="16"/>
      <c r="M1208" s="16"/>
      <c r="N1208" s="16"/>
      <c r="O1208" s="16">
        <v>118.0</v>
      </c>
      <c r="P1208" s="23" t="s">
        <v>6338</v>
      </c>
      <c r="Q1208" s="16" t="b">
        <v>1</v>
      </c>
      <c r="R1208" s="16"/>
    </row>
    <row r="1209">
      <c r="A1209" s="16" t="s">
        <v>1045</v>
      </c>
      <c r="B1209" s="16" t="s">
        <v>65</v>
      </c>
      <c r="C1209" s="22">
        <v>46223.0</v>
      </c>
      <c r="D1209" s="16" t="s">
        <v>557</v>
      </c>
      <c r="E1209" s="16" t="s">
        <v>6339</v>
      </c>
      <c r="F1209" s="16"/>
      <c r="G1209" s="16" t="s">
        <v>6340</v>
      </c>
      <c r="H1209" s="16" t="s">
        <v>5189</v>
      </c>
      <c r="I1209" s="16" t="b">
        <v>1</v>
      </c>
      <c r="J1209" s="16" t="s">
        <v>382</v>
      </c>
      <c r="L1209" s="16"/>
      <c r="M1209" s="16"/>
      <c r="N1209" s="16"/>
      <c r="O1209" s="16">
        <v>7.99</v>
      </c>
      <c r="P1209" s="23" t="s">
        <v>6342</v>
      </c>
      <c r="Q1209" s="16" t="b">
        <v>1</v>
      </c>
      <c r="R1209" s="16"/>
    </row>
    <row r="1210">
      <c r="A1210" s="16" t="s">
        <v>1051</v>
      </c>
      <c r="B1210" s="16" t="s">
        <v>65</v>
      </c>
      <c r="C1210" s="22">
        <v>46223.0</v>
      </c>
      <c r="D1210" s="16" t="s">
        <v>6343</v>
      </c>
      <c r="E1210" s="16" t="s">
        <v>6344</v>
      </c>
      <c r="F1210" s="16"/>
      <c r="G1210" s="16" t="s">
        <v>6345</v>
      </c>
      <c r="H1210" s="16" t="s">
        <v>529</v>
      </c>
      <c r="I1210" s="16" t="b">
        <v>1</v>
      </c>
      <c r="J1210" s="16" t="s">
        <v>382</v>
      </c>
      <c r="L1210" s="16"/>
      <c r="M1210" s="16"/>
      <c r="N1210" s="16"/>
      <c r="O1210" s="16">
        <v>8.19</v>
      </c>
      <c r="P1210" s="23" t="s">
        <v>6346</v>
      </c>
      <c r="Q1210" s="16" t="b">
        <v>1</v>
      </c>
      <c r="R1210" s="16"/>
    </row>
    <row r="1211">
      <c r="A1211" s="16" t="s">
        <v>1068</v>
      </c>
      <c r="B1211" s="16" t="s">
        <v>65</v>
      </c>
      <c r="C1211" s="22">
        <v>46224.0</v>
      </c>
      <c r="D1211" s="16" t="s">
        <v>919</v>
      </c>
      <c r="E1211" s="16" t="s">
        <v>6347</v>
      </c>
      <c r="F1211" s="16"/>
      <c r="G1211" s="16" t="s">
        <v>6348</v>
      </c>
      <c r="H1211" s="16" t="s">
        <v>6349</v>
      </c>
      <c r="I1211" s="16" t="b">
        <v>1</v>
      </c>
      <c r="J1211" s="16" t="s">
        <v>382</v>
      </c>
      <c r="L1211" s="16"/>
      <c r="M1211" s="16"/>
      <c r="N1211" s="16"/>
      <c r="O1211" s="16">
        <v>22.0</v>
      </c>
      <c r="P1211" s="23" t="s">
        <v>6350</v>
      </c>
      <c r="Q1211" s="16" t="b">
        <v>1</v>
      </c>
      <c r="R1211" s="16"/>
    </row>
    <row r="1212">
      <c r="A1212" s="16" t="s">
        <v>4864</v>
      </c>
      <c r="B1212" s="16" t="s">
        <v>65</v>
      </c>
      <c r="C1212" s="22">
        <v>46235.0</v>
      </c>
      <c r="D1212" s="16"/>
      <c r="E1212" s="16"/>
      <c r="F1212" s="16" t="s">
        <v>6045</v>
      </c>
      <c r="G1212" s="16"/>
      <c r="H1212" s="16" t="s">
        <v>6045</v>
      </c>
      <c r="I1212" s="16"/>
      <c r="J1212" s="16" t="s">
        <v>218</v>
      </c>
      <c r="K1212" s="16" t="s">
        <v>394</v>
      </c>
      <c r="L1212" s="16"/>
      <c r="M1212" s="16"/>
      <c r="N1212" s="16"/>
      <c r="O1212" s="16">
        <v>624.0</v>
      </c>
      <c r="P1212" s="16"/>
      <c r="Q1212" s="16" t="b">
        <v>1</v>
      </c>
      <c r="R1212" s="16" t="b">
        <v>0</v>
      </c>
    </row>
    <row r="1213">
      <c r="A1213" s="16">
        <v>1933.0</v>
      </c>
      <c r="B1213" s="16" t="s">
        <v>65</v>
      </c>
      <c r="C1213" s="22">
        <v>46234.83333333333</v>
      </c>
      <c r="D1213" s="16" t="s">
        <v>1175</v>
      </c>
      <c r="E1213" s="16"/>
      <c r="F1213" s="16" t="s">
        <v>1219</v>
      </c>
      <c r="G1213" s="16"/>
      <c r="H1213" s="16" t="s">
        <v>1219</v>
      </c>
      <c r="I1213" s="16"/>
      <c r="J1213" s="16" t="s">
        <v>218</v>
      </c>
      <c r="L1213" s="16"/>
      <c r="M1213" s="16"/>
      <c r="N1213" s="16"/>
      <c r="O1213" s="16">
        <v>624.0</v>
      </c>
      <c r="P1213" s="16"/>
      <c r="Q1213" s="16" t="b">
        <v>1</v>
      </c>
      <c r="R1213" s="16" t="b">
        <v>0</v>
      </c>
    </row>
    <row r="1214">
      <c r="A1214" s="16">
        <v>1934.0</v>
      </c>
      <c r="B1214" s="16" t="s">
        <v>65</v>
      </c>
      <c r="C1214" s="22">
        <v>46234.83333333333</v>
      </c>
      <c r="D1214" s="16"/>
      <c r="E1214" s="16"/>
      <c r="F1214" s="16" t="s">
        <v>1219</v>
      </c>
      <c r="G1214" s="16"/>
      <c r="H1214" s="16" t="s">
        <v>1219</v>
      </c>
      <c r="I1214" s="16"/>
      <c r="J1214" s="16" t="s">
        <v>218</v>
      </c>
      <c r="K1214" s="16" t="s">
        <v>132</v>
      </c>
      <c r="L1214" s="16"/>
      <c r="M1214" s="16"/>
      <c r="N1214" s="16"/>
      <c r="O1214" s="16">
        <v>0.01</v>
      </c>
      <c r="P1214" s="16"/>
      <c r="Q1214" s="16" t="b">
        <v>1</v>
      </c>
      <c r="R1214" s="16" t="b">
        <v>0</v>
      </c>
    </row>
    <row r="1215">
      <c r="A1215" s="16">
        <v>1935.0</v>
      </c>
      <c r="B1215" s="16" t="s">
        <v>65</v>
      </c>
      <c r="C1215" s="22">
        <v>46234.83333333333</v>
      </c>
      <c r="D1215" s="16"/>
      <c r="E1215" s="16"/>
      <c r="F1215" s="16" t="s">
        <v>1219</v>
      </c>
      <c r="G1215" s="16"/>
      <c r="H1215" s="16" t="s">
        <v>1219</v>
      </c>
      <c r="I1215" s="16"/>
      <c r="J1215" s="16" t="s">
        <v>218</v>
      </c>
      <c r="K1215" s="16" t="s">
        <v>348</v>
      </c>
      <c r="L1215" s="16"/>
      <c r="M1215" s="16"/>
      <c r="N1215" s="16"/>
      <c r="O1215" s="16">
        <v>1.0</v>
      </c>
      <c r="P1215" s="16"/>
      <c r="Q1215" s="16" t="b">
        <v>1</v>
      </c>
      <c r="R1215" s="16" t="b">
        <v>0</v>
      </c>
    </row>
    <row r="1216">
      <c r="A1216" s="16">
        <v>1936.0</v>
      </c>
      <c r="B1216" s="16" t="s">
        <v>65</v>
      </c>
      <c r="C1216" s="22">
        <v>46234.83333333333</v>
      </c>
      <c r="D1216" s="16"/>
      <c r="E1216" s="16"/>
      <c r="F1216" s="16" t="s">
        <v>1219</v>
      </c>
      <c r="G1216" s="16"/>
      <c r="H1216" s="16" t="s">
        <v>1219</v>
      </c>
      <c r="I1216" s="16"/>
      <c r="J1216" s="16" t="s">
        <v>218</v>
      </c>
      <c r="K1216" s="20">
        <v>5.7411272E7</v>
      </c>
      <c r="L1216" s="16"/>
      <c r="M1216" s="16"/>
      <c r="N1216" s="16"/>
      <c r="O1216" s="16">
        <v>1.0</v>
      </c>
      <c r="P1216" s="16"/>
      <c r="Q1216" s="16" t="b">
        <v>1</v>
      </c>
      <c r="R1216" s="16" t="b">
        <v>0</v>
      </c>
    </row>
    <row r="1217">
      <c r="A1217" s="16">
        <v>1937.0</v>
      </c>
      <c r="B1217" s="16" t="s">
        <v>65</v>
      </c>
      <c r="C1217" s="22">
        <v>46234.83333333333</v>
      </c>
      <c r="D1217" s="16"/>
      <c r="E1217" s="16"/>
      <c r="F1217" s="16" t="s">
        <v>1219</v>
      </c>
      <c r="G1217" s="16"/>
      <c r="H1217" s="16" t="s">
        <v>1219</v>
      </c>
      <c r="I1217" s="16"/>
      <c r="J1217" s="16" t="s">
        <v>218</v>
      </c>
      <c r="K1217" s="16" t="s">
        <v>754</v>
      </c>
      <c r="L1217" s="16"/>
      <c r="M1217" s="16"/>
      <c r="N1217" s="16"/>
      <c r="O1217" s="16">
        <v>1.0</v>
      </c>
      <c r="P1217" s="16"/>
      <c r="Q1217" s="16" t="b">
        <v>1</v>
      </c>
      <c r="R1217" s="16" t="b">
        <v>0</v>
      </c>
    </row>
    <row r="1218">
      <c r="A1218" s="16">
        <v>1938.0</v>
      </c>
      <c r="B1218" s="16" t="s">
        <v>65</v>
      </c>
      <c r="C1218" s="22">
        <v>46234.83333333333</v>
      </c>
      <c r="D1218" s="16"/>
      <c r="E1218" s="16"/>
      <c r="F1218" s="16" t="s">
        <v>6046</v>
      </c>
      <c r="G1218" s="16"/>
      <c r="H1218" s="16" t="s">
        <v>6046</v>
      </c>
      <c r="I1218" s="16"/>
      <c r="J1218" s="16" t="s">
        <v>218</v>
      </c>
      <c r="K1218" s="16" t="s">
        <v>377</v>
      </c>
      <c r="L1218" s="16"/>
      <c r="M1218" s="16"/>
      <c r="N1218" s="16"/>
      <c r="O1218" s="16">
        <v>32.0</v>
      </c>
      <c r="P1218" s="16"/>
      <c r="Q1218" s="16" t="b">
        <v>1</v>
      </c>
      <c r="R1218" s="16" t="b">
        <v>0</v>
      </c>
    </row>
    <row r="1219">
      <c r="A1219" s="16">
        <v>1939.0</v>
      </c>
      <c r="B1219" s="16" t="s">
        <v>65</v>
      </c>
      <c r="C1219" s="22">
        <v>46234.83333333333</v>
      </c>
      <c r="D1219" s="16" t="s">
        <v>1322</v>
      </c>
      <c r="E1219" s="16"/>
      <c r="F1219" s="22">
        <v>46298.0</v>
      </c>
      <c r="G1219" s="16"/>
      <c r="H1219" s="22">
        <v>46298.0</v>
      </c>
      <c r="I1219" s="16"/>
      <c r="J1219" s="16" t="s">
        <v>218</v>
      </c>
      <c r="L1219" s="16"/>
      <c r="M1219" s="16"/>
      <c r="N1219" s="16"/>
      <c r="O1219" s="16">
        <v>981.0</v>
      </c>
      <c r="P1219" s="16"/>
      <c r="Q1219" s="16" t="b">
        <v>1</v>
      </c>
      <c r="R1219" s="16" t="b">
        <v>0</v>
      </c>
    </row>
    <row r="1220">
      <c r="A1220" s="16" t="s">
        <v>4880</v>
      </c>
      <c r="B1220" s="16" t="s">
        <v>65</v>
      </c>
      <c r="C1220" s="22">
        <v>46225.0</v>
      </c>
      <c r="D1220" s="16" t="s">
        <v>246</v>
      </c>
      <c r="E1220" s="16" t="s">
        <v>6356</v>
      </c>
      <c r="F1220" s="22"/>
      <c r="G1220" s="16" t="s">
        <v>6357</v>
      </c>
      <c r="H1220" s="16" t="s">
        <v>6175</v>
      </c>
      <c r="I1220" s="16" t="b">
        <v>0</v>
      </c>
      <c r="J1220" s="16" t="s">
        <v>382</v>
      </c>
      <c r="L1220" s="16"/>
      <c r="M1220" s="16"/>
      <c r="N1220" s="16"/>
      <c r="O1220" s="16">
        <v>446.53</v>
      </c>
      <c r="P1220" s="16"/>
      <c r="Q1220" s="16" t="b">
        <v>1</v>
      </c>
      <c r="R1220" s="16"/>
      <c r="S1220" s="16">
        <v>36.14</v>
      </c>
    </row>
    <row r="1221">
      <c r="A1221" s="16" t="s">
        <v>1092</v>
      </c>
      <c r="B1221" s="16" t="s">
        <v>65</v>
      </c>
      <c r="C1221" s="22">
        <v>46226.0</v>
      </c>
      <c r="D1221" s="16" t="s">
        <v>557</v>
      </c>
      <c r="E1221" s="16" t="s">
        <v>6359</v>
      </c>
      <c r="F1221" s="22"/>
      <c r="G1221" s="16" t="s">
        <v>6360</v>
      </c>
      <c r="H1221" s="16" t="s">
        <v>2657</v>
      </c>
      <c r="I1221" s="16" t="b">
        <v>1</v>
      </c>
      <c r="J1221" s="16" t="s">
        <v>382</v>
      </c>
      <c r="L1221" s="16"/>
      <c r="M1221" s="16"/>
      <c r="N1221" s="16"/>
      <c r="O1221" s="16">
        <v>37.97</v>
      </c>
      <c r="P1221" s="23" t="s">
        <v>6361</v>
      </c>
      <c r="Q1221" s="16" t="b">
        <v>1</v>
      </c>
      <c r="R1221" s="16"/>
      <c r="S1221" s="16"/>
    </row>
    <row r="1222">
      <c r="A1222" s="16" t="s">
        <v>1083</v>
      </c>
      <c r="B1222" s="16" t="s">
        <v>65</v>
      </c>
      <c r="C1222" s="22">
        <v>46226.0</v>
      </c>
      <c r="D1222" s="23" t="s">
        <v>6193</v>
      </c>
      <c r="E1222" s="16" t="s">
        <v>6362</v>
      </c>
      <c r="F1222" s="22"/>
      <c r="G1222" s="16" t="s">
        <v>6363</v>
      </c>
      <c r="H1222" s="16" t="s">
        <v>1010</v>
      </c>
      <c r="I1222" s="16" t="b">
        <v>1</v>
      </c>
      <c r="J1222" s="16" t="s">
        <v>382</v>
      </c>
      <c r="L1222" s="16"/>
      <c r="M1222" s="16"/>
      <c r="N1222" s="16"/>
      <c r="O1222" s="16">
        <v>187.87</v>
      </c>
      <c r="P1222" s="23" t="s">
        <v>6365</v>
      </c>
      <c r="Q1222" s="16" t="b">
        <v>1</v>
      </c>
      <c r="R1222" s="16"/>
      <c r="S1222" s="16"/>
    </row>
    <row r="1223">
      <c r="A1223" s="16" t="s">
        <v>4914</v>
      </c>
      <c r="B1223" s="16" t="s">
        <v>65</v>
      </c>
      <c r="C1223" s="22">
        <v>46226.0</v>
      </c>
      <c r="D1223" s="16" t="s">
        <v>202</v>
      </c>
      <c r="E1223" s="16" t="s">
        <v>6366</v>
      </c>
      <c r="F1223" s="22"/>
      <c r="G1223" s="16" t="s">
        <v>6367</v>
      </c>
      <c r="H1223" s="16" t="s">
        <v>481</v>
      </c>
      <c r="I1223" s="16" t="b">
        <v>0</v>
      </c>
      <c r="J1223" s="16" t="s">
        <v>382</v>
      </c>
      <c r="L1223" s="16"/>
      <c r="M1223" s="16"/>
      <c r="N1223" s="16"/>
      <c r="O1223" s="16">
        <v>115.0</v>
      </c>
      <c r="P1223" s="16"/>
      <c r="Q1223" s="16" t="b">
        <v>1</v>
      </c>
      <c r="R1223" s="16"/>
      <c r="S1223" s="16"/>
    </row>
    <row r="1224">
      <c r="A1224" s="16" t="s">
        <v>4916</v>
      </c>
      <c r="B1224" s="16" t="s">
        <v>65</v>
      </c>
      <c r="C1224" s="22">
        <v>46226.0</v>
      </c>
      <c r="D1224" s="16" t="s">
        <v>1888</v>
      </c>
      <c r="E1224" s="16" t="s">
        <v>6368</v>
      </c>
      <c r="F1224" s="22"/>
      <c r="G1224" s="16" t="s">
        <v>6369</v>
      </c>
      <c r="H1224" s="16" t="s">
        <v>149</v>
      </c>
      <c r="I1224" s="16" t="b">
        <v>0</v>
      </c>
      <c r="J1224" s="16" t="s">
        <v>382</v>
      </c>
      <c r="L1224" s="16"/>
      <c r="M1224" s="16"/>
      <c r="N1224" s="16"/>
      <c r="O1224" s="16">
        <v>518.88</v>
      </c>
      <c r="P1224" s="16"/>
      <c r="Q1224" s="16" t="b">
        <v>1</v>
      </c>
      <c r="R1224" s="16"/>
      <c r="S1224" s="16"/>
    </row>
    <row r="1225">
      <c r="A1225" s="16" t="s">
        <v>4933</v>
      </c>
      <c r="B1225" s="16" t="s">
        <v>65</v>
      </c>
      <c r="C1225" s="22">
        <v>46224.0</v>
      </c>
      <c r="D1225" s="16" t="s">
        <v>131</v>
      </c>
      <c r="E1225" s="16" t="s">
        <v>6371</v>
      </c>
      <c r="F1225" s="22"/>
      <c r="G1225" s="16" t="s">
        <v>6373</v>
      </c>
      <c r="H1225" s="16" t="s">
        <v>171</v>
      </c>
      <c r="I1225" s="16" t="b">
        <v>0</v>
      </c>
      <c r="J1225" s="16" t="s">
        <v>382</v>
      </c>
      <c r="L1225" s="16" t="s">
        <v>6374</v>
      </c>
      <c r="M1225" s="16"/>
      <c r="N1225" s="16"/>
      <c r="O1225" s="16">
        <v>6998.8</v>
      </c>
      <c r="P1225" s="16"/>
      <c r="Q1225" s="16" t="b">
        <v>1</v>
      </c>
      <c r="R1225" s="16"/>
      <c r="S1225" s="16"/>
    </row>
    <row r="1226">
      <c r="A1226" s="16" t="s">
        <v>1147</v>
      </c>
      <c r="B1226" s="16" t="s">
        <v>65</v>
      </c>
      <c r="C1226" s="22">
        <v>46228.0</v>
      </c>
      <c r="D1226" s="16" t="s">
        <v>6343</v>
      </c>
      <c r="E1226" s="16" t="s">
        <v>6375</v>
      </c>
      <c r="F1226" s="22"/>
      <c r="G1226" s="16" t="s">
        <v>6376</v>
      </c>
      <c r="H1226" s="16" t="s">
        <v>481</v>
      </c>
      <c r="I1226" s="16" t="b">
        <v>1</v>
      </c>
      <c r="J1226" s="16" t="s">
        <v>382</v>
      </c>
      <c r="L1226" s="16"/>
      <c r="M1226" s="16"/>
      <c r="N1226" s="16"/>
      <c r="O1226" s="16">
        <v>268.02</v>
      </c>
      <c r="P1226" s="23" t="s">
        <v>6377</v>
      </c>
      <c r="Q1226" s="16" t="b">
        <v>1</v>
      </c>
      <c r="R1226" s="16"/>
      <c r="S1226" s="16"/>
    </row>
    <row r="1227">
      <c r="A1227" s="16">
        <v>1945.0</v>
      </c>
      <c r="B1227" s="16" t="s">
        <v>65</v>
      </c>
      <c r="C1227" s="22">
        <v>46238.83333333333</v>
      </c>
      <c r="D1227" s="16" t="s">
        <v>398</v>
      </c>
      <c r="E1227" s="16"/>
      <c r="F1227" s="16" t="s">
        <v>1219</v>
      </c>
      <c r="G1227" s="16"/>
      <c r="H1227" s="16" t="s">
        <v>1219</v>
      </c>
      <c r="I1227" s="16"/>
      <c r="J1227" s="16" t="s">
        <v>218</v>
      </c>
      <c r="L1227" s="16"/>
      <c r="M1227" s="16"/>
      <c r="N1227" s="16"/>
      <c r="O1227" s="16">
        <v>7000.0</v>
      </c>
      <c r="P1227" s="16"/>
      <c r="Q1227" s="16" t="b">
        <v>1</v>
      </c>
      <c r="R1227" s="16" t="b">
        <v>0</v>
      </c>
      <c r="S1227" s="16"/>
    </row>
    <row r="1228">
      <c r="A1228" s="16" t="s">
        <v>1189</v>
      </c>
      <c r="B1228" s="16" t="s">
        <v>65</v>
      </c>
      <c r="C1228" s="22">
        <v>46229.0</v>
      </c>
      <c r="D1228" s="16" t="s">
        <v>6343</v>
      </c>
      <c r="E1228" s="16" t="s">
        <v>6379</v>
      </c>
      <c r="F1228" s="16"/>
      <c r="G1228" s="16" t="s">
        <v>6380</v>
      </c>
      <c r="H1228" s="16" t="s">
        <v>481</v>
      </c>
      <c r="I1228" s="16" t="b">
        <v>1</v>
      </c>
      <c r="J1228" s="16" t="s">
        <v>382</v>
      </c>
      <c r="L1228" s="16"/>
      <c r="M1228" s="16"/>
      <c r="N1228" s="16"/>
      <c r="O1228" s="16">
        <v>193.57</v>
      </c>
      <c r="P1228" s="23" t="s">
        <v>6381</v>
      </c>
      <c r="Q1228" s="16" t="b">
        <v>1</v>
      </c>
      <c r="R1228" s="16"/>
      <c r="S1228" s="16"/>
    </row>
    <row r="1229">
      <c r="A1229" s="16" t="s">
        <v>1196</v>
      </c>
      <c r="B1229" s="16" t="s">
        <v>65</v>
      </c>
      <c r="C1229" s="22">
        <v>46229.0</v>
      </c>
      <c r="D1229" s="16" t="s">
        <v>6343</v>
      </c>
      <c r="E1229" s="16" t="s">
        <v>6382</v>
      </c>
      <c r="F1229" s="16"/>
      <c r="G1229" s="16" t="s">
        <v>6383</v>
      </c>
      <c r="H1229" s="16" t="s">
        <v>6384</v>
      </c>
      <c r="I1229" s="16" t="b">
        <v>1</v>
      </c>
      <c r="J1229" s="16" t="s">
        <v>382</v>
      </c>
      <c r="L1229" s="16"/>
      <c r="M1229" s="16"/>
      <c r="N1229" s="16"/>
      <c r="O1229" s="16">
        <v>31.59</v>
      </c>
      <c r="P1229" s="23" t="s">
        <v>6385</v>
      </c>
      <c r="Q1229" s="16" t="b">
        <v>1</v>
      </c>
      <c r="R1229" s="16"/>
      <c r="S1229" s="16"/>
    </row>
    <row r="1230">
      <c r="A1230" s="16" t="s">
        <v>4948</v>
      </c>
      <c r="B1230" s="16" t="s">
        <v>65</v>
      </c>
      <c r="C1230" s="22">
        <v>46219.0</v>
      </c>
      <c r="D1230" s="16" t="s">
        <v>131</v>
      </c>
      <c r="E1230" s="16" t="s">
        <v>6386</v>
      </c>
      <c r="F1230" s="16"/>
      <c r="G1230" s="16" t="s">
        <v>6387</v>
      </c>
      <c r="H1230" s="16" t="s">
        <v>6388</v>
      </c>
      <c r="I1230" s="16" t="b">
        <v>0</v>
      </c>
      <c r="J1230" s="16" t="s">
        <v>382</v>
      </c>
      <c r="L1230" s="16" t="s">
        <v>6390</v>
      </c>
      <c r="M1230" s="16"/>
      <c r="N1230" s="16"/>
      <c r="O1230" s="16">
        <v>2040.98</v>
      </c>
      <c r="P1230" s="16"/>
      <c r="Q1230" s="16" t="b">
        <v>1</v>
      </c>
      <c r="R1230" s="16"/>
      <c r="S1230" s="16"/>
    </row>
    <row r="1231">
      <c r="A1231" s="16" t="s">
        <v>1241</v>
      </c>
      <c r="B1231" s="16" t="s">
        <v>65</v>
      </c>
      <c r="C1231" s="22">
        <v>46230.0</v>
      </c>
      <c r="D1231" s="16" t="s">
        <v>6391</v>
      </c>
      <c r="E1231" s="16" t="s">
        <v>6392</v>
      </c>
      <c r="F1231" s="16"/>
      <c r="G1231" s="16" t="s">
        <v>6393</v>
      </c>
      <c r="H1231" s="16" t="s">
        <v>6394</v>
      </c>
      <c r="I1231" s="16" t="b">
        <v>1</v>
      </c>
      <c r="J1231" s="16" t="s">
        <v>382</v>
      </c>
      <c r="L1231" s="16"/>
      <c r="M1231" s="16"/>
      <c r="N1231" s="16"/>
      <c r="O1231" s="16">
        <v>350.0</v>
      </c>
      <c r="P1231" s="23" t="s">
        <v>6395</v>
      </c>
      <c r="Q1231" s="16" t="b">
        <v>1</v>
      </c>
      <c r="R1231" s="16"/>
      <c r="S1231" s="16"/>
    </row>
    <row r="1232">
      <c r="A1232" s="16" t="s">
        <v>4944</v>
      </c>
      <c r="B1232" s="16" t="s">
        <v>65</v>
      </c>
      <c r="C1232" s="22">
        <v>46234.0</v>
      </c>
      <c r="D1232" s="16" t="s">
        <v>6041</v>
      </c>
      <c r="E1232" s="16"/>
      <c r="F1232" s="16" t="s">
        <v>52</v>
      </c>
      <c r="G1232" s="16"/>
      <c r="H1232" s="16" t="s">
        <v>52</v>
      </c>
      <c r="I1232" s="16"/>
      <c r="J1232" s="16" t="s">
        <v>382</v>
      </c>
      <c r="L1232" s="16"/>
      <c r="M1232" s="16"/>
      <c r="N1232" s="16"/>
      <c r="O1232" s="16">
        <v>737.15</v>
      </c>
      <c r="P1232" s="16"/>
      <c r="Q1232" s="16" t="b">
        <v>1</v>
      </c>
      <c r="R1232" s="16" t="b">
        <v>0</v>
      </c>
      <c r="S1232" s="16"/>
    </row>
    <row r="1233">
      <c r="A1233" s="16" t="s">
        <v>4952</v>
      </c>
      <c r="B1233" s="16" t="s">
        <v>65</v>
      </c>
      <c r="C1233" s="22">
        <v>46231.0</v>
      </c>
      <c r="D1233" s="16" t="s">
        <v>5080</v>
      </c>
      <c r="E1233" s="16" t="s">
        <v>6396</v>
      </c>
      <c r="F1233" s="16"/>
      <c r="G1233" s="16" t="s">
        <v>6398</v>
      </c>
      <c r="H1233" s="16" t="s">
        <v>6399</v>
      </c>
      <c r="I1233" s="16" t="b">
        <v>0</v>
      </c>
      <c r="J1233" s="16" t="s">
        <v>382</v>
      </c>
      <c r="L1233" s="16"/>
      <c r="M1233" s="16"/>
      <c r="N1233" s="16"/>
      <c r="O1233" s="16">
        <v>1148.69</v>
      </c>
      <c r="P1233" s="16"/>
      <c r="Q1233" s="16" t="b">
        <v>1</v>
      </c>
      <c r="R1233" s="16"/>
      <c r="S1233" s="16"/>
    </row>
    <row r="1234">
      <c r="A1234" s="16" t="s">
        <v>4957</v>
      </c>
      <c r="B1234" s="16" t="s">
        <v>65</v>
      </c>
      <c r="C1234" s="22">
        <v>46231.0</v>
      </c>
      <c r="D1234" s="16" t="s">
        <v>202</v>
      </c>
      <c r="E1234" s="16" t="s">
        <v>6400</v>
      </c>
      <c r="F1234" s="16"/>
      <c r="G1234" s="16" t="s">
        <v>6401</v>
      </c>
      <c r="H1234" s="16" t="s">
        <v>6402</v>
      </c>
      <c r="I1234" s="16" t="b">
        <v>0</v>
      </c>
      <c r="J1234" s="16" t="s">
        <v>382</v>
      </c>
      <c r="L1234" s="16"/>
      <c r="M1234" s="16"/>
      <c r="N1234" s="16"/>
      <c r="O1234" s="16">
        <v>92.0</v>
      </c>
      <c r="P1234" s="16"/>
      <c r="Q1234" s="16" t="b">
        <v>1</v>
      </c>
      <c r="R1234" s="16"/>
      <c r="S1234" s="16"/>
    </row>
    <row r="1235">
      <c r="A1235" s="16" t="s">
        <v>1278</v>
      </c>
      <c r="B1235" s="16" t="s">
        <v>65</v>
      </c>
      <c r="C1235" s="22">
        <v>46232.0</v>
      </c>
      <c r="D1235" s="16" t="s">
        <v>189</v>
      </c>
      <c r="E1235" s="16" t="s">
        <v>6405</v>
      </c>
      <c r="F1235" s="16"/>
      <c r="G1235" s="16" t="s">
        <v>6406</v>
      </c>
      <c r="H1235" s="16" t="s">
        <v>195</v>
      </c>
      <c r="I1235" s="16" t="b">
        <v>1</v>
      </c>
      <c r="J1235" s="16" t="s">
        <v>382</v>
      </c>
      <c r="L1235" s="16"/>
      <c r="M1235" s="16"/>
      <c r="N1235" s="16"/>
      <c r="O1235" s="16">
        <v>478.65</v>
      </c>
      <c r="P1235" s="23" t="s">
        <v>6407</v>
      </c>
      <c r="Q1235" s="16" t="b">
        <v>1</v>
      </c>
      <c r="R1235" s="16"/>
      <c r="S1235" s="16"/>
    </row>
    <row r="1236">
      <c r="A1236" s="16" t="s">
        <v>4975</v>
      </c>
      <c r="B1236" s="16" t="s">
        <v>65</v>
      </c>
      <c r="C1236" s="22">
        <v>46231.0</v>
      </c>
      <c r="D1236" s="16" t="s">
        <v>131</v>
      </c>
      <c r="E1236" s="16" t="s">
        <v>6408</v>
      </c>
      <c r="F1236" s="16"/>
      <c r="G1236" s="16" t="s">
        <v>6409</v>
      </c>
      <c r="H1236" s="16" t="s">
        <v>876</v>
      </c>
      <c r="I1236" s="16" t="b">
        <v>0</v>
      </c>
      <c r="J1236" s="16" t="s">
        <v>382</v>
      </c>
      <c r="L1236" s="16" t="s">
        <v>6410</v>
      </c>
      <c r="M1236" s="16"/>
      <c r="N1236" s="16"/>
      <c r="O1236" s="16">
        <v>13704.44</v>
      </c>
      <c r="P1236" s="16"/>
      <c r="Q1236" s="16" t="b">
        <v>1</v>
      </c>
      <c r="R1236" s="16"/>
      <c r="S1236" s="16"/>
    </row>
    <row r="1237">
      <c r="A1237" s="23" t="s">
        <v>1288</v>
      </c>
      <c r="B1237" s="16" t="s">
        <v>65</v>
      </c>
      <c r="C1237" s="22">
        <v>46230.0</v>
      </c>
      <c r="D1237" s="16" t="s">
        <v>6343</v>
      </c>
      <c r="E1237" s="16" t="s">
        <v>6411</v>
      </c>
      <c r="F1237" s="16"/>
      <c r="G1237" s="16" t="s">
        <v>6412</v>
      </c>
      <c r="H1237" s="16" t="s">
        <v>6413</v>
      </c>
      <c r="I1237" s="16" t="b">
        <v>1</v>
      </c>
      <c r="J1237" s="16" t="s">
        <v>382</v>
      </c>
      <c r="L1237" s="16"/>
      <c r="M1237" s="16"/>
      <c r="N1237" s="16"/>
      <c r="O1237" s="16">
        <v>75.67</v>
      </c>
      <c r="P1237" s="23" t="s">
        <v>6414</v>
      </c>
      <c r="Q1237" s="16" t="b">
        <v>1</v>
      </c>
      <c r="R1237" s="16"/>
      <c r="S1237" s="16"/>
    </row>
    <row r="1238">
      <c r="A1238" s="16" t="s">
        <v>1301</v>
      </c>
      <c r="B1238" s="16" t="s">
        <v>65</v>
      </c>
      <c r="C1238" s="22">
        <v>46233.0</v>
      </c>
      <c r="D1238" s="16" t="s">
        <v>1435</v>
      </c>
      <c r="E1238" s="16" t="s">
        <v>6415</v>
      </c>
      <c r="F1238" s="16"/>
      <c r="G1238" s="16" t="s">
        <v>6416</v>
      </c>
      <c r="H1238" s="16" t="s">
        <v>6417</v>
      </c>
      <c r="I1238" s="16" t="b">
        <v>1</v>
      </c>
      <c r="J1238" s="16" t="s">
        <v>382</v>
      </c>
      <c r="L1238" s="16"/>
      <c r="M1238" s="16"/>
      <c r="N1238" s="16"/>
      <c r="O1238" s="16">
        <v>69.98</v>
      </c>
      <c r="P1238" s="23" t="s">
        <v>6418</v>
      </c>
      <c r="Q1238" s="16" t="b">
        <v>1</v>
      </c>
      <c r="R1238" s="16"/>
      <c r="S1238" s="16"/>
    </row>
    <row r="1239">
      <c r="A1239" s="16" t="s">
        <v>1313</v>
      </c>
      <c r="B1239" s="16" t="s">
        <v>65</v>
      </c>
      <c r="C1239" s="22">
        <v>46233.0</v>
      </c>
      <c r="D1239" s="16" t="s">
        <v>6343</v>
      </c>
      <c r="E1239" s="16" t="s">
        <v>6420</v>
      </c>
      <c r="F1239" s="16"/>
      <c r="G1239" s="16" t="s">
        <v>6421</v>
      </c>
      <c r="H1239" s="16" t="s">
        <v>6413</v>
      </c>
      <c r="I1239" s="16" t="b">
        <v>1</v>
      </c>
      <c r="J1239" s="16" t="s">
        <v>382</v>
      </c>
      <c r="L1239" s="16"/>
      <c r="M1239" s="16"/>
      <c r="N1239" s="16"/>
      <c r="O1239" s="16">
        <v>118.38</v>
      </c>
      <c r="P1239" s="23" t="s">
        <v>6422</v>
      </c>
      <c r="Q1239" s="16" t="b">
        <v>1</v>
      </c>
      <c r="R1239" s="16"/>
      <c r="S1239" s="16"/>
    </row>
    <row r="1240">
      <c r="A1240" s="16" t="s">
        <v>1373</v>
      </c>
      <c r="B1240" s="16" t="s">
        <v>65</v>
      </c>
      <c r="C1240" s="22">
        <v>46235.0</v>
      </c>
      <c r="D1240" s="23" t="s">
        <v>6193</v>
      </c>
      <c r="E1240" s="16" t="s">
        <v>6424</v>
      </c>
      <c r="F1240" s="16"/>
      <c r="G1240" s="16" t="s">
        <v>6425</v>
      </c>
      <c r="H1240" s="16" t="s">
        <v>529</v>
      </c>
      <c r="I1240" s="16" t="b">
        <v>1</v>
      </c>
      <c r="J1240" s="16" t="s">
        <v>382</v>
      </c>
      <c r="L1240" s="16"/>
      <c r="M1240" s="16"/>
      <c r="N1240" s="16"/>
      <c r="O1240" s="16">
        <v>4.0</v>
      </c>
      <c r="P1240" s="23" t="s">
        <v>6426</v>
      </c>
      <c r="Q1240" s="16" t="b">
        <v>1</v>
      </c>
      <c r="R1240" s="16"/>
      <c r="S1240" s="16"/>
    </row>
    <row r="1241">
      <c r="A1241" s="23" t="s">
        <v>1357</v>
      </c>
      <c r="B1241" s="16" t="s">
        <v>65</v>
      </c>
      <c r="C1241" s="22">
        <v>46235.0</v>
      </c>
      <c r="D1241" s="16" t="s">
        <v>189</v>
      </c>
      <c r="E1241" s="16" t="s">
        <v>6427</v>
      </c>
      <c r="F1241" s="16"/>
      <c r="G1241" s="16" t="s">
        <v>6428</v>
      </c>
      <c r="H1241" s="16" t="s">
        <v>195</v>
      </c>
      <c r="I1241" s="16" t="b">
        <v>1</v>
      </c>
      <c r="J1241" s="16" t="s">
        <v>382</v>
      </c>
      <c r="L1241" s="16"/>
      <c r="M1241" s="16"/>
      <c r="N1241" s="16"/>
      <c r="O1241" s="16">
        <v>12.47</v>
      </c>
      <c r="P1241" s="23" t="s">
        <v>6429</v>
      </c>
      <c r="Q1241" s="16" t="b">
        <v>1</v>
      </c>
      <c r="R1241" s="16"/>
      <c r="S1241" s="16"/>
    </row>
    <row r="1242">
      <c r="A1242" s="16" t="s">
        <v>1363</v>
      </c>
      <c r="B1242" s="16" t="s">
        <v>65</v>
      </c>
      <c r="C1242" s="22">
        <v>46235.0</v>
      </c>
      <c r="D1242" s="16" t="s">
        <v>189</v>
      </c>
      <c r="E1242" s="16" t="s">
        <v>6427</v>
      </c>
      <c r="F1242" s="16"/>
      <c r="G1242" s="16" t="s">
        <v>6430</v>
      </c>
      <c r="H1242" s="16" t="s">
        <v>195</v>
      </c>
      <c r="I1242" s="16" t="b">
        <v>1</v>
      </c>
      <c r="J1242" s="16" t="s">
        <v>382</v>
      </c>
      <c r="L1242" s="16"/>
      <c r="M1242" s="16"/>
      <c r="N1242" s="16"/>
      <c r="O1242" s="16">
        <v>199.64</v>
      </c>
      <c r="P1242" s="23" t="s">
        <v>6432</v>
      </c>
      <c r="Q1242" s="16" t="b">
        <v>1</v>
      </c>
      <c r="R1242" s="16"/>
      <c r="S1242" s="16">
        <v>0.4</v>
      </c>
    </row>
    <row r="1243">
      <c r="A1243" s="16" t="s">
        <v>1425</v>
      </c>
      <c r="B1243" s="16" t="s">
        <v>65</v>
      </c>
      <c r="C1243" s="22">
        <v>46236.0</v>
      </c>
      <c r="D1243" s="16" t="s">
        <v>3175</v>
      </c>
      <c r="E1243" s="16" t="s">
        <v>6433</v>
      </c>
      <c r="F1243" s="16"/>
      <c r="G1243" s="16" t="s">
        <v>6434</v>
      </c>
      <c r="H1243" s="16" t="s">
        <v>3593</v>
      </c>
      <c r="I1243" s="16" t="b">
        <v>1</v>
      </c>
      <c r="J1243" s="16" t="s">
        <v>382</v>
      </c>
      <c r="L1243" s="16"/>
      <c r="M1243" s="16"/>
      <c r="N1243" s="16"/>
      <c r="O1243" s="16">
        <v>380.0</v>
      </c>
      <c r="P1243" s="23" t="s">
        <v>6435</v>
      </c>
      <c r="Q1243" s="16" t="b">
        <v>1</v>
      </c>
      <c r="R1243" s="16"/>
      <c r="S1243" s="16"/>
    </row>
    <row r="1244">
      <c r="A1244" s="16" t="s">
        <v>1410</v>
      </c>
      <c r="B1244" s="16" t="s">
        <v>65</v>
      </c>
      <c r="C1244" s="22">
        <v>46236.0</v>
      </c>
      <c r="D1244" s="16" t="s">
        <v>5445</v>
      </c>
      <c r="E1244" s="16" t="s">
        <v>6436</v>
      </c>
      <c r="F1244" s="16"/>
      <c r="G1244" s="16" t="s">
        <v>6437</v>
      </c>
      <c r="H1244" s="16" t="s">
        <v>5652</v>
      </c>
      <c r="I1244" s="16" t="b">
        <v>1</v>
      </c>
      <c r="J1244" s="16" t="s">
        <v>382</v>
      </c>
      <c r="L1244" s="16"/>
      <c r="M1244" s="16"/>
      <c r="N1244" s="16"/>
      <c r="O1244" s="16">
        <v>242.0</v>
      </c>
      <c r="P1244" s="23" t="s">
        <v>6439</v>
      </c>
      <c r="Q1244" s="16" t="b">
        <v>1</v>
      </c>
      <c r="R1244" s="16"/>
      <c r="S1244" s="16"/>
    </row>
    <row r="1245">
      <c r="A1245" s="23" t="s">
        <v>1418</v>
      </c>
      <c r="B1245" s="16" t="s">
        <v>65</v>
      </c>
      <c r="C1245" s="22">
        <v>46236.0</v>
      </c>
      <c r="D1245" s="16" t="s">
        <v>5965</v>
      </c>
      <c r="E1245" s="16" t="s">
        <v>6440</v>
      </c>
      <c r="F1245" s="16"/>
      <c r="G1245" s="16" t="s">
        <v>6441</v>
      </c>
      <c r="H1245" s="16" t="s">
        <v>5968</v>
      </c>
      <c r="I1245" s="16" t="b">
        <v>1</v>
      </c>
      <c r="J1245" s="16" t="s">
        <v>382</v>
      </c>
      <c r="L1245" s="16"/>
      <c r="M1245" s="16"/>
      <c r="N1245" s="16"/>
      <c r="O1245" s="16">
        <v>171.0</v>
      </c>
      <c r="P1245" s="23" t="s">
        <v>6442</v>
      </c>
      <c r="Q1245" s="16" t="b">
        <v>1</v>
      </c>
      <c r="R1245" s="16"/>
      <c r="S1245" s="16"/>
    </row>
    <row r="1246">
      <c r="A1246" s="16" t="s">
        <v>5015</v>
      </c>
      <c r="B1246" s="16" t="s">
        <v>65</v>
      </c>
      <c r="C1246" s="22">
        <v>46232.0</v>
      </c>
      <c r="D1246" s="16" t="s">
        <v>131</v>
      </c>
      <c r="E1246" s="16" t="s">
        <v>6443</v>
      </c>
      <c r="F1246" s="16"/>
      <c r="G1246" s="16" t="s">
        <v>6444</v>
      </c>
      <c r="H1246" s="16" t="s">
        <v>6445</v>
      </c>
      <c r="I1246" s="16" t="b">
        <v>0</v>
      </c>
      <c r="J1246" s="16" t="s">
        <v>382</v>
      </c>
      <c r="L1246" s="16" t="s">
        <v>6447</v>
      </c>
      <c r="M1246" s="16" t="s">
        <v>6448</v>
      </c>
      <c r="N1246" s="16" t="s">
        <v>6449</v>
      </c>
      <c r="O1246" s="16">
        <v>5524.55</v>
      </c>
      <c r="P1246" s="16"/>
      <c r="Q1246" s="16" t="b">
        <v>1</v>
      </c>
      <c r="R1246" s="16"/>
      <c r="S1246" s="16"/>
    </row>
    <row r="1247">
      <c r="A1247" s="16" t="s">
        <v>6450</v>
      </c>
      <c r="B1247" s="16" t="s">
        <v>65</v>
      </c>
      <c r="C1247" s="22">
        <v>46231.0</v>
      </c>
      <c r="D1247" s="16" t="s">
        <v>131</v>
      </c>
      <c r="E1247" s="16" t="s">
        <v>6451</v>
      </c>
      <c r="F1247" s="16"/>
      <c r="G1247" s="16" t="s">
        <v>6452</v>
      </c>
      <c r="H1247" s="16" t="s">
        <v>6453</v>
      </c>
      <c r="I1247" s="16" t="b">
        <v>0</v>
      </c>
      <c r="J1247" s="16" t="s">
        <v>382</v>
      </c>
      <c r="L1247" s="16"/>
      <c r="M1247" s="16"/>
      <c r="N1247" s="16"/>
      <c r="O1247" s="16"/>
      <c r="P1247" s="16"/>
      <c r="Q1247" s="16" t="b">
        <v>0</v>
      </c>
      <c r="R1247" s="16"/>
      <c r="S1247" s="16"/>
    </row>
    <row r="1248">
      <c r="A1248" s="16" t="s">
        <v>1436</v>
      </c>
      <c r="B1248" s="16" t="s">
        <v>65</v>
      </c>
      <c r="C1248" s="22">
        <v>46237.0</v>
      </c>
      <c r="D1248" s="16" t="s">
        <v>121</v>
      </c>
      <c r="E1248" s="16" t="s">
        <v>6456</v>
      </c>
      <c r="F1248" s="16"/>
      <c r="G1248" s="16" t="s">
        <v>6457</v>
      </c>
      <c r="H1248" s="16" t="s">
        <v>4507</v>
      </c>
      <c r="I1248" s="16" t="b">
        <v>1</v>
      </c>
      <c r="J1248" s="16" t="s">
        <v>382</v>
      </c>
      <c r="L1248" s="16"/>
      <c r="M1248" s="16"/>
      <c r="N1248" s="16"/>
      <c r="O1248" s="16">
        <v>13.0</v>
      </c>
      <c r="P1248" s="23" t="s">
        <v>6458</v>
      </c>
      <c r="Q1248" s="16" t="b">
        <v>1</v>
      </c>
      <c r="R1248" s="16"/>
      <c r="S1248" s="16"/>
    </row>
    <row r="1249">
      <c r="A1249" s="16" t="s">
        <v>1444</v>
      </c>
      <c r="B1249" s="16" t="s">
        <v>65</v>
      </c>
      <c r="C1249" s="22">
        <v>46237.0</v>
      </c>
      <c r="D1249" s="16" t="s">
        <v>557</v>
      </c>
      <c r="E1249" s="16" t="s">
        <v>6459</v>
      </c>
      <c r="F1249" s="16"/>
      <c r="G1249" s="16" t="s">
        <v>6460</v>
      </c>
      <c r="H1249" s="16" t="s">
        <v>5905</v>
      </c>
      <c r="I1249" s="16" t="b">
        <v>1</v>
      </c>
      <c r="J1249" s="16" t="s">
        <v>382</v>
      </c>
      <c r="L1249" s="16"/>
      <c r="M1249" s="16"/>
      <c r="N1249" s="16"/>
      <c r="O1249" s="16">
        <v>26.97</v>
      </c>
      <c r="P1249" s="23" t="s">
        <v>6462</v>
      </c>
      <c r="Q1249" s="16" t="b">
        <v>1</v>
      </c>
      <c r="R1249" s="16"/>
      <c r="S1249" s="16"/>
    </row>
    <row r="1250">
      <c r="A1250" s="16" t="s">
        <v>5026</v>
      </c>
      <c r="B1250" s="16" t="s">
        <v>65</v>
      </c>
      <c r="C1250" s="22">
        <v>46237.0</v>
      </c>
      <c r="D1250" s="16" t="s">
        <v>6312</v>
      </c>
      <c r="E1250" s="16" t="s">
        <v>6463</v>
      </c>
      <c r="F1250" s="16"/>
      <c r="G1250" s="16" t="s">
        <v>6464</v>
      </c>
      <c r="H1250" s="16" t="s">
        <v>6465</v>
      </c>
      <c r="I1250" s="16" t="b">
        <v>0</v>
      </c>
      <c r="J1250" s="16" t="s">
        <v>382</v>
      </c>
      <c r="L1250" s="16"/>
      <c r="M1250" s="16"/>
      <c r="N1250" s="16"/>
      <c r="O1250" s="16">
        <v>79.93</v>
      </c>
      <c r="P1250" s="16"/>
      <c r="Q1250" s="16" t="b">
        <v>1</v>
      </c>
      <c r="R1250" s="16"/>
      <c r="S1250" s="16"/>
    </row>
    <row r="1251">
      <c r="A1251" s="16" t="s">
        <v>5012</v>
      </c>
      <c r="B1251" s="16" t="s">
        <v>65</v>
      </c>
      <c r="C1251" s="22">
        <v>46226.0</v>
      </c>
      <c r="D1251" s="16" t="s">
        <v>189</v>
      </c>
      <c r="E1251" s="16" t="s">
        <v>6467</v>
      </c>
      <c r="F1251" s="16"/>
      <c r="G1251" s="16" t="s">
        <v>6468</v>
      </c>
      <c r="H1251" s="16" t="s">
        <v>114</v>
      </c>
      <c r="I1251" s="16" t="b">
        <v>1</v>
      </c>
      <c r="J1251" s="16" t="s">
        <v>382</v>
      </c>
      <c r="L1251" s="16"/>
      <c r="M1251" s="16"/>
      <c r="N1251" s="16"/>
      <c r="O1251" s="16">
        <v>473.57</v>
      </c>
      <c r="P1251" s="23" t="s">
        <v>6469</v>
      </c>
      <c r="Q1251" s="16" t="b">
        <v>1</v>
      </c>
      <c r="R1251" s="16"/>
      <c r="S1251" s="16"/>
    </row>
    <row r="1252">
      <c r="A1252" s="16" t="s">
        <v>5034</v>
      </c>
      <c r="B1252" s="16" t="s">
        <v>65</v>
      </c>
      <c r="C1252" s="22">
        <v>46237.0</v>
      </c>
      <c r="D1252" s="16" t="s">
        <v>189</v>
      </c>
      <c r="E1252" s="16" t="s">
        <v>6470</v>
      </c>
      <c r="F1252" s="16"/>
      <c r="G1252" s="16" t="s">
        <v>6471</v>
      </c>
      <c r="H1252" s="16" t="s">
        <v>195</v>
      </c>
      <c r="I1252" s="16" t="b">
        <v>0</v>
      </c>
      <c r="J1252" s="16" t="s">
        <v>382</v>
      </c>
      <c r="L1252" s="16"/>
      <c r="M1252" s="16"/>
      <c r="N1252" s="16"/>
      <c r="O1252" s="16">
        <v>504.1</v>
      </c>
      <c r="P1252" s="16"/>
      <c r="Q1252" s="16" t="b">
        <v>1</v>
      </c>
      <c r="R1252" s="16"/>
      <c r="S1252" s="16"/>
    </row>
    <row r="1253">
      <c r="A1253" s="16"/>
      <c r="B1253" s="16"/>
      <c r="C1253" s="22"/>
      <c r="D1253" s="16"/>
      <c r="E1253" s="16"/>
      <c r="F1253" s="16"/>
      <c r="G1253" s="16"/>
      <c r="H1253" s="16"/>
      <c r="I1253" s="16"/>
      <c r="J1253" s="16"/>
      <c r="L1253" s="16"/>
      <c r="M1253" s="16"/>
      <c r="N1253" s="16"/>
      <c r="O1253" s="16"/>
      <c r="P1253" s="16"/>
      <c r="Q1253" s="16"/>
      <c r="R1253" s="16"/>
      <c r="S1253" s="16"/>
    </row>
    <row r="1254">
      <c r="A1254" s="16">
        <v>1954.0</v>
      </c>
      <c r="B1254" s="16" t="s">
        <v>65</v>
      </c>
      <c r="C1254" s="22">
        <v>46237.0</v>
      </c>
      <c r="D1254" s="16" t="s">
        <v>1159</v>
      </c>
      <c r="E1254" s="16"/>
      <c r="F1254" s="16" t="s">
        <v>1383</v>
      </c>
      <c r="G1254" s="16"/>
      <c r="H1254" s="16" t="s">
        <v>1383</v>
      </c>
      <c r="I1254" s="16"/>
      <c r="J1254" s="16" t="s">
        <v>218</v>
      </c>
      <c r="L1254" s="16"/>
      <c r="M1254" s="16"/>
      <c r="N1254" s="16"/>
      <c r="O1254" s="16">
        <v>588.95</v>
      </c>
      <c r="P1254" s="16"/>
      <c r="Q1254" s="16" t="b">
        <v>1</v>
      </c>
      <c r="R1254" s="16" t="b">
        <v>0</v>
      </c>
      <c r="S1254" s="16"/>
    </row>
    <row r="1255">
      <c r="A1255" s="16">
        <v>1955.0</v>
      </c>
      <c r="B1255" s="16" t="s">
        <v>65</v>
      </c>
      <c r="C1255" s="22">
        <v>46237.0</v>
      </c>
      <c r="D1255" s="16" t="s">
        <v>1664</v>
      </c>
      <c r="E1255" s="16"/>
      <c r="F1255" s="16" t="s">
        <v>1389</v>
      </c>
      <c r="G1255" s="16"/>
      <c r="H1255" s="16" t="s">
        <v>1389</v>
      </c>
      <c r="I1255" s="16"/>
      <c r="J1255" s="16" t="s">
        <v>218</v>
      </c>
      <c r="L1255" s="16"/>
      <c r="M1255" s="16"/>
      <c r="N1255" s="16"/>
      <c r="O1255" s="16">
        <v>179.9</v>
      </c>
      <c r="P1255" s="16"/>
      <c r="Q1255" s="16" t="b">
        <v>1</v>
      </c>
      <c r="R1255" s="16" t="b">
        <v>0</v>
      </c>
      <c r="S1255" s="16"/>
    </row>
    <row r="1256">
      <c r="A1256" s="16">
        <v>1957.0</v>
      </c>
      <c r="B1256" s="16" t="s">
        <v>65</v>
      </c>
      <c r="C1256" s="22">
        <v>46237.0</v>
      </c>
      <c r="D1256" s="16" t="s">
        <v>342</v>
      </c>
      <c r="E1256" s="16"/>
      <c r="F1256" s="16" t="s">
        <v>1219</v>
      </c>
      <c r="G1256" s="16"/>
      <c r="H1256" s="16" t="s">
        <v>1219</v>
      </c>
      <c r="I1256" s="16"/>
      <c r="J1256" s="16" t="s">
        <v>218</v>
      </c>
      <c r="L1256" s="16"/>
      <c r="M1256" s="16"/>
      <c r="N1256" s="16"/>
      <c r="O1256" s="16">
        <v>1829.01</v>
      </c>
      <c r="P1256" s="16"/>
      <c r="Q1256" s="16" t="b">
        <v>1</v>
      </c>
      <c r="R1256" s="16" t="b">
        <v>0</v>
      </c>
      <c r="S1256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4" t="s">
        <v>1</v>
      </c>
      <c r="B1" s="4" t="s">
        <v>8</v>
      </c>
      <c r="C1" s="4" t="s">
        <v>1462</v>
      </c>
      <c r="D1" s="4" t="s">
        <v>1463</v>
      </c>
      <c r="E1" s="4" t="s">
        <v>46</v>
      </c>
      <c r="F1" s="4" t="s">
        <v>1466</v>
      </c>
    </row>
    <row r="2">
      <c r="A2" s="16" t="s">
        <v>1468</v>
      </c>
      <c r="B2" s="16" t="s">
        <v>1469</v>
      </c>
      <c r="C2" s="16" t="s">
        <v>1471</v>
      </c>
      <c r="D2" s="16">
        <v>1.0</v>
      </c>
      <c r="E2" s="16">
        <v>394.72</v>
      </c>
      <c r="F2" s="16">
        <v>394.72</v>
      </c>
    </row>
    <row r="3">
      <c r="A3" s="16" t="s">
        <v>1473</v>
      </c>
      <c r="B3" s="16" t="s">
        <v>1474</v>
      </c>
      <c r="C3" s="23" t="s">
        <v>1475</v>
      </c>
      <c r="D3" s="16">
        <v>15.0</v>
      </c>
      <c r="E3" s="16">
        <v>23.0</v>
      </c>
      <c r="F3" s="16">
        <v>345.0</v>
      </c>
    </row>
    <row r="4">
      <c r="A4" s="16" t="s">
        <v>1476</v>
      </c>
      <c r="B4" s="16" t="s">
        <v>1477</v>
      </c>
      <c r="C4" s="23" t="s">
        <v>1475</v>
      </c>
      <c r="D4" s="16">
        <v>11.0</v>
      </c>
      <c r="E4" s="16">
        <v>23.0</v>
      </c>
      <c r="F4" s="16">
        <v>253.0</v>
      </c>
    </row>
    <row r="5">
      <c r="A5" s="16" t="s">
        <v>1479</v>
      </c>
      <c r="B5" s="16" t="s">
        <v>1481</v>
      </c>
      <c r="C5" s="16" t="s">
        <v>1483</v>
      </c>
      <c r="D5" s="16">
        <v>5.38</v>
      </c>
      <c r="E5" s="16">
        <v>29.0</v>
      </c>
      <c r="F5" s="16">
        <v>156.02</v>
      </c>
    </row>
    <row r="6">
      <c r="A6" s="16" t="s">
        <v>1487</v>
      </c>
      <c r="B6" s="16" t="s">
        <v>1481</v>
      </c>
      <c r="C6" s="16" t="s">
        <v>1489</v>
      </c>
      <c r="D6" s="16">
        <v>3.0</v>
      </c>
      <c r="E6" s="16">
        <v>13.5</v>
      </c>
      <c r="F6" s="16">
        <v>40.5</v>
      </c>
    </row>
    <row r="7">
      <c r="A7" s="16" t="s">
        <v>1491</v>
      </c>
      <c r="B7" s="16" t="s">
        <v>1481</v>
      </c>
      <c r="C7" s="16" t="s">
        <v>1492</v>
      </c>
      <c r="D7" s="16">
        <v>4.232</v>
      </c>
      <c r="E7" s="16">
        <v>6.5</v>
      </c>
      <c r="F7" s="16">
        <v>27.51</v>
      </c>
    </row>
    <row r="8">
      <c r="A8" s="16" t="s">
        <v>1495</v>
      </c>
      <c r="B8" s="16" t="s">
        <v>1481</v>
      </c>
      <c r="C8" s="16" t="s">
        <v>1496</v>
      </c>
      <c r="D8" s="16">
        <v>10.0</v>
      </c>
      <c r="E8" s="16">
        <v>14.5</v>
      </c>
      <c r="F8" s="16">
        <v>145.0</v>
      </c>
    </row>
    <row r="9">
      <c r="A9" s="16" t="s">
        <v>1500</v>
      </c>
      <c r="B9" s="16" t="s">
        <v>1501</v>
      </c>
      <c r="C9" s="16" t="s">
        <v>1502</v>
      </c>
      <c r="D9" s="16">
        <v>3.0</v>
      </c>
      <c r="E9" s="16">
        <v>5.99</v>
      </c>
      <c r="F9" s="16">
        <v>17.97</v>
      </c>
    </row>
    <row r="10">
      <c r="A10" s="16" t="s">
        <v>1503</v>
      </c>
      <c r="B10" s="16" t="s">
        <v>1501</v>
      </c>
      <c r="C10" s="16" t="s">
        <v>1505</v>
      </c>
      <c r="D10" s="16">
        <v>1.0</v>
      </c>
      <c r="E10" s="16">
        <v>16.99</v>
      </c>
      <c r="F10" s="16">
        <v>16.99</v>
      </c>
    </row>
    <row r="11">
      <c r="A11" s="16" t="s">
        <v>1507</v>
      </c>
      <c r="B11" s="16" t="s">
        <v>1509</v>
      </c>
      <c r="C11" s="16" t="s">
        <v>1510</v>
      </c>
      <c r="D11" s="16">
        <v>60.0</v>
      </c>
      <c r="E11" s="16">
        <v>1.19</v>
      </c>
      <c r="F11" s="16">
        <v>71.4</v>
      </c>
    </row>
    <row r="12">
      <c r="A12" s="16" t="s">
        <v>1513</v>
      </c>
      <c r="B12" s="16" t="s">
        <v>1516</v>
      </c>
      <c r="C12" s="16" t="s">
        <v>1517</v>
      </c>
      <c r="D12" s="16">
        <v>36.0</v>
      </c>
      <c r="E12" s="16">
        <v>0.89</v>
      </c>
      <c r="F12" s="16">
        <v>32.04</v>
      </c>
    </row>
    <row r="13">
      <c r="A13" s="16" t="s">
        <v>1518</v>
      </c>
      <c r="B13" s="16" t="s">
        <v>1519</v>
      </c>
      <c r="C13" s="16" t="s">
        <v>467</v>
      </c>
      <c r="D13" s="16">
        <v>1.0</v>
      </c>
      <c r="E13" s="16">
        <v>58.5</v>
      </c>
      <c r="F13" s="16">
        <v>58.5</v>
      </c>
    </row>
    <row r="14">
      <c r="A14" s="16" t="s">
        <v>1520</v>
      </c>
      <c r="B14" s="16" t="s">
        <v>1521</v>
      </c>
      <c r="C14" s="16" t="s">
        <v>467</v>
      </c>
      <c r="D14" s="16">
        <v>1.0</v>
      </c>
      <c r="E14" s="16">
        <v>216.1</v>
      </c>
      <c r="F14" s="16">
        <v>216.1</v>
      </c>
    </row>
    <row r="15">
      <c r="A15" s="16" t="s">
        <v>1522</v>
      </c>
      <c r="B15" s="16" t="s">
        <v>1524</v>
      </c>
      <c r="C15" s="16" t="s">
        <v>467</v>
      </c>
      <c r="D15" s="16">
        <v>1.0</v>
      </c>
      <c r="E15" s="16">
        <v>110.5</v>
      </c>
      <c r="F15" s="16">
        <v>110.5</v>
      </c>
    </row>
    <row r="16">
      <c r="A16" s="16" t="s">
        <v>1526</v>
      </c>
      <c r="B16" s="16" t="s">
        <v>1527</v>
      </c>
      <c r="C16" s="16" t="s">
        <v>1510</v>
      </c>
      <c r="D16" s="16">
        <v>17.0</v>
      </c>
      <c r="E16" s="16">
        <v>11.88</v>
      </c>
      <c r="F16" s="16">
        <v>201.96</v>
      </c>
    </row>
    <row r="17">
      <c r="A17" s="16" t="s">
        <v>1531</v>
      </c>
      <c r="B17" s="16" t="s">
        <v>1532</v>
      </c>
      <c r="C17" s="23" t="s">
        <v>1533</v>
      </c>
      <c r="D17" s="16">
        <v>4.0</v>
      </c>
      <c r="E17" s="16">
        <v>12.99</v>
      </c>
      <c r="F17" s="16">
        <v>51.96</v>
      </c>
    </row>
    <row r="18">
      <c r="A18" s="16" t="s">
        <v>1534</v>
      </c>
      <c r="B18" s="16" t="s">
        <v>1535</v>
      </c>
      <c r="C18" s="16" t="s">
        <v>1496</v>
      </c>
      <c r="D18" s="16">
        <v>10.0</v>
      </c>
      <c r="E18" s="16">
        <v>14.5</v>
      </c>
      <c r="F18" s="16">
        <v>145.0</v>
      </c>
    </row>
    <row r="19">
      <c r="A19" s="16" t="s">
        <v>1536</v>
      </c>
      <c r="B19" s="16" t="s">
        <v>1535</v>
      </c>
      <c r="C19" s="16" t="s">
        <v>1483</v>
      </c>
      <c r="D19" s="16">
        <v>7.575</v>
      </c>
      <c r="E19" s="16">
        <v>29.0</v>
      </c>
      <c r="F19" s="16">
        <v>219.68</v>
      </c>
    </row>
    <row r="20">
      <c r="A20" s="23" t="s">
        <v>1538</v>
      </c>
      <c r="B20" s="16" t="s">
        <v>1535</v>
      </c>
      <c r="C20" s="16" t="s">
        <v>1539</v>
      </c>
      <c r="D20" s="16">
        <v>1.89</v>
      </c>
      <c r="E20" s="16">
        <v>10.5</v>
      </c>
      <c r="F20" s="16">
        <v>19.85</v>
      </c>
    </row>
    <row r="21">
      <c r="A21" s="16" t="s">
        <v>1540</v>
      </c>
      <c r="B21" s="16" t="s">
        <v>1535</v>
      </c>
      <c r="C21" s="16" t="s">
        <v>1492</v>
      </c>
      <c r="D21" s="16">
        <v>2.01</v>
      </c>
      <c r="E21" s="16">
        <v>5.99</v>
      </c>
      <c r="F21" s="16">
        <v>12.04</v>
      </c>
    </row>
    <row r="22">
      <c r="A22" s="16" t="s">
        <v>1544</v>
      </c>
      <c r="B22" s="16" t="s">
        <v>1545</v>
      </c>
      <c r="C22" s="16" t="s">
        <v>1547</v>
      </c>
      <c r="D22" s="16">
        <v>1.0</v>
      </c>
      <c r="E22" s="16">
        <v>13583.0</v>
      </c>
      <c r="F22" s="16">
        <v>13583.0</v>
      </c>
    </row>
    <row r="23">
      <c r="A23" s="16" t="s">
        <v>1548</v>
      </c>
      <c r="B23" s="16" t="s">
        <v>1545</v>
      </c>
      <c r="C23" s="16" t="s">
        <v>1549</v>
      </c>
      <c r="D23" s="16">
        <v>1.0</v>
      </c>
      <c r="E23" s="16">
        <v>1290.39</v>
      </c>
      <c r="F23" s="16">
        <v>1290.39</v>
      </c>
    </row>
    <row r="24">
      <c r="A24" s="16" t="s">
        <v>1550</v>
      </c>
      <c r="B24" s="16" t="s">
        <v>1545</v>
      </c>
      <c r="C24" s="16" t="s">
        <v>1551</v>
      </c>
      <c r="D24" s="16">
        <v>1.0</v>
      </c>
      <c r="E24" s="16">
        <v>273.45</v>
      </c>
      <c r="F24" s="16">
        <v>273.45</v>
      </c>
    </row>
    <row r="25">
      <c r="A25" s="16" t="s">
        <v>1553</v>
      </c>
      <c r="B25" s="16" t="s">
        <v>1554</v>
      </c>
      <c r="C25" s="16" t="s">
        <v>1555</v>
      </c>
      <c r="D25" s="16">
        <v>2.0</v>
      </c>
      <c r="E25" s="16">
        <v>19.99</v>
      </c>
      <c r="F25" s="16">
        <v>39.98</v>
      </c>
    </row>
    <row r="26">
      <c r="A26" s="16" t="s">
        <v>1556</v>
      </c>
      <c r="B26" s="16" t="s">
        <v>1558</v>
      </c>
      <c r="C26" s="23" t="s">
        <v>1475</v>
      </c>
      <c r="D26" s="16">
        <v>10.0</v>
      </c>
      <c r="E26" s="16">
        <v>23.0</v>
      </c>
      <c r="F26" s="16">
        <v>230.0</v>
      </c>
    </row>
    <row r="27">
      <c r="A27" s="16" t="s">
        <v>1561</v>
      </c>
      <c r="B27" s="16" t="s">
        <v>1562</v>
      </c>
      <c r="C27" s="16" t="s">
        <v>1502</v>
      </c>
      <c r="D27" s="16">
        <v>4.0</v>
      </c>
      <c r="E27" s="16">
        <v>5.99</v>
      </c>
      <c r="F27" s="16">
        <v>23.96</v>
      </c>
    </row>
    <row r="28">
      <c r="A28" s="16" t="s">
        <v>1563</v>
      </c>
      <c r="B28" s="16" t="s">
        <v>1562</v>
      </c>
      <c r="C28" s="16" t="s">
        <v>1565</v>
      </c>
      <c r="D28" s="16">
        <v>2.0</v>
      </c>
      <c r="E28" s="16">
        <v>18.99</v>
      </c>
      <c r="F28" s="16">
        <v>37.98</v>
      </c>
    </row>
    <row r="29">
      <c r="A29" s="16" t="s">
        <v>1567</v>
      </c>
      <c r="B29" s="16" t="s">
        <v>1562</v>
      </c>
      <c r="C29" s="16" t="s">
        <v>1568</v>
      </c>
      <c r="D29" s="16">
        <v>2.0</v>
      </c>
      <c r="E29" s="16">
        <v>7.99</v>
      </c>
      <c r="F29" s="16">
        <v>15.98</v>
      </c>
    </row>
    <row r="30">
      <c r="A30" s="16" t="s">
        <v>1570</v>
      </c>
      <c r="B30" s="16" t="s">
        <v>1562</v>
      </c>
      <c r="C30" s="16" t="s">
        <v>1571</v>
      </c>
      <c r="D30" s="16">
        <v>5.0</v>
      </c>
      <c r="E30" s="16">
        <v>0.99</v>
      </c>
      <c r="F30" s="16">
        <v>4.95</v>
      </c>
    </row>
    <row r="31">
      <c r="A31" s="16" t="s">
        <v>1572</v>
      </c>
      <c r="B31" s="16" t="s">
        <v>1562</v>
      </c>
      <c r="C31" s="16" t="s">
        <v>1574</v>
      </c>
      <c r="D31" s="16">
        <v>2.0</v>
      </c>
      <c r="E31" s="16">
        <v>2.49</v>
      </c>
      <c r="F31" s="16">
        <v>4.98</v>
      </c>
    </row>
    <row r="32">
      <c r="A32" s="16" t="s">
        <v>1577</v>
      </c>
      <c r="B32" s="16" t="s">
        <v>1562</v>
      </c>
      <c r="C32" s="16" t="s">
        <v>1578</v>
      </c>
      <c r="D32" s="16">
        <v>1.0</v>
      </c>
      <c r="E32" s="16">
        <v>22.99</v>
      </c>
      <c r="F32" s="16">
        <v>22.99</v>
      </c>
    </row>
    <row r="33">
      <c r="A33" s="16" t="s">
        <v>1579</v>
      </c>
      <c r="B33" s="16" t="s">
        <v>1562</v>
      </c>
      <c r="C33" s="16" t="s">
        <v>1580</v>
      </c>
      <c r="D33" s="16">
        <v>1.0</v>
      </c>
      <c r="E33" s="16">
        <v>4.99</v>
      </c>
      <c r="F33" s="16">
        <v>4.99</v>
      </c>
    </row>
    <row r="34">
      <c r="A34" s="16" t="s">
        <v>1582</v>
      </c>
      <c r="B34" s="16" t="s">
        <v>1562</v>
      </c>
      <c r="C34" s="16" t="s">
        <v>1583</v>
      </c>
      <c r="D34" s="16">
        <v>0.39</v>
      </c>
      <c r="E34" s="16">
        <v>6.99</v>
      </c>
      <c r="F34" s="16">
        <v>2.73</v>
      </c>
    </row>
    <row r="35">
      <c r="A35" s="16" t="s">
        <v>1585</v>
      </c>
      <c r="B35" s="16" t="s">
        <v>1586</v>
      </c>
      <c r="C35" s="16" t="s">
        <v>1587</v>
      </c>
      <c r="D35" s="16">
        <v>1.0</v>
      </c>
      <c r="E35" s="16">
        <v>5.99</v>
      </c>
      <c r="F35" s="16">
        <v>5.99</v>
      </c>
    </row>
    <row r="36">
      <c r="A36" s="16" t="s">
        <v>1589</v>
      </c>
      <c r="B36" s="16" t="s">
        <v>1586</v>
      </c>
      <c r="C36" s="16" t="s">
        <v>1591</v>
      </c>
      <c r="D36" s="16">
        <v>1.0</v>
      </c>
      <c r="E36" s="16">
        <v>72.99</v>
      </c>
      <c r="F36" s="16">
        <v>72.99</v>
      </c>
    </row>
    <row r="37">
      <c r="A37" s="16" t="s">
        <v>1592</v>
      </c>
      <c r="B37" s="16" t="s">
        <v>1586</v>
      </c>
      <c r="C37" s="16" t="s">
        <v>1593</v>
      </c>
      <c r="D37" s="16">
        <v>12.0</v>
      </c>
      <c r="E37" s="16">
        <v>9.69</v>
      </c>
      <c r="F37" s="16">
        <v>116.28</v>
      </c>
    </row>
    <row r="38">
      <c r="A38" s="16" t="s">
        <v>1596</v>
      </c>
      <c r="B38" s="16" t="s">
        <v>1586</v>
      </c>
      <c r="C38" s="16" t="s">
        <v>1591</v>
      </c>
      <c r="D38" s="16">
        <v>1.0</v>
      </c>
      <c r="E38" s="16">
        <v>19.99</v>
      </c>
      <c r="F38" s="16">
        <v>19.99</v>
      </c>
    </row>
    <row r="39">
      <c r="A39" s="16" t="s">
        <v>1600</v>
      </c>
      <c r="B39" s="16" t="s">
        <v>1586</v>
      </c>
      <c r="C39" s="16" t="s">
        <v>1601</v>
      </c>
      <c r="D39" s="16">
        <v>1.0</v>
      </c>
      <c r="E39" s="16">
        <v>21.99</v>
      </c>
      <c r="F39" s="16">
        <v>21.99</v>
      </c>
    </row>
    <row r="40">
      <c r="A40" s="23" t="s">
        <v>1603</v>
      </c>
      <c r="B40" s="16" t="s">
        <v>1586</v>
      </c>
      <c r="C40" s="16" t="s">
        <v>1606</v>
      </c>
      <c r="D40" s="16">
        <v>1.0</v>
      </c>
      <c r="E40" s="16">
        <v>19.9</v>
      </c>
      <c r="F40" s="16">
        <v>19.9</v>
      </c>
    </row>
    <row r="41">
      <c r="A41" s="16" t="s">
        <v>1607</v>
      </c>
      <c r="B41" s="16" t="s">
        <v>1608</v>
      </c>
      <c r="C41" s="23" t="s">
        <v>1475</v>
      </c>
      <c r="D41" s="16">
        <v>7.0</v>
      </c>
      <c r="E41" s="16">
        <v>23.0</v>
      </c>
      <c r="F41" s="16">
        <v>161.0</v>
      </c>
    </row>
    <row r="42">
      <c r="A42" s="16" t="s">
        <v>1611</v>
      </c>
      <c r="B42" s="16" t="s">
        <v>1613</v>
      </c>
      <c r="C42" s="16" t="s">
        <v>1549</v>
      </c>
      <c r="D42" s="16">
        <v>1.0</v>
      </c>
      <c r="E42" s="16">
        <v>451.92</v>
      </c>
      <c r="F42" s="16">
        <v>451.92</v>
      </c>
    </row>
    <row r="43">
      <c r="A43" s="16" t="s">
        <v>1614</v>
      </c>
      <c r="B43" s="16" t="s">
        <v>1613</v>
      </c>
      <c r="C43" s="16" t="s">
        <v>1616</v>
      </c>
      <c r="D43" s="16">
        <v>1.0</v>
      </c>
      <c r="E43" s="16">
        <v>4757.05</v>
      </c>
      <c r="F43" s="16">
        <v>4757.05</v>
      </c>
    </row>
    <row r="44">
      <c r="A44" s="16" t="s">
        <v>1619</v>
      </c>
      <c r="B44" s="16" t="s">
        <v>1621</v>
      </c>
      <c r="C44" s="16" t="s">
        <v>1489</v>
      </c>
      <c r="D44" s="16">
        <v>3.0</v>
      </c>
      <c r="E44" s="16">
        <v>7.99</v>
      </c>
      <c r="F44" s="16">
        <v>23.97</v>
      </c>
    </row>
    <row r="45">
      <c r="A45" s="16" t="s">
        <v>1623</v>
      </c>
      <c r="B45" s="16" t="s">
        <v>1621</v>
      </c>
      <c r="C45" s="16" t="s">
        <v>1483</v>
      </c>
      <c r="D45" s="16">
        <v>2.88</v>
      </c>
      <c r="E45" s="16">
        <v>20.99</v>
      </c>
      <c r="F45" s="16">
        <v>60.45</v>
      </c>
    </row>
    <row r="46">
      <c r="A46" s="16" t="s">
        <v>1628</v>
      </c>
      <c r="B46" s="16" t="s">
        <v>1621</v>
      </c>
      <c r="C46" s="16" t="s">
        <v>1492</v>
      </c>
      <c r="D46" s="16">
        <v>2.6</v>
      </c>
      <c r="E46" s="16">
        <v>5.49</v>
      </c>
      <c r="F46" s="16">
        <v>14.27</v>
      </c>
    </row>
    <row r="47">
      <c r="A47" s="16" t="s">
        <v>1630</v>
      </c>
      <c r="B47" s="16" t="s">
        <v>1621</v>
      </c>
      <c r="C47" s="16" t="s">
        <v>1492</v>
      </c>
      <c r="D47" s="16">
        <v>2.55</v>
      </c>
      <c r="E47" s="16">
        <v>5.49</v>
      </c>
      <c r="F47" s="16">
        <v>14.0</v>
      </c>
    </row>
    <row r="48">
      <c r="A48" s="16" t="s">
        <v>1633</v>
      </c>
      <c r="B48" s="16" t="s">
        <v>1621</v>
      </c>
      <c r="C48" s="16" t="s">
        <v>1539</v>
      </c>
      <c r="D48" s="16">
        <v>2.54</v>
      </c>
      <c r="E48" s="16">
        <v>5.99</v>
      </c>
      <c r="F48" s="16">
        <v>15.21</v>
      </c>
    </row>
    <row r="49">
      <c r="A49" s="16" t="s">
        <v>1635</v>
      </c>
      <c r="B49" s="16" t="s">
        <v>1621</v>
      </c>
      <c r="C49" s="16" t="s">
        <v>1539</v>
      </c>
      <c r="D49" s="16">
        <v>3.83</v>
      </c>
      <c r="E49" s="16">
        <v>5.99</v>
      </c>
      <c r="F49" s="16">
        <v>22.94</v>
      </c>
    </row>
    <row r="50">
      <c r="A50" s="16" t="s">
        <v>1636</v>
      </c>
      <c r="B50" s="16" t="s">
        <v>1637</v>
      </c>
      <c r="C50" s="16" t="s">
        <v>1606</v>
      </c>
      <c r="D50" s="16">
        <v>1.0</v>
      </c>
      <c r="E50" s="16">
        <v>16.99</v>
      </c>
      <c r="F50" s="16">
        <v>16.99</v>
      </c>
    </row>
    <row r="51">
      <c r="A51" s="16" t="s">
        <v>1639</v>
      </c>
      <c r="B51" s="16" t="s">
        <v>1637</v>
      </c>
      <c r="C51" s="16" t="s">
        <v>1593</v>
      </c>
      <c r="D51" s="16">
        <v>1.0</v>
      </c>
      <c r="E51" s="16">
        <v>10.99</v>
      </c>
      <c r="F51" s="16">
        <v>10.99</v>
      </c>
    </row>
    <row r="52">
      <c r="A52" s="16" t="s">
        <v>1640</v>
      </c>
      <c r="B52" s="16" t="s">
        <v>1637</v>
      </c>
      <c r="C52" s="16" t="s">
        <v>1642</v>
      </c>
      <c r="D52" s="16">
        <v>5.0</v>
      </c>
      <c r="E52" s="16">
        <v>32.99</v>
      </c>
      <c r="F52" s="16">
        <v>164.95</v>
      </c>
    </row>
    <row r="53">
      <c r="A53" s="16" t="s">
        <v>1644</v>
      </c>
      <c r="B53" s="16" t="s">
        <v>1637</v>
      </c>
      <c r="C53" s="16" t="s">
        <v>1646</v>
      </c>
      <c r="D53" s="16">
        <v>15.0</v>
      </c>
      <c r="E53" s="16">
        <v>15.69</v>
      </c>
      <c r="F53" s="16">
        <v>235.35</v>
      </c>
    </row>
    <row r="54">
      <c r="A54" s="16" t="s">
        <v>1647</v>
      </c>
      <c r="B54" s="16" t="s">
        <v>1637</v>
      </c>
      <c r="C54" s="16" t="s">
        <v>1646</v>
      </c>
      <c r="D54" s="16">
        <v>5.0</v>
      </c>
      <c r="E54" s="16">
        <v>14.99</v>
      </c>
      <c r="F54" s="16">
        <v>74.95</v>
      </c>
    </row>
    <row r="55">
      <c r="A55" s="16" t="s">
        <v>1648</v>
      </c>
      <c r="B55" s="16" t="s">
        <v>1637</v>
      </c>
      <c r="C55" s="16" t="s">
        <v>1649</v>
      </c>
      <c r="D55" s="16">
        <v>2.0</v>
      </c>
      <c r="E55" s="16">
        <v>9.99</v>
      </c>
      <c r="F55" s="16">
        <v>19.98</v>
      </c>
    </row>
    <row r="56">
      <c r="A56" s="16" t="s">
        <v>1651</v>
      </c>
      <c r="B56" s="16" t="s">
        <v>1652</v>
      </c>
      <c r="C56" s="23" t="s">
        <v>1653</v>
      </c>
      <c r="D56" s="16">
        <v>4.0</v>
      </c>
      <c r="E56" s="16">
        <v>20.34</v>
      </c>
      <c r="F56" s="16">
        <v>81.36</v>
      </c>
    </row>
    <row r="57">
      <c r="A57" s="16" t="s">
        <v>1655</v>
      </c>
      <c r="B57" s="16" t="s">
        <v>1652</v>
      </c>
      <c r="C57" s="16" t="s">
        <v>1656</v>
      </c>
      <c r="D57" s="16">
        <v>3.0</v>
      </c>
      <c r="E57" s="16">
        <v>41.76</v>
      </c>
      <c r="F57" s="16">
        <v>125.28</v>
      </c>
    </row>
    <row r="58">
      <c r="A58" s="16" t="s">
        <v>1659</v>
      </c>
      <c r="B58" s="16" t="s">
        <v>1652</v>
      </c>
      <c r="C58" s="16" t="s">
        <v>1660</v>
      </c>
      <c r="D58" s="16">
        <v>10.0</v>
      </c>
      <c r="E58" s="16">
        <v>41.76</v>
      </c>
      <c r="F58" s="16">
        <v>417.6</v>
      </c>
    </row>
    <row r="59">
      <c r="A59" s="16" t="s">
        <v>1661</v>
      </c>
      <c r="B59" s="16" t="s">
        <v>1652</v>
      </c>
      <c r="C59" s="16" t="s">
        <v>1662</v>
      </c>
      <c r="D59" s="16">
        <v>4.0</v>
      </c>
      <c r="E59" s="16">
        <v>20.34</v>
      </c>
      <c r="F59" s="16">
        <v>81.36</v>
      </c>
    </row>
    <row r="60">
      <c r="A60" s="16" t="s">
        <v>1663</v>
      </c>
      <c r="B60" s="16" t="s">
        <v>1652</v>
      </c>
      <c r="C60" s="16" t="s">
        <v>1517</v>
      </c>
      <c r="D60" s="16">
        <v>8.0</v>
      </c>
      <c r="E60" s="16">
        <v>14.28</v>
      </c>
      <c r="F60" s="16">
        <v>114.24</v>
      </c>
    </row>
    <row r="61">
      <c r="A61" s="16" t="s">
        <v>1666</v>
      </c>
      <c r="B61" s="16" t="s">
        <v>1652</v>
      </c>
      <c r="C61" s="16" t="s">
        <v>1510</v>
      </c>
      <c r="D61" s="16">
        <v>4.0</v>
      </c>
      <c r="E61" s="16">
        <v>11.88</v>
      </c>
      <c r="F61" s="16">
        <v>47.52</v>
      </c>
    </row>
    <row r="62">
      <c r="A62" s="16" t="s">
        <v>1668</v>
      </c>
      <c r="B62" s="16" t="s">
        <v>1670</v>
      </c>
      <c r="C62" s="23" t="s">
        <v>1475</v>
      </c>
      <c r="D62" s="16">
        <v>13.0</v>
      </c>
      <c r="E62" s="16">
        <v>23.0</v>
      </c>
      <c r="F62" s="16">
        <v>299.0</v>
      </c>
    </row>
    <row r="63">
      <c r="A63" s="16" t="s">
        <v>1671</v>
      </c>
      <c r="B63" s="16" t="s">
        <v>1672</v>
      </c>
      <c r="C63" s="16" t="s">
        <v>210</v>
      </c>
      <c r="D63" s="16">
        <v>1.0</v>
      </c>
      <c r="E63" s="16">
        <v>3460.0</v>
      </c>
      <c r="F63" s="16">
        <v>3460.0</v>
      </c>
    </row>
    <row r="64">
      <c r="A64" s="16" t="s">
        <v>1673</v>
      </c>
      <c r="B64" s="16" t="s">
        <v>1672</v>
      </c>
      <c r="C64" s="16" t="s">
        <v>1551</v>
      </c>
      <c r="D64" s="16">
        <v>1.0</v>
      </c>
      <c r="E64" s="16">
        <v>321.75</v>
      </c>
      <c r="F64" s="16">
        <v>321.75</v>
      </c>
    </row>
    <row r="65">
      <c r="A65" s="16" t="s">
        <v>1675</v>
      </c>
      <c r="B65" s="16" t="s">
        <v>1676</v>
      </c>
      <c r="C65" s="23" t="s">
        <v>1475</v>
      </c>
      <c r="D65" s="16">
        <v>11.0</v>
      </c>
      <c r="E65" s="16">
        <v>23.0</v>
      </c>
      <c r="F65" s="16">
        <v>253.0</v>
      </c>
    </row>
    <row r="66">
      <c r="A66" s="16" t="s">
        <v>1677</v>
      </c>
      <c r="B66" s="16" t="s">
        <v>1679</v>
      </c>
      <c r="C66" s="16" t="s">
        <v>1680</v>
      </c>
      <c r="D66" s="16">
        <v>1.0</v>
      </c>
      <c r="E66" s="16">
        <v>2.59</v>
      </c>
      <c r="F66" s="16">
        <v>2.59</v>
      </c>
    </row>
    <row r="67">
      <c r="A67" s="16" t="s">
        <v>1682</v>
      </c>
      <c r="B67" s="16" t="s">
        <v>1683</v>
      </c>
      <c r="C67" s="16" t="s">
        <v>467</v>
      </c>
      <c r="D67" s="16">
        <v>1.0</v>
      </c>
      <c r="E67" s="16">
        <v>133.0</v>
      </c>
      <c r="F67" s="16">
        <v>133.0</v>
      </c>
    </row>
    <row r="68">
      <c r="A68" s="16" t="s">
        <v>1684</v>
      </c>
      <c r="B68" s="16" t="s">
        <v>1686</v>
      </c>
      <c r="C68" s="16" t="s">
        <v>1483</v>
      </c>
      <c r="D68" s="16">
        <v>5.03</v>
      </c>
      <c r="E68" s="16">
        <v>29.0</v>
      </c>
      <c r="F68" s="16">
        <v>145.87</v>
      </c>
    </row>
    <row r="69">
      <c r="A69" s="16" t="s">
        <v>1689</v>
      </c>
      <c r="B69" s="16" t="s">
        <v>1686</v>
      </c>
      <c r="C69" s="16" t="s">
        <v>1492</v>
      </c>
      <c r="D69" s="16">
        <v>3.075</v>
      </c>
      <c r="E69" s="16">
        <v>5.99</v>
      </c>
      <c r="F69" s="16">
        <v>18.42</v>
      </c>
    </row>
    <row r="70">
      <c r="A70" s="16" t="s">
        <v>1690</v>
      </c>
      <c r="B70" s="16" t="s">
        <v>1686</v>
      </c>
      <c r="C70" s="16" t="s">
        <v>1496</v>
      </c>
      <c r="D70" s="16">
        <v>5.0</v>
      </c>
      <c r="E70" s="16">
        <v>14.5</v>
      </c>
      <c r="F70" s="16">
        <v>72.5</v>
      </c>
    </row>
    <row r="71">
      <c r="A71" s="16" t="s">
        <v>1691</v>
      </c>
      <c r="B71" s="16" t="s">
        <v>1693</v>
      </c>
      <c r="C71" s="16" t="s">
        <v>1694</v>
      </c>
      <c r="D71" s="16">
        <v>15.0</v>
      </c>
      <c r="E71" s="16">
        <v>160.0</v>
      </c>
      <c r="F71" s="16">
        <v>2400.0</v>
      </c>
    </row>
    <row r="72">
      <c r="A72" s="16" t="s">
        <v>1696</v>
      </c>
      <c r="B72" s="16" t="s">
        <v>1697</v>
      </c>
      <c r="C72" s="16" t="s">
        <v>1510</v>
      </c>
      <c r="D72" s="16">
        <v>1.0</v>
      </c>
      <c r="E72" s="16">
        <v>11.88</v>
      </c>
      <c r="F72" s="16">
        <v>11.88</v>
      </c>
    </row>
    <row r="73">
      <c r="A73" s="16" t="s">
        <v>1698</v>
      </c>
      <c r="B73" s="16" t="s">
        <v>1699</v>
      </c>
      <c r="C73" s="16" t="s">
        <v>1483</v>
      </c>
      <c r="D73" s="16">
        <v>6.09</v>
      </c>
      <c r="E73" s="16">
        <v>29.0</v>
      </c>
      <c r="F73" s="16">
        <v>176.61</v>
      </c>
    </row>
    <row r="74">
      <c r="A74" s="16" t="s">
        <v>1700</v>
      </c>
      <c r="B74" s="16" t="s">
        <v>1699</v>
      </c>
      <c r="C74" s="16" t="s">
        <v>1496</v>
      </c>
      <c r="D74" s="16">
        <v>10.0</v>
      </c>
      <c r="E74" s="16">
        <v>14.5</v>
      </c>
      <c r="F74" s="16">
        <v>145.0</v>
      </c>
    </row>
    <row r="75">
      <c r="A75" s="16" t="s">
        <v>1702</v>
      </c>
      <c r="B75" s="16" t="s">
        <v>1699</v>
      </c>
      <c r="C75" s="16" t="s">
        <v>1492</v>
      </c>
      <c r="D75" s="16">
        <v>2.0</v>
      </c>
      <c r="E75" s="16">
        <v>5.99</v>
      </c>
      <c r="F75" s="16">
        <v>11.98</v>
      </c>
    </row>
    <row r="76">
      <c r="A76" s="16" t="s">
        <v>1704</v>
      </c>
      <c r="B76" s="16" t="s">
        <v>1705</v>
      </c>
      <c r="C76" s="16" t="s">
        <v>1656</v>
      </c>
      <c r="D76" s="16">
        <v>2.0</v>
      </c>
      <c r="E76" s="16">
        <v>41.76</v>
      </c>
      <c r="F76" s="16">
        <v>83.52</v>
      </c>
    </row>
    <row r="77">
      <c r="A77" s="16" t="s">
        <v>1707</v>
      </c>
      <c r="B77" s="16" t="s">
        <v>1705</v>
      </c>
      <c r="C77" s="16" t="s">
        <v>1510</v>
      </c>
      <c r="D77" s="16">
        <v>1.0</v>
      </c>
      <c r="E77" s="16">
        <v>15.48</v>
      </c>
      <c r="F77" s="16">
        <v>15.48</v>
      </c>
    </row>
    <row r="78">
      <c r="A78" s="16" t="s">
        <v>1708</v>
      </c>
      <c r="B78" s="16" t="s">
        <v>1705</v>
      </c>
      <c r="C78" s="16" t="s">
        <v>1510</v>
      </c>
      <c r="D78" s="16">
        <v>15.0</v>
      </c>
      <c r="E78" s="16">
        <v>11.88</v>
      </c>
      <c r="F78" s="16">
        <v>178.2</v>
      </c>
    </row>
    <row r="79">
      <c r="A79" s="16" t="s">
        <v>1710</v>
      </c>
      <c r="B79" s="16" t="s">
        <v>1712</v>
      </c>
      <c r="C79" s="16" t="s">
        <v>467</v>
      </c>
      <c r="D79" s="16">
        <v>1.0</v>
      </c>
      <c r="E79" s="16">
        <v>66.3</v>
      </c>
      <c r="F79" s="16">
        <v>66.3</v>
      </c>
    </row>
    <row r="80">
      <c r="A80" s="16" t="s">
        <v>1715</v>
      </c>
      <c r="B80" s="16" t="s">
        <v>1717</v>
      </c>
      <c r="C80" s="16" t="s">
        <v>1502</v>
      </c>
      <c r="D80" s="16">
        <v>0.338</v>
      </c>
      <c r="E80" s="16">
        <v>16.99</v>
      </c>
      <c r="F80" s="16">
        <v>5.74</v>
      </c>
    </row>
    <row r="81">
      <c r="A81" s="16" t="s">
        <v>1719</v>
      </c>
      <c r="B81" s="16" t="s">
        <v>1717</v>
      </c>
      <c r="C81" s="16" t="s">
        <v>1565</v>
      </c>
      <c r="D81" s="16">
        <v>1.0</v>
      </c>
      <c r="E81" s="16">
        <v>17.99</v>
      </c>
      <c r="F81" s="16">
        <v>17.99</v>
      </c>
    </row>
    <row r="82">
      <c r="A82" s="16" t="s">
        <v>1722</v>
      </c>
      <c r="B82" s="16" t="s">
        <v>1717</v>
      </c>
      <c r="C82" s="16" t="s">
        <v>1568</v>
      </c>
      <c r="D82" s="16">
        <v>1.0</v>
      </c>
      <c r="E82" s="16">
        <v>19.98</v>
      </c>
      <c r="F82" s="16">
        <v>19.98</v>
      </c>
    </row>
    <row r="83">
      <c r="A83" s="16" t="s">
        <v>1724</v>
      </c>
      <c r="B83" s="16" t="s">
        <v>1717</v>
      </c>
      <c r="C83" s="16" t="s">
        <v>1726</v>
      </c>
      <c r="D83" s="16">
        <v>0.602</v>
      </c>
      <c r="E83" s="16">
        <v>14.99</v>
      </c>
      <c r="F83" s="16">
        <v>9.02</v>
      </c>
    </row>
    <row r="84">
      <c r="A84" s="16" t="s">
        <v>1728</v>
      </c>
      <c r="B84" s="16" t="s">
        <v>1730</v>
      </c>
      <c r="C84" s="16" t="s">
        <v>1731</v>
      </c>
      <c r="D84" s="16">
        <v>1.0</v>
      </c>
      <c r="E84" s="16">
        <v>18.99</v>
      </c>
      <c r="F84" s="16">
        <v>18.99</v>
      </c>
    </row>
    <row r="85">
      <c r="A85" s="16" t="s">
        <v>1732</v>
      </c>
      <c r="B85" s="16" t="s">
        <v>1730</v>
      </c>
      <c r="C85" s="16" t="s">
        <v>1492</v>
      </c>
      <c r="D85" s="16">
        <v>3.12</v>
      </c>
      <c r="E85" s="16">
        <v>5.49</v>
      </c>
      <c r="F85" s="16">
        <v>17.13</v>
      </c>
    </row>
    <row r="86">
      <c r="A86" s="16" t="s">
        <v>1734</v>
      </c>
      <c r="B86" s="16" t="s">
        <v>1730</v>
      </c>
      <c r="C86" s="16" t="s">
        <v>1578</v>
      </c>
      <c r="D86" s="16">
        <v>1.0</v>
      </c>
      <c r="E86" s="16">
        <v>24.99</v>
      </c>
      <c r="F86" s="16">
        <v>24.99</v>
      </c>
    </row>
    <row r="87">
      <c r="A87" s="16" t="s">
        <v>1735</v>
      </c>
      <c r="B87" s="16" t="s">
        <v>1730</v>
      </c>
      <c r="C87" s="16" t="s">
        <v>1726</v>
      </c>
      <c r="D87" s="16">
        <v>0.42</v>
      </c>
      <c r="E87" s="16">
        <v>12.99</v>
      </c>
      <c r="F87" s="16">
        <v>5.46</v>
      </c>
    </row>
    <row r="88">
      <c r="A88" s="16" t="s">
        <v>1741</v>
      </c>
      <c r="B88" s="16" t="s">
        <v>1730</v>
      </c>
      <c r="C88" s="16" t="s">
        <v>1743</v>
      </c>
      <c r="D88" s="16">
        <v>2.0</v>
      </c>
      <c r="E88" s="16">
        <v>6.99</v>
      </c>
      <c r="F88" s="16">
        <v>13.98</v>
      </c>
    </row>
    <row r="89">
      <c r="A89" s="16" t="s">
        <v>1745</v>
      </c>
      <c r="B89" s="16" t="s">
        <v>1730</v>
      </c>
      <c r="C89" s="16" t="s">
        <v>1565</v>
      </c>
      <c r="D89" s="16">
        <v>1.0</v>
      </c>
      <c r="E89" s="16">
        <v>11.99</v>
      </c>
      <c r="F89" s="16">
        <v>11.99</v>
      </c>
    </row>
    <row r="90">
      <c r="A90" s="16" t="s">
        <v>1747</v>
      </c>
      <c r="B90" s="16" t="s">
        <v>1730</v>
      </c>
      <c r="C90" s="16" t="s">
        <v>1568</v>
      </c>
      <c r="D90" s="16">
        <v>2.0</v>
      </c>
      <c r="E90" s="16">
        <v>7.99</v>
      </c>
      <c r="F90" s="16">
        <v>15.98</v>
      </c>
    </row>
    <row r="91">
      <c r="A91" s="16" t="s">
        <v>1748</v>
      </c>
      <c r="B91" s="16" t="s">
        <v>1730</v>
      </c>
      <c r="C91" s="16" t="s">
        <v>1750</v>
      </c>
      <c r="D91" s="16">
        <v>1.0</v>
      </c>
      <c r="E91" s="16">
        <v>5.49</v>
      </c>
      <c r="F91" s="16">
        <v>5.49</v>
      </c>
    </row>
    <row r="92">
      <c r="A92" s="16" t="s">
        <v>1752</v>
      </c>
      <c r="B92" s="16" t="s">
        <v>1730</v>
      </c>
      <c r="C92" s="16" t="s">
        <v>1502</v>
      </c>
      <c r="D92" s="16">
        <v>5.0</v>
      </c>
      <c r="E92" s="16">
        <v>4.99</v>
      </c>
      <c r="F92" s="16">
        <v>24.95</v>
      </c>
    </row>
    <row r="93">
      <c r="A93" s="16" t="s">
        <v>1753</v>
      </c>
      <c r="B93" s="16" t="s">
        <v>1730</v>
      </c>
      <c r="C93" s="16" t="s">
        <v>1754</v>
      </c>
      <c r="D93" s="16">
        <v>1.0</v>
      </c>
      <c r="E93" s="16">
        <v>8.99</v>
      </c>
      <c r="F93" s="16">
        <v>8.99</v>
      </c>
    </row>
    <row r="94">
      <c r="A94" s="16" t="s">
        <v>1755</v>
      </c>
      <c r="B94" s="16" t="s">
        <v>1730</v>
      </c>
      <c r="C94" s="16" t="s">
        <v>1539</v>
      </c>
      <c r="D94" s="16">
        <v>3.549</v>
      </c>
      <c r="E94" s="16">
        <v>6.99</v>
      </c>
      <c r="F94" s="16">
        <v>24.81</v>
      </c>
    </row>
    <row r="95">
      <c r="A95" s="16" t="s">
        <v>1757</v>
      </c>
      <c r="B95" s="16" t="s">
        <v>1730</v>
      </c>
      <c r="C95" s="16" t="s">
        <v>1565</v>
      </c>
      <c r="D95" s="16">
        <v>3.0</v>
      </c>
      <c r="E95" s="16">
        <v>11.99</v>
      </c>
      <c r="F95" s="16">
        <v>35.97</v>
      </c>
    </row>
    <row r="96">
      <c r="A96" s="16" t="s">
        <v>1759</v>
      </c>
      <c r="B96" s="16" t="s">
        <v>1730</v>
      </c>
      <c r="C96" s="16" t="s">
        <v>1496</v>
      </c>
      <c r="D96" s="16">
        <v>13.0</v>
      </c>
      <c r="E96" s="16">
        <v>12.99</v>
      </c>
      <c r="F96" s="16">
        <v>168.87</v>
      </c>
    </row>
    <row r="97">
      <c r="A97" s="16" t="s">
        <v>1761</v>
      </c>
      <c r="B97" s="16" t="s">
        <v>1762</v>
      </c>
      <c r="C97" s="16" t="s">
        <v>1489</v>
      </c>
      <c r="D97" s="16">
        <v>4.0</v>
      </c>
      <c r="E97" s="16">
        <v>9.89</v>
      </c>
      <c r="F97" s="16">
        <v>39.56</v>
      </c>
    </row>
    <row r="98">
      <c r="A98" s="16" t="s">
        <v>1763</v>
      </c>
      <c r="B98" s="16" t="s">
        <v>1765</v>
      </c>
      <c r="C98" s="23" t="s">
        <v>1475</v>
      </c>
      <c r="D98" s="16">
        <v>6.0</v>
      </c>
      <c r="E98" s="16">
        <v>23.0</v>
      </c>
      <c r="F98" s="16">
        <v>138.0</v>
      </c>
    </row>
    <row r="99">
      <c r="A99" s="16" t="s">
        <v>1768</v>
      </c>
      <c r="B99" s="16" t="s">
        <v>1769</v>
      </c>
      <c r="C99" s="16" t="s">
        <v>1483</v>
      </c>
      <c r="D99" s="16">
        <v>8.77</v>
      </c>
      <c r="E99" s="16">
        <v>29.0</v>
      </c>
      <c r="F99" s="16">
        <v>254.33</v>
      </c>
    </row>
    <row r="100">
      <c r="A100" s="16" t="s">
        <v>1770</v>
      </c>
      <c r="B100" s="16" t="s">
        <v>1771</v>
      </c>
      <c r="C100" s="23" t="s">
        <v>1475</v>
      </c>
      <c r="D100" s="16">
        <v>13.0</v>
      </c>
      <c r="E100" s="16">
        <v>23.0</v>
      </c>
      <c r="F100" s="16">
        <v>299.0</v>
      </c>
    </row>
    <row r="101">
      <c r="A101" s="16" t="s">
        <v>1773</v>
      </c>
      <c r="B101" s="16" t="s">
        <v>1774</v>
      </c>
      <c r="C101" s="16" t="s">
        <v>467</v>
      </c>
      <c r="D101" s="16">
        <v>1.0</v>
      </c>
      <c r="E101" s="16">
        <v>223.0</v>
      </c>
      <c r="F101" s="16">
        <v>223.0</v>
      </c>
    </row>
    <row r="102">
      <c r="A102" s="16" t="s">
        <v>1777</v>
      </c>
      <c r="B102" s="16" t="s">
        <v>1779</v>
      </c>
      <c r="C102" s="16" t="s">
        <v>1616</v>
      </c>
      <c r="D102" s="16">
        <v>1.0</v>
      </c>
      <c r="E102" s="16">
        <v>7074.67</v>
      </c>
      <c r="F102" s="16">
        <v>7074.67</v>
      </c>
    </row>
    <row r="103">
      <c r="A103" s="16" t="s">
        <v>1783</v>
      </c>
      <c r="B103" s="16" t="s">
        <v>1779</v>
      </c>
      <c r="C103" s="16" t="s">
        <v>1549</v>
      </c>
      <c r="D103" s="16">
        <v>1.0</v>
      </c>
      <c r="E103" s="16">
        <v>672.09</v>
      </c>
      <c r="F103" s="16">
        <v>672.09</v>
      </c>
    </row>
    <row r="104">
      <c r="A104" s="16" t="s">
        <v>1784</v>
      </c>
      <c r="B104" s="16" t="s">
        <v>1785</v>
      </c>
      <c r="C104" s="16" t="s">
        <v>1547</v>
      </c>
      <c r="D104" s="16">
        <v>1.0</v>
      </c>
      <c r="E104" s="16">
        <v>22321.0</v>
      </c>
      <c r="F104" s="16">
        <v>22321.0</v>
      </c>
    </row>
    <row r="105">
      <c r="A105" s="16" t="s">
        <v>1787</v>
      </c>
      <c r="B105" s="16" t="s">
        <v>1785</v>
      </c>
      <c r="C105" s="16" t="s">
        <v>1549</v>
      </c>
      <c r="D105" s="16">
        <v>1.0</v>
      </c>
      <c r="E105" s="16">
        <v>2120.5</v>
      </c>
      <c r="F105" s="16">
        <v>2120.5</v>
      </c>
    </row>
    <row r="106">
      <c r="A106" s="16" t="s">
        <v>1790</v>
      </c>
      <c r="B106" s="16" t="s">
        <v>1785</v>
      </c>
      <c r="C106" s="16" t="s">
        <v>1551</v>
      </c>
      <c r="D106" s="16">
        <v>1.0</v>
      </c>
      <c r="E106" s="16">
        <v>379.02</v>
      </c>
      <c r="F106" s="16">
        <v>379.02</v>
      </c>
    </row>
    <row r="107">
      <c r="A107" s="16" t="s">
        <v>1795</v>
      </c>
      <c r="B107" s="16" t="s">
        <v>1797</v>
      </c>
      <c r="C107" s="23" t="s">
        <v>1475</v>
      </c>
      <c r="D107" s="16">
        <v>9.0</v>
      </c>
      <c r="E107" s="16">
        <v>23.0</v>
      </c>
      <c r="F107" s="16">
        <v>207.0</v>
      </c>
    </row>
    <row r="108">
      <c r="A108" s="16" t="s">
        <v>1798</v>
      </c>
      <c r="B108" s="16" t="s">
        <v>1799</v>
      </c>
      <c r="C108" s="23" t="s">
        <v>1475</v>
      </c>
      <c r="D108" s="16">
        <v>6.0</v>
      </c>
      <c r="E108" s="16">
        <v>23.0</v>
      </c>
      <c r="F108" s="16">
        <v>138.0</v>
      </c>
    </row>
    <row r="109">
      <c r="A109" s="16" t="s">
        <v>1800</v>
      </c>
      <c r="B109" s="16" t="s">
        <v>1801</v>
      </c>
      <c r="C109" s="16" t="s">
        <v>1547</v>
      </c>
      <c r="D109" s="16">
        <v>1.0</v>
      </c>
      <c r="E109" s="16">
        <v>1479.0</v>
      </c>
      <c r="F109" s="16">
        <v>1479.0</v>
      </c>
    </row>
    <row r="110">
      <c r="A110" s="16" t="s">
        <v>1803</v>
      </c>
      <c r="B110" s="16" t="s">
        <v>1801</v>
      </c>
      <c r="C110" s="16" t="s">
        <v>1549</v>
      </c>
      <c r="D110" s="16">
        <v>1.0</v>
      </c>
      <c r="E110" s="16">
        <v>140.51</v>
      </c>
      <c r="F110" s="16">
        <v>140.51</v>
      </c>
    </row>
    <row r="111">
      <c r="A111" s="16" t="s">
        <v>1805</v>
      </c>
      <c r="B111" s="16" t="s">
        <v>1807</v>
      </c>
      <c r="C111" s="16" t="s">
        <v>1496</v>
      </c>
      <c r="D111" s="16">
        <v>15.0</v>
      </c>
      <c r="E111" s="16">
        <v>7.99</v>
      </c>
      <c r="F111" s="16">
        <v>119.85</v>
      </c>
    </row>
    <row r="112">
      <c r="A112" s="16" t="s">
        <v>1810</v>
      </c>
      <c r="B112" s="16" t="s">
        <v>1807</v>
      </c>
      <c r="C112" s="16" t="s">
        <v>1571</v>
      </c>
      <c r="D112" s="16">
        <v>5.0</v>
      </c>
      <c r="E112" s="16">
        <v>0.99</v>
      </c>
      <c r="F112" s="16">
        <v>4.95</v>
      </c>
    </row>
    <row r="113">
      <c r="A113" s="16" t="s">
        <v>1812</v>
      </c>
      <c r="B113" s="16" t="s">
        <v>1807</v>
      </c>
      <c r="C113" s="16" t="s">
        <v>1583</v>
      </c>
      <c r="D113" s="16">
        <v>0.31</v>
      </c>
      <c r="E113" s="16">
        <v>6.99</v>
      </c>
      <c r="F113" s="16">
        <v>2.17</v>
      </c>
    </row>
    <row r="114">
      <c r="A114" s="16" t="s">
        <v>1813</v>
      </c>
      <c r="B114" s="16" t="s">
        <v>1807</v>
      </c>
      <c r="C114" s="16" t="s">
        <v>1580</v>
      </c>
      <c r="D114" s="16">
        <v>1.0</v>
      </c>
      <c r="E114" s="16">
        <v>4.99</v>
      </c>
      <c r="F114" s="16">
        <v>4.99</v>
      </c>
    </row>
    <row r="115">
      <c r="A115" s="16" t="s">
        <v>1815</v>
      </c>
      <c r="B115" s="16" t="s">
        <v>1807</v>
      </c>
      <c r="C115" s="16" t="s">
        <v>1574</v>
      </c>
      <c r="D115" s="16">
        <v>1.0</v>
      </c>
      <c r="E115" s="16">
        <v>3.79</v>
      </c>
      <c r="F115" s="16">
        <v>3.79</v>
      </c>
    </row>
    <row r="116">
      <c r="A116" s="16" t="s">
        <v>1816</v>
      </c>
      <c r="B116" s="16" t="s">
        <v>1807</v>
      </c>
      <c r="C116" s="16" t="s">
        <v>1502</v>
      </c>
      <c r="D116" s="16">
        <v>6.0</v>
      </c>
      <c r="E116" s="16">
        <v>5.99</v>
      </c>
      <c r="F116" s="16">
        <v>35.94</v>
      </c>
    </row>
    <row r="117">
      <c r="A117" s="16" t="s">
        <v>1819</v>
      </c>
      <c r="B117" s="16" t="s">
        <v>1807</v>
      </c>
      <c r="C117" s="16" t="s">
        <v>1726</v>
      </c>
      <c r="D117" s="16">
        <v>0.4</v>
      </c>
      <c r="E117" s="16">
        <v>8.99</v>
      </c>
      <c r="F117" s="16">
        <v>3.6</v>
      </c>
    </row>
    <row r="118">
      <c r="A118" s="16" t="s">
        <v>1821</v>
      </c>
      <c r="B118" s="16" t="s">
        <v>1807</v>
      </c>
      <c r="C118" s="16" t="s">
        <v>1492</v>
      </c>
      <c r="D118" s="16">
        <v>3.29</v>
      </c>
      <c r="E118" s="16">
        <v>5.49</v>
      </c>
      <c r="F118" s="16">
        <v>18.06</v>
      </c>
    </row>
    <row r="119">
      <c r="A119" s="16" t="s">
        <v>1822</v>
      </c>
      <c r="B119" s="16" t="s">
        <v>1823</v>
      </c>
      <c r="C119" s="16" t="s">
        <v>1824</v>
      </c>
      <c r="D119" s="16">
        <v>1.0</v>
      </c>
      <c r="E119" s="16">
        <v>22.99</v>
      </c>
      <c r="F119" s="16">
        <v>22.99</v>
      </c>
    </row>
    <row r="120">
      <c r="A120" s="23" t="s">
        <v>1826</v>
      </c>
      <c r="B120" s="16" t="s">
        <v>1823</v>
      </c>
      <c r="C120" s="16" t="s">
        <v>1606</v>
      </c>
      <c r="D120" s="16">
        <v>1.0</v>
      </c>
      <c r="E120" s="16">
        <v>16.99</v>
      </c>
      <c r="F120" s="16">
        <v>16.99</v>
      </c>
    </row>
    <row r="121">
      <c r="A121" s="16" t="s">
        <v>1827</v>
      </c>
      <c r="B121" s="16" t="s">
        <v>1823</v>
      </c>
      <c r="C121" s="16" t="s">
        <v>1828</v>
      </c>
      <c r="D121" s="16">
        <v>1.0</v>
      </c>
      <c r="E121" s="16">
        <v>15.49</v>
      </c>
      <c r="F121" s="16">
        <v>15.49</v>
      </c>
    </row>
    <row r="122">
      <c r="A122" s="16" t="s">
        <v>1830</v>
      </c>
      <c r="B122" s="16" t="s">
        <v>1823</v>
      </c>
      <c r="C122" s="16" t="s">
        <v>1606</v>
      </c>
      <c r="D122" s="16">
        <v>1.0</v>
      </c>
      <c r="E122" s="16">
        <v>19.99</v>
      </c>
      <c r="F122" s="16">
        <v>19.99</v>
      </c>
    </row>
    <row r="123">
      <c r="A123" s="16" t="s">
        <v>1832</v>
      </c>
      <c r="B123" s="16" t="s">
        <v>1823</v>
      </c>
      <c r="C123" s="16" t="s">
        <v>1606</v>
      </c>
      <c r="D123" s="16">
        <v>1.0</v>
      </c>
      <c r="E123" s="16">
        <v>16.99</v>
      </c>
      <c r="F123" s="16">
        <v>16.99</v>
      </c>
    </row>
    <row r="124">
      <c r="A124" s="16" t="s">
        <v>1833</v>
      </c>
      <c r="B124" s="16" t="s">
        <v>1823</v>
      </c>
      <c r="C124" s="16" t="s">
        <v>1834</v>
      </c>
      <c r="D124" s="16">
        <v>3.0</v>
      </c>
      <c r="E124" s="16">
        <v>18.99</v>
      </c>
      <c r="F124" s="16">
        <v>56.97</v>
      </c>
    </row>
    <row r="125">
      <c r="A125" s="16" t="s">
        <v>1836</v>
      </c>
      <c r="B125" s="16" t="s">
        <v>1823</v>
      </c>
      <c r="C125" s="16" t="s">
        <v>1837</v>
      </c>
      <c r="D125" s="16">
        <v>10.0</v>
      </c>
      <c r="E125" s="16">
        <v>19.99</v>
      </c>
      <c r="F125" s="16">
        <v>199.9</v>
      </c>
    </row>
    <row r="126">
      <c r="A126" s="16" t="s">
        <v>1838</v>
      </c>
      <c r="B126" s="16" t="s">
        <v>1823</v>
      </c>
      <c r="C126" s="16" t="s">
        <v>1642</v>
      </c>
      <c r="D126" s="16">
        <v>4.0</v>
      </c>
      <c r="E126" s="16">
        <v>32.99</v>
      </c>
      <c r="F126" s="16">
        <v>131.96</v>
      </c>
    </row>
    <row r="127">
      <c r="A127" s="16" t="s">
        <v>1842</v>
      </c>
      <c r="B127" s="16" t="s">
        <v>1823</v>
      </c>
      <c r="C127" s="16" t="s">
        <v>1844</v>
      </c>
      <c r="D127" s="16">
        <v>10.0</v>
      </c>
      <c r="E127" s="16">
        <v>2.99</v>
      </c>
      <c r="F127" s="16">
        <v>29.9</v>
      </c>
    </row>
    <row r="128">
      <c r="A128" s="16" t="s">
        <v>1845</v>
      </c>
      <c r="B128" s="16" t="s">
        <v>1823</v>
      </c>
      <c r="C128" s="16" t="s">
        <v>1646</v>
      </c>
      <c r="D128" s="16">
        <v>25.0</v>
      </c>
      <c r="E128" s="16">
        <v>14.99</v>
      </c>
      <c r="F128" s="16">
        <v>374.75</v>
      </c>
    </row>
    <row r="129">
      <c r="A129" s="16" t="s">
        <v>1849</v>
      </c>
      <c r="B129" s="16" t="s">
        <v>1823</v>
      </c>
      <c r="C129" s="16" t="s">
        <v>1593</v>
      </c>
      <c r="D129" s="16">
        <v>12.0</v>
      </c>
      <c r="E129" s="16">
        <v>6.99</v>
      </c>
      <c r="F129" s="16">
        <v>83.88</v>
      </c>
    </row>
    <row r="130">
      <c r="A130" s="16" t="s">
        <v>1850</v>
      </c>
      <c r="B130" s="16" t="s">
        <v>1852</v>
      </c>
      <c r="C130" s="16" t="s">
        <v>372</v>
      </c>
      <c r="D130" s="20">
        <v>1.0</v>
      </c>
      <c r="E130" s="20">
        <v>2693.8</v>
      </c>
      <c r="F130" s="20">
        <v>2693.8</v>
      </c>
    </row>
    <row r="131">
      <c r="A131" s="16" t="s">
        <v>1853</v>
      </c>
      <c r="B131" s="16" t="s">
        <v>1855</v>
      </c>
      <c r="C131" s="16" t="s">
        <v>372</v>
      </c>
      <c r="D131" s="20">
        <v>1.0</v>
      </c>
      <c r="E131" s="20">
        <v>1985.77</v>
      </c>
      <c r="F131" s="20">
        <v>1985.77</v>
      </c>
    </row>
    <row r="132">
      <c r="A132" s="16" t="s">
        <v>1856</v>
      </c>
      <c r="B132" s="16" t="s">
        <v>1857</v>
      </c>
      <c r="C132" s="16" t="s">
        <v>372</v>
      </c>
      <c r="D132" s="20">
        <v>1.0</v>
      </c>
      <c r="E132" s="20">
        <v>2036.47</v>
      </c>
      <c r="F132" s="20">
        <v>2036.47</v>
      </c>
    </row>
    <row r="133">
      <c r="A133" s="16" t="s">
        <v>1859</v>
      </c>
      <c r="B133" s="16" t="s">
        <v>1860</v>
      </c>
      <c r="C133" s="16" t="s">
        <v>372</v>
      </c>
      <c r="D133" s="20">
        <v>1.0</v>
      </c>
      <c r="E133" s="20">
        <v>2128.78</v>
      </c>
      <c r="F133" s="20">
        <v>2128.78</v>
      </c>
    </row>
    <row r="134">
      <c r="A134" s="16" t="s">
        <v>1861</v>
      </c>
      <c r="B134" s="16" t="s">
        <v>1863</v>
      </c>
      <c r="C134" s="16" t="s">
        <v>347</v>
      </c>
      <c r="D134" s="20">
        <v>1.0</v>
      </c>
      <c r="E134" s="20">
        <v>707.78</v>
      </c>
      <c r="F134" s="20">
        <v>707.78</v>
      </c>
    </row>
    <row r="135">
      <c r="A135" s="16" t="s">
        <v>1865</v>
      </c>
      <c r="B135" s="16" t="s">
        <v>1866</v>
      </c>
      <c r="C135" s="16" t="s">
        <v>1164</v>
      </c>
      <c r="D135" s="20">
        <v>1.0</v>
      </c>
      <c r="E135" s="20">
        <v>500.0</v>
      </c>
      <c r="F135" s="20">
        <v>500.0</v>
      </c>
    </row>
    <row r="136">
      <c r="A136" s="16" t="s">
        <v>1867</v>
      </c>
      <c r="B136" s="16" t="s">
        <v>1868</v>
      </c>
      <c r="C136" s="16" t="s">
        <v>197</v>
      </c>
      <c r="D136" s="20">
        <v>1.0</v>
      </c>
      <c r="E136" s="20">
        <v>179.9</v>
      </c>
      <c r="F136" s="20">
        <v>179.9</v>
      </c>
    </row>
    <row r="137">
      <c r="A137" s="16" t="s">
        <v>1869</v>
      </c>
      <c r="B137" s="16" t="s">
        <v>1870</v>
      </c>
      <c r="C137" s="16" t="s">
        <v>224</v>
      </c>
      <c r="D137" s="20">
        <v>1.0</v>
      </c>
      <c r="E137" s="20">
        <v>2379.0</v>
      </c>
      <c r="F137" s="20">
        <v>2379.0</v>
      </c>
    </row>
    <row r="138">
      <c r="A138" s="16" t="s">
        <v>1872</v>
      </c>
      <c r="B138" s="16" t="s">
        <v>1873</v>
      </c>
      <c r="C138" s="16" t="s">
        <v>1467</v>
      </c>
      <c r="D138" s="20">
        <v>1.0</v>
      </c>
      <c r="E138" s="20">
        <v>31.32</v>
      </c>
      <c r="F138" s="20">
        <v>31.32</v>
      </c>
    </row>
    <row r="139">
      <c r="A139" s="16" t="s">
        <v>1874</v>
      </c>
      <c r="B139" s="16" t="s">
        <v>1876</v>
      </c>
      <c r="C139" s="16" t="s">
        <v>1405</v>
      </c>
      <c r="D139" s="20">
        <v>1.0</v>
      </c>
      <c r="E139" s="20">
        <v>1110.0</v>
      </c>
      <c r="F139" s="20">
        <v>1110.0</v>
      </c>
    </row>
    <row r="140">
      <c r="A140" s="16" t="s">
        <v>1879</v>
      </c>
      <c r="B140" s="16" t="s">
        <v>1880</v>
      </c>
      <c r="C140" s="16" t="s">
        <v>1414</v>
      </c>
      <c r="D140" s="20">
        <v>1.0</v>
      </c>
      <c r="E140" s="20">
        <v>625.0</v>
      </c>
      <c r="F140" s="20">
        <v>625.0</v>
      </c>
    </row>
    <row r="141">
      <c r="A141" s="16" t="s">
        <v>1881</v>
      </c>
      <c r="B141" s="16" t="s">
        <v>1882</v>
      </c>
      <c r="C141" s="16" t="s">
        <v>1423</v>
      </c>
      <c r="D141" s="20">
        <v>1.0</v>
      </c>
      <c r="E141" s="20">
        <v>375.0</v>
      </c>
      <c r="F141" s="20">
        <v>375.0</v>
      </c>
    </row>
    <row r="142">
      <c r="A142" s="16" t="s">
        <v>1883</v>
      </c>
      <c r="B142" s="16" t="s">
        <v>1884</v>
      </c>
      <c r="C142" s="16" t="s">
        <v>224</v>
      </c>
      <c r="D142" s="20">
        <v>1.0</v>
      </c>
      <c r="E142" s="20">
        <v>1097.26</v>
      </c>
      <c r="F142" s="20">
        <v>1097.26</v>
      </c>
    </row>
    <row r="143">
      <c r="A143" s="16" t="s">
        <v>1886</v>
      </c>
      <c r="B143" s="16" t="s">
        <v>1887</v>
      </c>
      <c r="C143" s="16" t="s">
        <v>1220</v>
      </c>
      <c r="D143" s="20">
        <v>1.0</v>
      </c>
      <c r="E143" s="20">
        <v>936.75</v>
      </c>
      <c r="F143" s="20">
        <v>936.75</v>
      </c>
    </row>
    <row r="144">
      <c r="A144" s="16" t="s">
        <v>1891</v>
      </c>
      <c r="B144" s="16">
        <v>1290.0</v>
      </c>
      <c r="C144" s="16" t="s">
        <v>1232</v>
      </c>
      <c r="D144" s="20">
        <v>1.0</v>
      </c>
      <c r="E144" s="20">
        <v>761.31</v>
      </c>
      <c r="F144" s="20">
        <v>761.31</v>
      </c>
    </row>
    <row r="145">
      <c r="A145" s="16" t="s">
        <v>1892</v>
      </c>
      <c r="B145" s="16">
        <v>1291.0</v>
      </c>
      <c r="C145" s="16" t="s">
        <v>1244</v>
      </c>
      <c r="D145" s="20">
        <v>1.0</v>
      </c>
      <c r="E145" s="20">
        <v>10466.38</v>
      </c>
      <c r="F145" s="20">
        <v>10466.38</v>
      </c>
    </row>
    <row r="146">
      <c r="A146" s="16" t="s">
        <v>1895</v>
      </c>
      <c r="B146" s="16" t="s">
        <v>1897</v>
      </c>
      <c r="C146" s="16" t="s">
        <v>1898</v>
      </c>
      <c r="D146" s="20">
        <v>1.0</v>
      </c>
      <c r="E146" s="20">
        <v>396.82</v>
      </c>
      <c r="F146" s="20">
        <v>396.82</v>
      </c>
    </row>
    <row r="147">
      <c r="A147" s="16" t="s">
        <v>1901</v>
      </c>
      <c r="B147" s="16" t="s">
        <v>1903</v>
      </c>
      <c r="C147" s="16" t="s">
        <v>1898</v>
      </c>
      <c r="D147" s="20">
        <v>1.0</v>
      </c>
      <c r="E147" s="20">
        <v>464.59</v>
      </c>
      <c r="F147" s="20">
        <v>464.59</v>
      </c>
    </row>
    <row r="148">
      <c r="A148" s="16" t="s">
        <v>1905</v>
      </c>
      <c r="B148" s="16">
        <v>1303.0</v>
      </c>
      <c r="C148" s="16" t="s">
        <v>1898</v>
      </c>
      <c r="D148" s="20">
        <v>1.0</v>
      </c>
      <c r="E148" s="20">
        <v>238.01</v>
      </c>
      <c r="F148" s="20">
        <v>238.01</v>
      </c>
    </row>
    <row r="149">
      <c r="A149" s="16" t="s">
        <v>1906</v>
      </c>
      <c r="B149" s="16">
        <v>1304.0</v>
      </c>
      <c r="C149" s="16" t="s">
        <v>1898</v>
      </c>
      <c r="D149" s="20">
        <v>1.0</v>
      </c>
      <c r="E149" s="20">
        <v>65.47</v>
      </c>
      <c r="F149" s="20">
        <v>65.47</v>
      </c>
    </row>
    <row r="150">
      <c r="A150" s="16" t="s">
        <v>1907</v>
      </c>
      <c r="B150" s="16" t="s">
        <v>1908</v>
      </c>
      <c r="C150" s="16" t="s">
        <v>1547</v>
      </c>
      <c r="D150" s="20">
        <v>1.0</v>
      </c>
      <c r="E150" s="20">
        <v>3198.96</v>
      </c>
      <c r="F150" s="20">
        <v>3198.96</v>
      </c>
    </row>
    <row r="151">
      <c r="A151" s="16" t="s">
        <v>1910</v>
      </c>
      <c r="B151" s="16">
        <v>1.83161497E8</v>
      </c>
      <c r="C151" s="16" t="s">
        <v>224</v>
      </c>
      <c r="D151" s="20">
        <v>1.0</v>
      </c>
      <c r="E151" s="20">
        <v>22.91</v>
      </c>
      <c r="F151" s="20">
        <v>22.91</v>
      </c>
    </row>
    <row r="152">
      <c r="A152" s="16" t="s">
        <v>1912</v>
      </c>
      <c r="B152" s="16" t="s">
        <v>1914</v>
      </c>
      <c r="C152" s="16" t="s">
        <v>1616</v>
      </c>
      <c r="D152" s="20">
        <v>1.0</v>
      </c>
      <c r="E152" s="20">
        <v>806.63</v>
      </c>
      <c r="F152" s="20">
        <v>806.63</v>
      </c>
    </row>
    <row r="153">
      <c r="A153" s="16" t="s">
        <v>1916</v>
      </c>
      <c r="B153" s="16">
        <v>1311.0</v>
      </c>
      <c r="C153" s="16" t="s">
        <v>372</v>
      </c>
      <c r="D153" s="20">
        <v>1.0</v>
      </c>
      <c r="E153" s="20">
        <v>292.0</v>
      </c>
      <c r="F153" s="20">
        <v>292.0</v>
      </c>
    </row>
    <row r="154">
      <c r="A154" s="16" t="s">
        <v>1917</v>
      </c>
      <c r="B154" s="16">
        <v>1312.0</v>
      </c>
      <c r="C154" s="16" t="s">
        <v>372</v>
      </c>
      <c r="D154" s="20">
        <v>1.0</v>
      </c>
      <c r="E154" s="20">
        <v>2559.25</v>
      </c>
      <c r="F154" s="20">
        <v>2559.25</v>
      </c>
    </row>
    <row r="155">
      <c r="A155" s="16" t="s">
        <v>1919</v>
      </c>
      <c r="B155" s="16">
        <v>1313.0</v>
      </c>
      <c r="C155" s="16" t="s">
        <v>372</v>
      </c>
      <c r="D155" s="20">
        <v>1.0</v>
      </c>
      <c r="E155" s="20">
        <v>292.0</v>
      </c>
      <c r="F155" s="20">
        <v>292.0</v>
      </c>
    </row>
    <row r="156">
      <c r="A156" s="16" t="s">
        <v>1921</v>
      </c>
      <c r="B156" s="16">
        <v>1314.0</v>
      </c>
      <c r="C156" s="16" t="s">
        <v>372</v>
      </c>
      <c r="D156" s="20">
        <v>1.0</v>
      </c>
      <c r="E156" s="20">
        <v>1894.79</v>
      </c>
      <c r="F156" s="20">
        <v>1894.79</v>
      </c>
    </row>
    <row r="157">
      <c r="A157" s="16" t="s">
        <v>1923</v>
      </c>
      <c r="B157" s="16">
        <v>1315.0</v>
      </c>
      <c r="C157" s="16" t="s">
        <v>372</v>
      </c>
      <c r="D157" s="20">
        <v>1.0</v>
      </c>
      <c r="E157" s="20">
        <v>2467.35</v>
      </c>
      <c r="F157" s="20">
        <v>2467.35</v>
      </c>
    </row>
    <row r="158">
      <c r="A158" s="16" t="s">
        <v>1924</v>
      </c>
      <c r="B158" s="16">
        <v>1316.0</v>
      </c>
      <c r="C158" s="16" t="s">
        <v>372</v>
      </c>
      <c r="D158" s="20">
        <v>1.0</v>
      </c>
      <c r="E158" s="20">
        <v>2268.81</v>
      </c>
      <c r="F158" s="20">
        <v>2268.81</v>
      </c>
    </row>
    <row r="159">
      <c r="A159" s="16" t="s">
        <v>1925</v>
      </c>
      <c r="B159" s="16" t="s">
        <v>1926</v>
      </c>
      <c r="C159" s="16" t="s">
        <v>1325</v>
      </c>
      <c r="D159" s="20">
        <v>1.0</v>
      </c>
      <c r="E159" s="20">
        <v>32.0</v>
      </c>
      <c r="F159" s="20">
        <v>32.0</v>
      </c>
    </row>
    <row r="160">
      <c r="A160" s="16" t="s">
        <v>1928</v>
      </c>
      <c r="B160" s="16">
        <v>1323.0</v>
      </c>
      <c r="C160" s="16" t="s">
        <v>401</v>
      </c>
      <c r="D160" s="20">
        <v>1.0</v>
      </c>
      <c r="E160" s="20">
        <v>7000.0</v>
      </c>
      <c r="F160" s="20">
        <v>7000.0</v>
      </c>
    </row>
    <row r="161">
      <c r="A161" s="16" t="s">
        <v>1930</v>
      </c>
      <c r="B161" s="16">
        <v>1332.0</v>
      </c>
      <c r="C161" s="16" t="s">
        <v>1164</v>
      </c>
      <c r="D161" s="20">
        <v>1.0</v>
      </c>
      <c r="E161" s="20">
        <v>500.0</v>
      </c>
      <c r="F161" s="20">
        <v>500.0</v>
      </c>
    </row>
    <row r="162">
      <c r="A162" s="16" t="s">
        <v>1932</v>
      </c>
      <c r="B162" s="16">
        <v>1335.0</v>
      </c>
      <c r="C162" s="16" t="s">
        <v>347</v>
      </c>
      <c r="D162" s="20">
        <v>1.0</v>
      </c>
      <c r="E162" s="20">
        <v>3082.82</v>
      </c>
      <c r="F162" s="20">
        <v>3082.82</v>
      </c>
    </row>
    <row r="163">
      <c r="A163" s="16" t="s">
        <v>1933</v>
      </c>
      <c r="B163" s="16">
        <v>1333.0</v>
      </c>
      <c r="C163" s="16" t="s">
        <v>197</v>
      </c>
      <c r="D163" s="20">
        <v>1.0</v>
      </c>
      <c r="E163" s="20">
        <v>179.9</v>
      </c>
      <c r="F163" s="20">
        <v>179.9</v>
      </c>
    </row>
    <row r="164">
      <c r="A164" s="16" t="s">
        <v>1934</v>
      </c>
      <c r="B164" s="16" t="s">
        <v>1935</v>
      </c>
      <c r="C164" s="16" t="s">
        <v>1793</v>
      </c>
      <c r="D164" s="20">
        <v>1.0</v>
      </c>
      <c r="E164" s="20">
        <v>10.0</v>
      </c>
      <c r="F164" s="20">
        <v>10.0</v>
      </c>
    </row>
    <row r="165">
      <c r="A165" s="16" t="s">
        <v>1937</v>
      </c>
      <c r="B165" s="16" t="s">
        <v>1938</v>
      </c>
      <c r="C165" s="16" t="s">
        <v>1547</v>
      </c>
      <c r="D165" s="20">
        <v>1.0</v>
      </c>
      <c r="E165" s="20">
        <v>2877.68</v>
      </c>
      <c r="F165" s="20">
        <v>2877.68</v>
      </c>
    </row>
    <row r="166">
      <c r="A166" s="16" t="s">
        <v>1940</v>
      </c>
      <c r="B166" s="16" t="s">
        <v>1941</v>
      </c>
      <c r="C166" s="16" t="s">
        <v>1616</v>
      </c>
      <c r="D166" s="20">
        <v>1.0</v>
      </c>
      <c r="E166" s="20">
        <v>813.61</v>
      </c>
      <c r="F166" s="20">
        <v>813.61</v>
      </c>
    </row>
    <row r="167">
      <c r="A167" s="16" t="s">
        <v>1943</v>
      </c>
      <c r="B167" s="16">
        <v>1342.0</v>
      </c>
      <c r="C167" s="16" t="s">
        <v>1405</v>
      </c>
      <c r="D167" s="20">
        <v>1.0</v>
      </c>
      <c r="E167" s="20">
        <v>1110.0</v>
      </c>
      <c r="F167" s="20">
        <v>1110.0</v>
      </c>
    </row>
    <row r="168">
      <c r="A168" s="16" t="s">
        <v>1945</v>
      </c>
      <c r="B168" s="16">
        <v>1343.0</v>
      </c>
      <c r="C168" s="16" t="s">
        <v>1414</v>
      </c>
      <c r="D168" s="20">
        <v>1.0</v>
      </c>
      <c r="E168" s="20">
        <v>625.0</v>
      </c>
      <c r="F168" s="20">
        <v>625.0</v>
      </c>
    </row>
    <row r="169">
      <c r="A169" s="16" t="s">
        <v>1946</v>
      </c>
      <c r="B169" s="16">
        <v>1344.0</v>
      </c>
      <c r="C169" s="16" t="s">
        <v>1423</v>
      </c>
      <c r="D169" s="20">
        <v>1.0</v>
      </c>
      <c r="E169" s="20">
        <v>375.0</v>
      </c>
      <c r="F169" s="20">
        <v>375.0</v>
      </c>
    </row>
    <row r="170">
      <c r="A170" s="16" t="s">
        <v>1948</v>
      </c>
      <c r="B170" s="16" t="s">
        <v>1949</v>
      </c>
      <c r="C170" s="16" t="s">
        <v>1950</v>
      </c>
      <c r="D170" s="20">
        <v>1.0</v>
      </c>
      <c r="E170" s="20">
        <v>725.52</v>
      </c>
      <c r="F170" s="20">
        <v>725.52</v>
      </c>
    </row>
    <row r="171">
      <c r="A171" s="16" t="s">
        <v>1952</v>
      </c>
      <c r="B171" s="16">
        <v>1349.0</v>
      </c>
      <c r="C171" s="16" t="s">
        <v>1220</v>
      </c>
      <c r="D171" s="20">
        <v>1.0</v>
      </c>
      <c r="E171" s="20">
        <v>935.71</v>
      </c>
      <c r="F171" s="20">
        <v>935.71</v>
      </c>
    </row>
    <row r="172">
      <c r="A172" s="16" t="s">
        <v>1954</v>
      </c>
      <c r="B172" s="16">
        <v>1352.0</v>
      </c>
      <c r="C172" s="16" t="s">
        <v>1232</v>
      </c>
      <c r="D172" s="20">
        <v>1.0</v>
      </c>
      <c r="E172" s="20">
        <v>760.39</v>
      </c>
      <c r="F172" s="20">
        <v>760.39</v>
      </c>
    </row>
    <row r="173">
      <c r="A173" s="16" t="s">
        <v>1955</v>
      </c>
      <c r="B173" s="16">
        <v>1353.0</v>
      </c>
      <c r="C173" s="16" t="s">
        <v>1244</v>
      </c>
      <c r="D173" s="20">
        <v>1.0</v>
      </c>
      <c r="E173" s="20">
        <v>10450.09</v>
      </c>
      <c r="F173" s="20">
        <v>10450.09</v>
      </c>
    </row>
    <row r="174">
      <c r="A174" s="16" t="s">
        <v>1956</v>
      </c>
      <c r="B174" s="16" t="s">
        <v>1957</v>
      </c>
      <c r="C174" s="16" t="s">
        <v>1547</v>
      </c>
      <c r="D174" s="20">
        <v>1.0</v>
      </c>
      <c r="E174" s="20">
        <v>6027.98</v>
      </c>
      <c r="F174" s="20">
        <v>6027.98</v>
      </c>
    </row>
    <row r="175">
      <c r="A175" s="16" t="s">
        <v>1959</v>
      </c>
      <c r="B175" s="16">
        <v>1.32935365E8</v>
      </c>
      <c r="C175" s="16" t="s">
        <v>1547</v>
      </c>
      <c r="D175" s="20">
        <v>1.0</v>
      </c>
      <c r="E175" s="20">
        <v>111.0</v>
      </c>
      <c r="F175" s="20">
        <v>111.0</v>
      </c>
    </row>
    <row r="176">
      <c r="A176" s="16" t="s">
        <v>1960</v>
      </c>
      <c r="B176" s="16">
        <v>1367.0</v>
      </c>
      <c r="C176" s="16" t="s">
        <v>1898</v>
      </c>
      <c r="D176" s="20">
        <v>1.0</v>
      </c>
      <c r="E176" s="20">
        <v>238.01</v>
      </c>
      <c r="F176" s="20">
        <v>238.01</v>
      </c>
    </row>
    <row r="177">
      <c r="A177" s="16" t="s">
        <v>1963</v>
      </c>
      <c r="B177" s="16">
        <v>1368.0</v>
      </c>
      <c r="C177" s="16" t="s">
        <v>1898</v>
      </c>
      <c r="D177" s="20">
        <v>1.0</v>
      </c>
      <c r="E177" s="20">
        <v>65.47</v>
      </c>
      <c r="F177" s="20">
        <v>65.47</v>
      </c>
    </row>
    <row r="178">
      <c r="A178" s="16" t="s">
        <v>1964</v>
      </c>
      <c r="B178" s="16" t="s">
        <v>1965</v>
      </c>
      <c r="C178" s="16" t="s">
        <v>1966</v>
      </c>
      <c r="D178" s="20">
        <v>1.0</v>
      </c>
      <c r="E178" s="20">
        <v>82.3</v>
      </c>
      <c r="F178" s="20">
        <v>82.3</v>
      </c>
    </row>
    <row r="179">
      <c r="A179" s="16" t="s">
        <v>1967</v>
      </c>
      <c r="B179" s="16" t="s">
        <v>1968</v>
      </c>
      <c r="C179" s="16" t="s">
        <v>1616</v>
      </c>
      <c r="D179" s="20">
        <v>1.0</v>
      </c>
      <c r="E179" s="20">
        <v>2166.04</v>
      </c>
      <c r="F179" s="20">
        <v>2166.04</v>
      </c>
    </row>
    <row r="180">
      <c r="A180" s="16" t="s">
        <v>1969</v>
      </c>
      <c r="B180" s="16" t="s">
        <v>1970</v>
      </c>
      <c r="C180" s="16" t="s">
        <v>1972</v>
      </c>
      <c r="D180" s="20">
        <v>1.0</v>
      </c>
      <c r="E180" s="20">
        <v>134.0</v>
      </c>
      <c r="F180" s="20">
        <v>134.0</v>
      </c>
    </row>
    <row r="181">
      <c r="A181" s="16" t="s">
        <v>1973</v>
      </c>
      <c r="B181" s="16" t="s">
        <v>1974</v>
      </c>
      <c r="C181" s="16" t="s">
        <v>1976</v>
      </c>
      <c r="D181" s="20">
        <v>1.0</v>
      </c>
      <c r="E181" s="20">
        <v>75.0</v>
      </c>
      <c r="F181" s="20">
        <v>75.0</v>
      </c>
    </row>
    <row r="182">
      <c r="A182" s="16" t="s">
        <v>1978</v>
      </c>
      <c r="B182" s="16" t="s">
        <v>1979</v>
      </c>
      <c r="C182" s="16" t="s">
        <v>372</v>
      </c>
      <c r="D182" s="20">
        <v>1.0</v>
      </c>
      <c r="E182" s="20">
        <v>557.06</v>
      </c>
      <c r="F182" s="20">
        <v>557.06</v>
      </c>
    </row>
    <row r="183">
      <c r="A183" s="16" t="s">
        <v>1980</v>
      </c>
      <c r="B183" s="16" t="s">
        <v>1981</v>
      </c>
      <c r="C183" s="16" t="s">
        <v>372</v>
      </c>
      <c r="D183" s="20">
        <v>1.0</v>
      </c>
      <c r="E183" s="20">
        <v>661.58</v>
      </c>
      <c r="F183" s="20">
        <v>661.58</v>
      </c>
    </row>
    <row r="184">
      <c r="A184" s="16" t="s">
        <v>1982</v>
      </c>
      <c r="B184" s="16" t="s">
        <v>1983</v>
      </c>
      <c r="C184" s="16" t="s">
        <v>372</v>
      </c>
      <c r="D184" s="20">
        <v>1.0</v>
      </c>
      <c r="E184" s="20">
        <v>546.8</v>
      </c>
      <c r="F184" s="20">
        <v>546.8</v>
      </c>
    </row>
    <row r="185">
      <c r="A185" s="16" t="s">
        <v>1985</v>
      </c>
      <c r="B185" s="16" t="s">
        <v>1986</v>
      </c>
      <c r="C185" s="16" t="s">
        <v>372</v>
      </c>
      <c r="D185" s="20">
        <v>1.0</v>
      </c>
      <c r="E185" s="20">
        <v>687.87</v>
      </c>
      <c r="F185" s="20">
        <v>687.87</v>
      </c>
    </row>
    <row r="186">
      <c r="A186" s="16" t="s">
        <v>1987</v>
      </c>
      <c r="B186" s="16" t="s">
        <v>1989</v>
      </c>
      <c r="C186" s="16" t="s">
        <v>372</v>
      </c>
      <c r="D186" s="20">
        <v>1.0</v>
      </c>
      <c r="E186" s="20">
        <v>532.99</v>
      </c>
      <c r="F186" s="20">
        <v>532.99</v>
      </c>
    </row>
    <row r="187">
      <c r="A187" s="16" t="s">
        <v>1991</v>
      </c>
      <c r="B187" s="16" t="s">
        <v>1993</v>
      </c>
      <c r="C187" s="16" t="s">
        <v>372</v>
      </c>
      <c r="D187" s="20">
        <v>1.0</v>
      </c>
      <c r="E187" s="20">
        <v>614.51</v>
      </c>
      <c r="F187" s="20">
        <v>614.51</v>
      </c>
    </row>
    <row r="188">
      <c r="A188" s="16" t="s">
        <v>1994</v>
      </c>
      <c r="B188" s="16" t="s">
        <v>1995</v>
      </c>
      <c r="C188" s="16" t="s">
        <v>372</v>
      </c>
      <c r="D188" s="20">
        <v>1.0</v>
      </c>
      <c r="E188" s="20">
        <v>146.0</v>
      </c>
      <c r="F188" s="20">
        <v>146.0</v>
      </c>
    </row>
    <row r="189">
      <c r="A189" s="16" t="s">
        <v>1996</v>
      </c>
      <c r="B189" s="16">
        <v>1.20540566E8</v>
      </c>
      <c r="C189" s="16" t="s">
        <v>372</v>
      </c>
      <c r="D189" s="20">
        <v>1.0</v>
      </c>
      <c r="E189" s="20">
        <v>292.5</v>
      </c>
      <c r="F189" s="20">
        <v>292.5</v>
      </c>
    </row>
    <row r="190">
      <c r="A190" s="16" t="s">
        <v>1997</v>
      </c>
      <c r="B190" s="16" t="s">
        <v>1999</v>
      </c>
      <c r="C190" s="16" t="s">
        <v>372</v>
      </c>
      <c r="D190" s="20">
        <v>1.0</v>
      </c>
      <c r="E190" s="20">
        <v>146.0</v>
      </c>
      <c r="F190" s="20">
        <v>146.0</v>
      </c>
    </row>
    <row r="191">
      <c r="A191" s="16" t="s">
        <v>2000</v>
      </c>
      <c r="B191" s="16" t="s">
        <v>2002</v>
      </c>
      <c r="C191" s="16" t="s">
        <v>372</v>
      </c>
      <c r="D191" s="20">
        <v>1.0</v>
      </c>
      <c r="E191" s="20">
        <v>735.0</v>
      </c>
      <c r="F191" s="20">
        <v>735.0</v>
      </c>
    </row>
    <row r="192">
      <c r="A192" s="16" t="s">
        <v>2005</v>
      </c>
      <c r="B192" s="16" t="s">
        <v>2006</v>
      </c>
      <c r="C192" s="16" t="s">
        <v>372</v>
      </c>
      <c r="D192" s="20">
        <v>1.0</v>
      </c>
      <c r="E192" s="20">
        <v>848.42</v>
      </c>
      <c r="F192" s="20">
        <v>848.42</v>
      </c>
    </row>
    <row r="193">
      <c r="A193" s="16" t="s">
        <v>2008</v>
      </c>
      <c r="B193" s="16">
        <v>1387.0</v>
      </c>
      <c r="C193" s="16" t="s">
        <v>372</v>
      </c>
      <c r="D193" s="20">
        <v>1.0</v>
      </c>
      <c r="E193" s="20">
        <v>585.0</v>
      </c>
      <c r="F193" s="20">
        <v>585.0</v>
      </c>
    </row>
    <row r="194">
      <c r="A194" s="16" t="s">
        <v>2009</v>
      </c>
      <c r="B194" s="16">
        <v>1388.0</v>
      </c>
      <c r="C194" s="16" t="s">
        <v>372</v>
      </c>
      <c r="D194" s="20">
        <v>1.0</v>
      </c>
      <c r="E194" s="20">
        <v>2693.8</v>
      </c>
      <c r="F194" s="20">
        <v>2693.8</v>
      </c>
    </row>
    <row r="195">
      <c r="A195" s="16" t="s">
        <v>2010</v>
      </c>
      <c r="B195" s="16">
        <v>1390.0</v>
      </c>
      <c r="C195" s="16" t="s">
        <v>372</v>
      </c>
      <c r="D195" s="20">
        <v>1.0</v>
      </c>
      <c r="E195" s="20">
        <v>1933.77</v>
      </c>
      <c r="F195" s="20">
        <v>1933.77</v>
      </c>
    </row>
    <row r="196">
      <c r="A196" s="16" t="s">
        <v>2012</v>
      </c>
      <c r="B196" s="16">
        <v>1391.0</v>
      </c>
      <c r="C196" s="16" t="s">
        <v>372</v>
      </c>
      <c r="D196" s="20">
        <v>1.0</v>
      </c>
      <c r="E196" s="20">
        <v>2556.39</v>
      </c>
      <c r="F196" s="20">
        <v>2556.39</v>
      </c>
    </row>
    <row r="197">
      <c r="A197" s="16" t="s">
        <v>2014</v>
      </c>
      <c r="B197" s="16">
        <v>1392.0</v>
      </c>
      <c r="C197" s="16" t="s">
        <v>372</v>
      </c>
      <c r="D197" s="20">
        <v>1.0</v>
      </c>
      <c r="E197" s="20">
        <v>2871.98</v>
      </c>
      <c r="F197" s="20">
        <v>2871.98</v>
      </c>
    </row>
    <row r="198">
      <c r="A198" s="16" t="s">
        <v>2017</v>
      </c>
      <c r="B198" s="16">
        <v>1393.0</v>
      </c>
      <c r="C198" s="16" t="s">
        <v>1325</v>
      </c>
      <c r="D198" s="20">
        <v>1.0</v>
      </c>
      <c r="E198" s="20">
        <v>32.0</v>
      </c>
      <c r="F198" s="20">
        <v>32.0</v>
      </c>
    </row>
    <row r="199">
      <c r="A199" s="16" t="s">
        <v>2020</v>
      </c>
      <c r="B199" s="16" t="s">
        <v>2021</v>
      </c>
      <c r="C199" s="16" t="s">
        <v>2022</v>
      </c>
      <c r="D199" s="20">
        <v>1.0</v>
      </c>
      <c r="E199" s="20">
        <v>83.75</v>
      </c>
      <c r="F199" s="20">
        <v>83.75</v>
      </c>
    </row>
    <row r="200">
      <c r="A200" s="16" t="s">
        <v>2024</v>
      </c>
      <c r="B200" s="16">
        <v>1403.0</v>
      </c>
      <c r="C200" s="16" t="s">
        <v>401</v>
      </c>
      <c r="D200" s="20">
        <v>1.0</v>
      </c>
      <c r="E200" s="20">
        <v>7000.0</v>
      </c>
      <c r="F200" s="20">
        <v>7000.0</v>
      </c>
    </row>
    <row r="201">
      <c r="A201" s="16" t="s">
        <v>2027</v>
      </c>
      <c r="B201" s="16" t="s">
        <v>2029</v>
      </c>
      <c r="C201" s="16" t="s">
        <v>2031</v>
      </c>
      <c r="D201" s="20">
        <v>1.0</v>
      </c>
      <c r="E201" s="20">
        <v>607.0</v>
      </c>
      <c r="F201" s="20">
        <v>607.0</v>
      </c>
    </row>
    <row r="202">
      <c r="A202" s="16" t="s">
        <v>2032</v>
      </c>
      <c r="B202" s="16" t="s">
        <v>2033</v>
      </c>
      <c r="C202" s="16" t="s">
        <v>2034</v>
      </c>
      <c r="D202" s="20">
        <v>1.0</v>
      </c>
      <c r="E202" s="20">
        <v>241.0</v>
      </c>
      <c r="F202" s="20">
        <v>241.0</v>
      </c>
    </row>
    <row r="203">
      <c r="A203" s="16" t="s">
        <v>2036</v>
      </c>
      <c r="B203" s="16" t="s">
        <v>2037</v>
      </c>
      <c r="C203" s="16">
        <v>7.9792017E7</v>
      </c>
      <c r="D203" s="20">
        <v>1.0</v>
      </c>
      <c r="E203" s="20">
        <v>966.74</v>
      </c>
      <c r="F203" s="20">
        <v>966.74</v>
      </c>
    </row>
    <row r="204">
      <c r="A204" s="16" t="s">
        <v>2038</v>
      </c>
      <c r="B204" s="16" t="s">
        <v>2040</v>
      </c>
      <c r="C204" s="16" t="s">
        <v>1616</v>
      </c>
      <c r="D204" s="20">
        <v>1.0</v>
      </c>
      <c r="E204" s="20">
        <v>2979.98</v>
      </c>
      <c r="F204" s="20">
        <v>2979.98</v>
      </c>
    </row>
    <row r="205">
      <c r="A205" s="16" t="s">
        <v>2042</v>
      </c>
      <c r="B205" s="16" t="s">
        <v>2044</v>
      </c>
      <c r="C205" s="16" t="s">
        <v>1547</v>
      </c>
      <c r="D205" s="20">
        <v>1.0</v>
      </c>
      <c r="E205" s="20">
        <v>4916.0</v>
      </c>
      <c r="F205" s="20">
        <v>4916.0</v>
      </c>
    </row>
    <row r="206">
      <c r="A206" s="16" t="s">
        <v>2045</v>
      </c>
      <c r="B206" s="16">
        <v>1415.0</v>
      </c>
      <c r="C206" s="16" t="s">
        <v>1164</v>
      </c>
      <c r="D206" s="20">
        <v>1.0</v>
      </c>
      <c r="E206" s="20">
        <v>1000.0</v>
      </c>
      <c r="F206" s="20">
        <v>1000.0</v>
      </c>
    </row>
    <row r="207">
      <c r="A207" s="16" t="s">
        <v>2046</v>
      </c>
      <c r="B207" s="16">
        <v>1416.0</v>
      </c>
      <c r="C207" s="16" t="s">
        <v>197</v>
      </c>
      <c r="D207" s="20">
        <v>1.0</v>
      </c>
      <c r="E207" s="20">
        <v>179.9</v>
      </c>
      <c r="F207" s="20">
        <v>179.9</v>
      </c>
    </row>
    <row r="208">
      <c r="A208" s="16" t="s">
        <v>2047</v>
      </c>
      <c r="B208" s="16">
        <v>1418.0</v>
      </c>
      <c r="C208" s="16" t="s">
        <v>347</v>
      </c>
      <c r="D208" s="20">
        <v>1.0</v>
      </c>
      <c r="E208" s="20">
        <v>1723.27</v>
      </c>
      <c r="F208" s="20">
        <v>1723.27</v>
      </c>
    </row>
    <row r="209">
      <c r="A209" s="16" t="s">
        <v>2049</v>
      </c>
      <c r="B209" s="16" t="s">
        <v>2050</v>
      </c>
      <c r="C209" s="16" t="s">
        <v>1616</v>
      </c>
      <c r="D209" s="20">
        <v>1.0</v>
      </c>
      <c r="E209" s="20">
        <v>0.01</v>
      </c>
      <c r="F209" s="20">
        <v>0.01</v>
      </c>
    </row>
    <row r="210">
      <c r="A210" s="16" t="s">
        <v>2053</v>
      </c>
      <c r="B210" s="16" t="s">
        <v>2054</v>
      </c>
      <c r="C210" s="16" t="s">
        <v>2022</v>
      </c>
      <c r="D210" s="20">
        <v>1.0</v>
      </c>
      <c r="E210" s="20">
        <v>60.31</v>
      </c>
      <c r="F210" s="20">
        <v>60.31</v>
      </c>
    </row>
    <row r="211">
      <c r="A211" s="16" t="s">
        <v>2055</v>
      </c>
      <c r="B211" s="16">
        <v>1441.0</v>
      </c>
      <c r="C211" s="16" t="s">
        <v>1405</v>
      </c>
      <c r="D211" s="20">
        <v>1.0</v>
      </c>
      <c r="E211" s="20">
        <v>1110.0</v>
      </c>
      <c r="F211" s="20">
        <v>1110.0</v>
      </c>
    </row>
    <row r="212">
      <c r="A212" s="16" t="s">
        <v>2057</v>
      </c>
      <c r="B212" s="16">
        <v>1442.0</v>
      </c>
      <c r="C212" s="16" t="s">
        <v>1414</v>
      </c>
      <c r="D212" s="20">
        <v>1.0</v>
      </c>
      <c r="E212" s="20">
        <v>625.0</v>
      </c>
      <c r="F212" s="20">
        <v>625.0</v>
      </c>
    </row>
    <row r="213">
      <c r="A213" s="16" t="s">
        <v>2061</v>
      </c>
      <c r="B213" s="16">
        <v>1443.0</v>
      </c>
      <c r="C213" s="16" t="s">
        <v>1423</v>
      </c>
      <c r="D213" s="20">
        <v>1.0</v>
      </c>
      <c r="E213" s="20">
        <v>375.0</v>
      </c>
      <c r="F213" s="20">
        <v>375.0</v>
      </c>
    </row>
    <row r="214">
      <c r="A214" s="16" t="s">
        <v>2062</v>
      </c>
      <c r="B214" s="16">
        <v>1445.0</v>
      </c>
      <c r="C214" s="16" t="s">
        <v>1220</v>
      </c>
      <c r="D214" s="20">
        <v>1.0</v>
      </c>
      <c r="E214" s="20">
        <v>1002.11</v>
      </c>
      <c r="F214" s="20">
        <v>1002.11</v>
      </c>
    </row>
    <row r="215">
      <c r="A215" s="16" t="s">
        <v>2064</v>
      </c>
      <c r="B215" s="16" t="s">
        <v>2065</v>
      </c>
      <c r="C215" s="16" t="s">
        <v>2066</v>
      </c>
      <c r="D215" s="20">
        <v>1.0</v>
      </c>
      <c r="E215" s="20">
        <v>950.0</v>
      </c>
      <c r="F215" s="20">
        <v>950.0</v>
      </c>
    </row>
    <row r="216">
      <c r="A216" s="16" t="s">
        <v>2068</v>
      </c>
      <c r="B216" s="16">
        <v>1449.0</v>
      </c>
      <c r="C216" s="16" t="s">
        <v>1232</v>
      </c>
      <c r="D216" s="20">
        <v>1.0</v>
      </c>
      <c r="E216" s="20">
        <v>1009.14</v>
      </c>
      <c r="F216" s="20">
        <v>1009.14</v>
      </c>
    </row>
    <row r="217">
      <c r="A217" s="16" t="s">
        <v>2072</v>
      </c>
      <c r="B217" s="16">
        <v>1450.0</v>
      </c>
      <c r="C217" s="16" t="s">
        <v>1244</v>
      </c>
      <c r="D217" s="20">
        <v>1.0</v>
      </c>
      <c r="E217" s="20">
        <v>13318.81</v>
      </c>
      <c r="F217" s="20">
        <v>13318.81</v>
      </c>
    </row>
    <row r="218">
      <c r="A218" s="16" t="s">
        <v>2073</v>
      </c>
      <c r="B218" s="16" t="s">
        <v>2074</v>
      </c>
      <c r="C218" s="16" t="s">
        <v>1232</v>
      </c>
      <c r="D218" s="20">
        <v>1.0</v>
      </c>
      <c r="E218" s="20">
        <v>286.86</v>
      </c>
      <c r="F218" s="20">
        <v>286.86</v>
      </c>
    </row>
    <row r="219">
      <c r="A219" s="16" t="s">
        <v>2075</v>
      </c>
      <c r="B219" s="16" t="s">
        <v>2076</v>
      </c>
      <c r="C219" s="16" t="s">
        <v>1220</v>
      </c>
      <c r="D219" s="20">
        <v>1.0</v>
      </c>
      <c r="E219" s="20">
        <v>449.75</v>
      </c>
      <c r="F219" s="20">
        <v>449.75</v>
      </c>
    </row>
    <row r="220">
      <c r="A220" s="16" t="s">
        <v>2082</v>
      </c>
      <c r="B220" s="16" t="s">
        <v>2085</v>
      </c>
      <c r="C220" s="16" t="s">
        <v>372</v>
      </c>
      <c r="D220" s="20">
        <v>1.0</v>
      </c>
      <c r="E220" s="20">
        <v>161.88</v>
      </c>
      <c r="F220" s="20">
        <v>161.88</v>
      </c>
    </row>
    <row r="221">
      <c r="A221" s="16" t="s">
        <v>2087</v>
      </c>
      <c r="B221" s="16" t="s">
        <v>2088</v>
      </c>
      <c r="C221" s="16" t="s">
        <v>2089</v>
      </c>
      <c r="D221" s="20">
        <v>1.0</v>
      </c>
      <c r="E221" s="20">
        <v>500.0</v>
      </c>
      <c r="F221" s="20">
        <v>500.0</v>
      </c>
    </row>
    <row r="222">
      <c r="A222" s="16" t="s">
        <v>2091</v>
      </c>
      <c r="B222" s="16" t="s">
        <v>2093</v>
      </c>
      <c r="C222" s="16" t="s">
        <v>1547</v>
      </c>
      <c r="D222" s="20">
        <v>1.0</v>
      </c>
      <c r="E222" s="20">
        <v>4991.59</v>
      </c>
      <c r="F222" s="20">
        <v>4991.59</v>
      </c>
    </row>
    <row r="223">
      <c r="A223" s="16" t="s">
        <v>2094</v>
      </c>
      <c r="B223" s="16" t="s">
        <v>2095</v>
      </c>
      <c r="C223" s="16" t="s">
        <v>1950</v>
      </c>
      <c r="D223" s="20">
        <v>1.0</v>
      </c>
      <c r="E223" s="20">
        <v>974.5</v>
      </c>
      <c r="F223" s="20">
        <v>974.5</v>
      </c>
    </row>
    <row r="224">
      <c r="A224" s="16" t="s">
        <v>2096</v>
      </c>
      <c r="B224" s="16">
        <v>1466.0</v>
      </c>
      <c r="C224" s="16" t="s">
        <v>1898</v>
      </c>
      <c r="D224" s="20">
        <v>1.0</v>
      </c>
      <c r="E224" s="20">
        <v>238.01</v>
      </c>
      <c r="F224" s="20">
        <v>238.01</v>
      </c>
    </row>
    <row r="225">
      <c r="A225" s="16" t="s">
        <v>2100</v>
      </c>
      <c r="B225" s="16">
        <v>1467.0</v>
      </c>
      <c r="C225" s="16" t="s">
        <v>1898</v>
      </c>
      <c r="D225" s="20">
        <v>1.0</v>
      </c>
      <c r="E225" s="20">
        <v>65.47</v>
      </c>
      <c r="F225" s="20">
        <v>65.47</v>
      </c>
    </row>
    <row r="226">
      <c r="A226" s="16" t="s">
        <v>2101</v>
      </c>
      <c r="B226" s="16" t="s">
        <v>2102</v>
      </c>
      <c r="C226" s="16" t="s">
        <v>1616</v>
      </c>
      <c r="D226" s="20">
        <v>1.0</v>
      </c>
      <c r="E226" s="20">
        <v>3061.52</v>
      </c>
      <c r="F226" s="20">
        <v>3061.52</v>
      </c>
    </row>
    <row r="227">
      <c r="A227" s="16" t="s">
        <v>2103</v>
      </c>
      <c r="B227" s="16">
        <v>1480.0</v>
      </c>
      <c r="C227" s="16" t="s">
        <v>372</v>
      </c>
      <c r="D227" s="20">
        <v>1.0</v>
      </c>
      <c r="E227" s="20">
        <v>585.0</v>
      </c>
      <c r="F227" s="20">
        <v>585.0</v>
      </c>
    </row>
    <row r="228">
      <c r="A228" s="16" t="s">
        <v>2105</v>
      </c>
      <c r="B228" s="16">
        <v>1481.0</v>
      </c>
      <c r="C228" s="16" t="s">
        <v>372</v>
      </c>
      <c r="D228" s="20">
        <v>1.0</v>
      </c>
      <c r="E228" s="20">
        <v>2693.8</v>
      </c>
      <c r="F228" s="20">
        <v>2693.8</v>
      </c>
    </row>
    <row r="229">
      <c r="A229" s="16" t="s">
        <v>2107</v>
      </c>
      <c r="B229" s="16">
        <v>1482.0</v>
      </c>
      <c r="C229" s="16" t="s">
        <v>372</v>
      </c>
      <c r="D229" s="20">
        <v>1.0</v>
      </c>
      <c r="E229" s="20">
        <v>1931.55</v>
      </c>
      <c r="F229" s="20">
        <v>1931.55</v>
      </c>
    </row>
    <row r="230">
      <c r="A230" s="16" t="s">
        <v>2109</v>
      </c>
      <c r="B230" s="16">
        <v>1483.0</v>
      </c>
      <c r="C230" s="16" t="s">
        <v>372</v>
      </c>
      <c r="D230" s="20">
        <v>1.0</v>
      </c>
      <c r="E230" s="20">
        <v>2481.05</v>
      </c>
      <c r="F230" s="20">
        <v>2481.05</v>
      </c>
    </row>
    <row r="231">
      <c r="A231" s="16" t="s">
        <v>2110</v>
      </c>
      <c r="B231" s="16">
        <v>1484.0</v>
      </c>
      <c r="C231" s="16" t="s">
        <v>372</v>
      </c>
      <c r="D231" s="20">
        <v>1.0</v>
      </c>
      <c r="E231" s="20">
        <v>2531.43</v>
      </c>
      <c r="F231" s="20">
        <v>2531.43</v>
      </c>
    </row>
    <row r="232">
      <c r="A232" s="16" t="s">
        <v>2111</v>
      </c>
      <c r="B232" s="16">
        <v>1485.0</v>
      </c>
      <c r="C232" s="16" t="s">
        <v>1325</v>
      </c>
      <c r="D232" s="20">
        <v>1.0</v>
      </c>
      <c r="E232" s="20">
        <v>32.0</v>
      </c>
      <c r="F232" s="20">
        <v>32.0</v>
      </c>
    </row>
    <row r="233">
      <c r="A233" s="16" t="s">
        <v>2113</v>
      </c>
      <c r="B233" s="16" t="s">
        <v>2114</v>
      </c>
      <c r="C233" s="16" t="s">
        <v>224</v>
      </c>
      <c r="D233" s="20">
        <v>1.0</v>
      </c>
      <c r="E233" s="20">
        <v>6005.64</v>
      </c>
      <c r="F233" s="20">
        <v>6005.64</v>
      </c>
    </row>
    <row r="234">
      <c r="A234" s="16" t="s">
        <v>2115</v>
      </c>
      <c r="B234" s="16">
        <v>1491.0</v>
      </c>
      <c r="C234" s="16" t="s">
        <v>401</v>
      </c>
      <c r="D234" s="20">
        <v>1.0</v>
      </c>
      <c r="E234" s="20">
        <v>7000.0</v>
      </c>
      <c r="F234" s="20">
        <v>7000.0</v>
      </c>
    </row>
    <row r="235">
      <c r="A235" s="16" t="s">
        <v>2119</v>
      </c>
      <c r="B235" s="16" t="s">
        <v>2120</v>
      </c>
      <c r="C235" s="16" t="s">
        <v>1616</v>
      </c>
      <c r="D235" s="20">
        <v>1.0</v>
      </c>
      <c r="E235" s="20">
        <v>3022.86</v>
      </c>
      <c r="F235" s="20">
        <v>3022.86</v>
      </c>
    </row>
    <row r="236">
      <c r="A236" s="16" t="s">
        <v>2122</v>
      </c>
      <c r="B236" s="16" t="s">
        <v>2123</v>
      </c>
      <c r="C236" s="16" t="s">
        <v>1547</v>
      </c>
      <c r="D236" s="20">
        <v>1.0</v>
      </c>
      <c r="E236" s="20">
        <v>28312.04</v>
      </c>
      <c r="F236" s="20">
        <v>28312.04</v>
      </c>
    </row>
    <row r="237">
      <c r="A237" s="16" t="s">
        <v>2124</v>
      </c>
      <c r="B237" s="16" t="s">
        <v>2125</v>
      </c>
      <c r="C237" s="16" t="s">
        <v>372</v>
      </c>
      <c r="D237" s="20">
        <v>1.0</v>
      </c>
      <c r="E237" s="20">
        <v>1590.07</v>
      </c>
      <c r="F237" s="20">
        <v>1590.07</v>
      </c>
    </row>
    <row r="238">
      <c r="A238" s="16" t="s">
        <v>2126</v>
      </c>
      <c r="B238" s="16" t="s">
        <v>2128</v>
      </c>
      <c r="C238" s="16" t="s">
        <v>372</v>
      </c>
      <c r="D238" s="20">
        <v>1.0</v>
      </c>
      <c r="E238" s="20">
        <v>1697.77</v>
      </c>
      <c r="F238" s="20">
        <v>1697.77</v>
      </c>
    </row>
    <row r="239">
      <c r="A239" s="16" t="s">
        <v>2129</v>
      </c>
      <c r="B239" s="16">
        <v>1503.0</v>
      </c>
      <c r="C239" s="16" t="s">
        <v>1164</v>
      </c>
      <c r="D239" s="20">
        <v>1.0</v>
      </c>
      <c r="E239" s="20">
        <v>500.0</v>
      </c>
      <c r="F239" s="20">
        <v>500.0</v>
      </c>
    </row>
    <row r="240">
      <c r="A240" s="16" t="s">
        <v>2131</v>
      </c>
      <c r="B240" s="16">
        <v>1504.0</v>
      </c>
      <c r="C240" s="16" t="s">
        <v>197</v>
      </c>
      <c r="D240" s="20">
        <v>1.0</v>
      </c>
      <c r="E240" s="20">
        <v>179.9</v>
      </c>
      <c r="F240" s="20">
        <v>179.9</v>
      </c>
    </row>
    <row r="241">
      <c r="A241" s="16" t="s">
        <v>2133</v>
      </c>
      <c r="B241" s="16">
        <v>1506.0</v>
      </c>
      <c r="C241" s="16" t="s">
        <v>347</v>
      </c>
      <c r="D241" s="20">
        <v>1.0</v>
      </c>
      <c r="E241" s="20">
        <v>2455.01</v>
      </c>
      <c r="F241" s="20">
        <v>2455.01</v>
      </c>
    </row>
    <row r="242">
      <c r="A242" s="16" t="s">
        <v>2134</v>
      </c>
      <c r="B242" s="16">
        <v>1511.0</v>
      </c>
      <c r="C242" s="16" t="s">
        <v>1405</v>
      </c>
      <c r="D242" s="20">
        <v>1.0</v>
      </c>
      <c r="E242" s="20">
        <v>1110.0</v>
      </c>
      <c r="F242" s="20">
        <v>1110.0</v>
      </c>
    </row>
    <row r="243">
      <c r="A243" s="16" t="s">
        <v>2135</v>
      </c>
      <c r="B243" s="16">
        <v>1512.0</v>
      </c>
      <c r="C243" s="16" t="s">
        <v>1414</v>
      </c>
      <c r="D243" s="20">
        <v>1.0</v>
      </c>
      <c r="E243" s="20">
        <v>625.0</v>
      </c>
      <c r="F243" s="20">
        <v>625.0</v>
      </c>
    </row>
    <row r="244">
      <c r="A244" s="16" t="s">
        <v>2137</v>
      </c>
      <c r="B244" s="16">
        <v>1513.0</v>
      </c>
      <c r="C244" s="16" t="s">
        <v>1423</v>
      </c>
      <c r="D244" s="20">
        <v>1.0</v>
      </c>
      <c r="E244" s="20">
        <v>375.0</v>
      </c>
      <c r="F244" s="20">
        <v>375.0</v>
      </c>
    </row>
    <row r="245">
      <c r="A245" s="16" t="s">
        <v>2140</v>
      </c>
      <c r="B245" s="16" t="s">
        <v>2141</v>
      </c>
      <c r="C245" s="16" t="s">
        <v>224</v>
      </c>
      <c r="D245" s="20">
        <v>1.0</v>
      </c>
      <c r="E245" s="20">
        <v>14067.66</v>
      </c>
      <c r="F245" s="20">
        <v>14067.66</v>
      </c>
    </row>
    <row r="246">
      <c r="A246" s="16" t="s">
        <v>2142</v>
      </c>
      <c r="B246" s="16">
        <v>1518.0</v>
      </c>
      <c r="C246" s="16" t="s">
        <v>1220</v>
      </c>
      <c r="D246" s="20">
        <v>1.0</v>
      </c>
      <c r="E246" s="20">
        <v>1240.27</v>
      </c>
      <c r="F246" s="20">
        <v>1240.27</v>
      </c>
    </row>
    <row r="247">
      <c r="A247" s="16" t="s">
        <v>2144</v>
      </c>
      <c r="B247" s="16" t="s">
        <v>2145</v>
      </c>
      <c r="C247" s="16" t="s">
        <v>1950</v>
      </c>
      <c r="D247" s="20">
        <v>1.0</v>
      </c>
      <c r="E247" s="20">
        <v>963.9</v>
      </c>
      <c r="F247" s="20">
        <v>963.9</v>
      </c>
    </row>
    <row r="248">
      <c r="A248" s="16" t="s">
        <v>2147</v>
      </c>
      <c r="B248" s="16" t="s">
        <v>2148</v>
      </c>
      <c r="C248" s="16" t="s">
        <v>2150</v>
      </c>
      <c r="D248" s="20">
        <v>1.0</v>
      </c>
      <c r="E248" s="20">
        <v>14028.03</v>
      </c>
      <c r="F248" s="20">
        <v>14028.03</v>
      </c>
    </row>
    <row r="249">
      <c r="A249" s="16" t="s">
        <v>2152</v>
      </c>
      <c r="B249" s="16">
        <v>1528.0</v>
      </c>
      <c r="C249" s="16" t="s">
        <v>1232</v>
      </c>
      <c r="D249" s="20">
        <v>1.0</v>
      </c>
      <c r="E249" s="20">
        <v>1058.63</v>
      </c>
      <c r="F249" s="20">
        <v>1058.63</v>
      </c>
    </row>
    <row r="250">
      <c r="A250" s="16" t="s">
        <v>2154</v>
      </c>
      <c r="B250" s="16">
        <v>1529.0</v>
      </c>
      <c r="C250" s="16" t="s">
        <v>1244</v>
      </c>
      <c r="D250" s="20">
        <v>1.0</v>
      </c>
      <c r="E250" s="20">
        <v>14183.41</v>
      </c>
      <c r="F250" s="20">
        <v>14183.41</v>
      </c>
    </row>
    <row r="251">
      <c r="A251" s="16" t="s">
        <v>2155</v>
      </c>
      <c r="B251" s="16" t="s">
        <v>2156</v>
      </c>
      <c r="C251" s="16" t="s">
        <v>1547</v>
      </c>
      <c r="D251" s="20">
        <v>1.0</v>
      </c>
      <c r="E251" s="20">
        <v>3196.0</v>
      </c>
      <c r="F251" s="20">
        <v>3196.0</v>
      </c>
    </row>
    <row r="252">
      <c r="A252" s="16" t="s">
        <v>2157</v>
      </c>
      <c r="B252" s="16" t="s">
        <v>2159</v>
      </c>
      <c r="C252" s="16" t="s">
        <v>1232</v>
      </c>
      <c r="D252" s="20">
        <v>1.0</v>
      </c>
      <c r="E252" s="20">
        <v>5.7</v>
      </c>
      <c r="F252" s="20">
        <v>5.7</v>
      </c>
    </row>
    <row r="253">
      <c r="A253" s="16" t="s">
        <v>2160</v>
      </c>
      <c r="B253" s="16" t="s">
        <v>2161</v>
      </c>
      <c r="C253" s="16" t="s">
        <v>2089</v>
      </c>
      <c r="D253" s="20">
        <v>1.0</v>
      </c>
      <c r="E253" s="20">
        <v>200.0</v>
      </c>
      <c r="F253" s="20">
        <v>200.0</v>
      </c>
    </row>
    <row r="254">
      <c r="A254" s="16" t="s">
        <v>2164</v>
      </c>
      <c r="B254" s="16">
        <v>1542.0</v>
      </c>
      <c r="C254" s="16" t="s">
        <v>1898</v>
      </c>
      <c r="D254" s="20">
        <v>1.0</v>
      </c>
      <c r="E254" s="20">
        <v>238.01</v>
      </c>
      <c r="F254" s="20">
        <v>238.01</v>
      </c>
    </row>
    <row r="255">
      <c r="A255" s="16" t="s">
        <v>2165</v>
      </c>
      <c r="B255" s="16">
        <v>1543.0</v>
      </c>
      <c r="C255" s="16" t="s">
        <v>1898</v>
      </c>
      <c r="D255" s="20">
        <v>1.0</v>
      </c>
      <c r="E255" s="20">
        <v>65.47</v>
      </c>
      <c r="F255" s="20">
        <v>65.47</v>
      </c>
    </row>
    <row r="256">
      <c r="A256" s="16" t="s">
        <v>2166</v>
      </c>
      <c r="B256" s="16">
        <v>1549.0</v>
      </c>
      <c r="C256" s="16" t="s">
        <v>372</v>
      </c>
      <c r="D256" s="20">
        <v>1.0</v>
      </c>
      <c r="E256" s="20">
        <v>585.0</v>
      </c>
      <c r="F256" s="20">
        <v>585.0</v>
      </c>
    </row>
    <row r="257">
      <c r="A257" s="16" t="s">
        <v>2167</v>
      </c>
      <c r="B257" s="16">
        <v>1550.0</v>
      </c>
      <c r="C257" s="16" t="s">
        <v>372</v>
      </c>
      <c r="D257" s="20">
        <v>1.0</v>
      </c>
      <c r="E257" s="20">
        <v>2655.55</v>
      </c>
      <c r="F257" s="20">
        <v>2655.55</v>
      </c>
    </row>
    <row r="258">
      <c r="A258" s="16" t="s">
        <v>2169</v>
      </c>
      <c r="B258" s="16">
        <v>1551.0</v>
      </c>
      <c r="C258" s="16" t="s">
        <v>372</v>
      </c>
      <c r="D258" s="20">
        <v>1.0</v>
      </c>
      <c r="E258" s="20">
        <v>1887.46</v>
      </c>
      <c r="F258" s="20">
        <v>1887.46</v>
      </c>
    </row>
    <row r="259">
      <c r="A259" s="16" t="s">
        <v>2171</v>
      </c>
      <c r="B259" s="16">
        <v>1552.0</v>
      </c>
      <c r="C259" s="16" t="s">
        <v>372</v>
      </c>
      <c r="D259" s="20">
        <v>1.0</v>
      </c>
      <c r="E259" s="20">
        <v>2340.73</v>
      </c>
      <c r="F259" s="20">
        <v>2340.73</v>
      </c>
    </row>
    <row r="260">
      <c r="A260" s="16" t="s">
        <v>2174</v>
      </c>
      <c r="B260" s="16">
        <v>1553.0</v>
      </c>
      <c r="C260" s="16" t="s">
        <v>372</v>
      </c>
      <c r="D260" s="20">
        <v>1.0</v>
      </c>
      <c r="E260" s="20">
        <v>2118.48</v>
      </c>
      <c r="F260" s="20">
        <v>2118.48</v>
      </c>
    </row>
    <row r="261">
      <c r="A261" s="16" t="s">
        <v>2175</v>
      </c>
      <c r="B261" s="16">
        <v>1554.0</v>
      </c>
      <c r="C261" s="16" t="s">
        <v>1325</v>
      </c>
      <c r="D261" s="20">
        <v>1.0</v>
      </c>
      <c r="E261" s="20">
        <v>32.0</v>
      </c>
      <c r="F261" s="20">
        <v>32.0</v>
      </c>
    </row>
    <row r="262">
      <c r="A262" s="16" t="s">
        <v>2176</v>
      </c>
      <c r="B262" s="16">
        <v>1564.0</v>
      </c>
      <c r="C262" s="16" t="s">
        <v>401</v>
      </c>
      <c r="D262" s="20">
        <v>1.0</v>
      </c>
      <c r="E262" s="20">
        <v>7000.0</v>
      </c>
      <c r="F262" s="20">
        <v>7000.0</v>
      </c>
    </row>
    <row r="263">
      <c r="A263" s="16" t="s">
        <v>2177</v>
      </c>
      <c r="B263" s="16" t="s">
        <v>2179</v>
      </c>
      <c r="C263" s="16" t="s">
        <v>1485</v>
      </c>
      <c r="D263" s="20">
        <v>1.0</v>
      </c>
      <c r="E263" s="20">
        <v>20.0</v>
      </c>
      <c r="F263" s="20">
        <v>20.0</v>
      </c>
    </row>
    <row r="264">
      <c r="A264" s="16" t="s">
        <v>2182</v>
      </c>
      <c r="B264" s="16" t="s">
        <v>2183</v>
      </c>
      <c r="C264" s="16" t="s">
        <v>2184</v>
      </c>
      <c r="D264" s="20">
        <v>1.0</v>
      </c>
      <c r="E264" s="20">
        <v>521.0</v>
      </c>
      <c r="F264" s="20">
        <v>521.0</v>
      </c>
    </row>
    <row r="265">
      <c r="A265" s="16" t="s">
        <v>2185</v>
      </c>
      <c r="B265" s="16" t="s">
        <v>2186</v>
      </c>
      <c r="C265" s="16" t="s">
        <v>372</v>
      </c>
      <c r="D265" s="20">
        <v>1.0</v>
      </c>
      <c r="E265" s="20">
        <v>1668.24</v>
      </c>
      <c r="F265" s="20">
        <v>1668.24</v>
      </c>
    </row>
    <row r="266">
      <c r="A266" s="16" t="s">
        <v>2189</v>
      </c>
      <c r="B266" s="16">
        <v>1569.0</v>
      </c>
      <c r="C266" s="16" t="s">
        <v>1164</v>
      </c>
      <c r="D266" s="20">
        <v>1.0</v>
      </c>
      <c r="E266" s="20">
        <v>533.95</v>
      </c>
      <c r="F266" s="20">
        <v>533.95</v>
      </c>
    </row>
    <row r="267">
      <c r="A267" s="16" t="s">
        <v>2190</v>
      </c>
      <c r="B267" s="16">
        <v>1570.0</v>
      </c>
      <c r="C267" s="16" t="s">
        <v>197</v>
      </c>
      <c r="D267" s="20">
        <v>1.0</v>
      </c>
      <c r="E267" s="20">
        <v>179.9</v>
      </c>
      <c r="F267" s="20">
        <v>179.9</v>
      </c>
    </row>
    <row r="268">
      <c r="A268" s="16" t="s">
        <v>2192</v>
      </c>
      <c r="B268" s="16">
        <v>1572.0</v>
      </c>
      <c r="C268" s="16" t="s">
        <v>347</v>
      </c>
      <c r="D268" s="20">
        <v>1.0</v>
      </c>
      <c r="E268" s="20">
        <v>2486.41</v>
      </c>
      <c r="F268" s="20">
        <v>2486.41</v>
      </c>
    </row>
    <row r="269">
      <c r="A269" s="16" t="s">
        <v>2193</v>
      </c>
      <c r="B269" s="16" t="s">
        <v>2194</v>
      </c>
      <c r="C269" s="16" t="s">
        <v>2196</v>
      </c>
      <c r="D269" s="20">
        <v>1.0</v>
      </c>
      <c r="E269" s="20">
        <v>16.75</v>
      </c>
      <c r="F269" s="20">
        <v>16.75</v>
      </c>
    </row>
    <row r="270">
      <c r="A270" s="16" t="s">
        <v>2197</v>
      </c>
      <c r="B270" s="16">
        <v>1588.0</v>
      </c>
      <c r="C270" s="16" t="s">
        <v>1405</v>
      </c>
      <c r="D270" s="20">
        <v>1.0</v>
      </c>
      <c r="E270" s="20">
        <v>1110.0</v>
      </c>
      <c r="F270" s="20">
        <v>1110.0</v>
      </c>
    </row>
    <row r="271">
      <c r="A271" s="16" t="s">
        <v>2199</v>
      </c>
      <c r="B271" s="16">
        <v>1589.0</v>
      </c>
      <c r="C271" s="16" t="s">
        <v>1414</v>
      </c>
      <c r="D271" s="20">
        <v>1.0</v>
      </c>
      <c r="E271" s="20">
        <v>700.0</v>
      </c>
      <c r="F271" s="20">
        <v>700.0</v>
      </c>
    </row>
    <row r="272">
      <c r="A272" s="16" t="s">
        <v>2201</v>
      </c>
      <c r="B272" s="16">
        <v>1590.0</v>
      </c>
      <c r="C272" s="16" t="s">
        <v>1423</v>
      </c>
      <c r="D272" s="20">
        <v>1.0</v>
      </c>
      <c r="E272" s="20">
        <v>396.0</v>
      </c>
      <c r="F272" s="20">
        <v>396.0</v>
      </c>
    </row>
    <row r="273">
      <c r="A273" s="16" t="s">
        <v>2204</v>
      </c>
      <c r="B273" s="16">
        <v>1591.0</v>
      </c>
      <c r="C273" s="16" t="s">
        <v>2205</v>
      </c>
      <c r="D273" s="20">
        <v>1.0</v>
      </c>
      <c r="E273" s="20">
        <v>253.0</v>
      </c>
      <c r="F273" s="20">
        <v>253.0</v>
      </c>
    </row>
    <row r="274">
      <c r="A274" s="16" t="s">
        <v>2207</v>
      </c>
      <c r="B274" s="16">
        <v>1595.0</v>
      </c>
      <c r="C274" s="16" t="s">
        <v>1220</v>
      </c>
      <c r="D274" s="20">
        <v>1.0</v>
      </c>
      <c r="E274" s="20">
        <v>1101.52</v>
      </c>
      <c r="F274" s="20">
        <v>1101.52</v>
      </c>
    </row>
    <row r="275">
      <c r="A275" s="16" t="s">
        <v>2209</v>
      </c>
      <c r="B275" s="16" t="s">
        <v>2210</v>
      </c>
      <c r="C275" s="16" t="s">
        <v>210</v>
      </c>
      <c r="D275" s="20">
        <v>1.0</v>
      </c>
      <c r="E275" s="20">
        <v>1260.58</v>
      </c>
      <c r="F275" s="20">
        <v>1260.58</v>
      </c>
    </row>
    <row r="276">
      <c r="A276" s="16" t="s">
        <v>2212</v>
      </c>
      <c r="B276" s="16">
        <v>1600.0</v>
      </c>
      <c r="C276" s="16" t="s">
        <v>1232</v>
      </c>
      <c r="D276" s="20">
        <v>1.0</v>
      </c>
      <c r="E276" s="20">
        <v>923.22</v>
      </c>
      <c r="F276" s="20">
        <v>923.22</v>
      </c>
    </row>
    <row r="277">
      <c r="A277" s="16" t="s">
        <v>2213</v>
      </c>
      <c r="B277" s="16">
        <v>1601.0</v>
      </c>
      <c r="C277" s="16" t="s">
        <v>1244</v>
      </c>
      <c r="D277" s="20">
        <v>1.0</v>
      </c>
      <c r="E277" s="20">
        <v>12920.5</v>
      </c>
      <c r="F277" s="20">
        <v>12920.5</v>
      </c>
    </row>
    <row r="278">
      <c r="A278" s="16" t="s">
        <v>2214</v>
      </c>
      <c r="B278" s="16" t="s">
        <v>2215</v>
      </c>
      <c r="C278" s="16" t="s">
        <v>1950</v>
      </c>
      <c r="D278" s="20">
        <v>1.0</v>
      </c>
      <c r="E278" s="20">
        <v>1362.22</v>
      </c>
      <c r="F278" s="20">
        <v>1362.22</v>
      </c>
    </row>
    <row r="279">
      <c r="A279" s="16" t="s">
        <v>2217</v>
      </c>
      <c r="B279" s="16" t="s">
        <v>2218</v>
      </c>
      <c r="C279" s="16" t="s">
        <v>1547</v>
      </c>
      <c r="D279" s="20">
        <v>1.0</v>
      </c>
      <c r="E279" s="20">
        <v>4003.68</v>
      </c>
      <c r="F279" s="20">
        <v>4003.68</v>
      </c>
    </row>
    <row r="280">
      <c r="A280" s="16" t="s">
        <v>2220</v>
      </c>
      <c r="B280" s="16" t="s">
        <v>2221</v>
      </c>
      <c r="C280" s="16" t="s">
        <v>1616</v>
      </c>
      <c r="D280" s="20">
        <v>1.0</v>
      </c>
      <c r="E280" s="20">
        <v>2260.16</v>
      </c>
      <c r="F280" s="20">
        <v>2260.16</v>
      </c>
    </row>
    <row r="281">
      <c r="A281" s="16" t="s">
        <v>2223</v>
      </c>
      <c r="B281" s="16" t="s">
        <v>2224</v>
      </c>
      <c r="C281" s="16" t="s">
        <v>1616</v>
      </c>
      <c r="D281" s="20">
        <v>1.0</v>
      </c>
      <c r="E281" s="20">
        <v>131.6</v>
      </c>
      <c r="F281" s="20">
        <v>131.6</v>
      </c>
    </row>
    <row r="282">
      <c r="A282" s="16" t="s">
        <v>2225</v>
      </c>
      <c r="B282" s="16">
        <v>1612.0</v>
      </c>
      <c r="C282" s="16" t="s">
        <v>1898</v>
      </c>
      <c r="D282" s="20">
        <v>1.0</v>
      </c>
      <c r="E282" s="20">
        <v>238.01</v>
      </c>
      <c r="F282" s="20">
        <v>238.01</v>
      </c>
    </row>
    <row r="283">
      <c r="A283" s="16" t="s">
        <v>2226</v>
      </c>
      <c r="B283" s="16">
        <v>1617.0</v>
      </c>
      <c r="C283" s="16" t="s">
        <v>372</v>
      </c>
      <c r="D283" s="20">
        <v>1.0</v>
      </c>
      <c r="E283" s="20">
        <v>585.0</v>
      </c>
      <c r="F283" s="20">
        <v>585.0</v>
      </c>
    </row>
    <row r="284">
      <c r="A284" s="16" t="s">
        <v>2228</v>
      </c>
      <c r="B284" s="16">
        <v>1618.0</v>
      </c>
      <c r="C284" s="16" t="s">
        <v>372</v>
      </c>
      <c r="D284" s="20">
        <v>1.0</v>
      </c>
      <c r="E284" s="20">
        <v>2698.62</v>
      </c>
      <c r="F284" s="20">
        <v>2698.62</v>
      </c>
    </row>
    <row r="285">
      <c r="A285" s="16" t="s">
        <v>2229</v>
      </c>
      <c r="B285" s="16">
        <v>1619.0</v>
      </c>
      <c r="C285" s="16" t="s">
        <v>372</v>
      </c>
      <c r="D285" s="20">
        <v>1.0</v>
      </c>
      <c r="E285" s="20">
        <v>1887.46</v>
      </c>
      <c r="F285" s="20">
        <v>1887.46</v>
      </c>
    </row>
    <row r="286">
      <c r="A286" s="16" t="s">
        <v>2232</v>
      </c>
      <c r="B286" s="16">
        <v>1620.0</v>
      </c>
      <c r="C286" s="16" t="s">
        <v>372</v>
      </c>
      <c r="D286" s="20">
        <v>1.0</v>
      </c>
      <c r="E286" s="20">
        <v>2347.75</v>
      </c>
      <c r="F286" s="20">
        <v>2347.75</v>
      </c>
    </row>
    <row r="287">
      <c r="A287" s="16" t="s">
        <v>2233</v>
      </c>
      <c r="B287" s="16">
        <v>1621.0</v>
      </c>
      <c r="C287" s="16" t="s">
        <v>372</v>
      </c>
      <c r="D287" s="20">
        <v>1.0</v>
      </c>
      <c r="E287" s="20">
        <v>2275.05</v>
      </c>
      <c r="F287" s="20">
        <v>2275.05</v>
      </c>
    </row>
    <row r="288">
      <c r="A288" s="16" t="s">
        <v>2235</v>
      </c>
      <c r="B288" s="16">
        <v>1622.0</v>
      </c>
      <c r="C288" s="16" t="s">
        <v>1325</v>
      </c>
      <c r="D288" s="20">
        <v>1.0</v>
      </c>
      <c r="E288" s="20">
        <v>32.0</v>
      </c>
      <c r="F288" s="20">
        <v>32.0</v>
      </c>
    </row>
    <row r="289">
      <c r="A289" s="16" t="s">
        <v>2236</v>
      </c>
      <c r="B289" s="16">
        <v>1628.0</v>
      </c>
      <c r="C289" s="16" t="s">
        <v>401</v>
      </c>
      <c r="D289" s="20">
        <v>1.0</v>
      </c>
      <c r="E289" s="20">
        <v>7000.0</v>
      </c>
      <c r="F289" s="20">
        <v>7000.0</v>
      </c>
    </row>
    <row r="290">
      <c r="A290" s="16" t="s">
        <v>2238</v>
      </c>
      <c r="B290" s="16" t="s">
        <v>2239</v>
      </c>
      <c r="C290" s="16" t="s">
        <v>1547</v>
      </c>
      <c r="D290" s="20">
        <v>1.0</v>
      </c>
      <c r="E290" s="20">
        <v>2704.94</v>
      </c>
      <c r="F290" s="20">
        <v>2704.94</v>
      </c>
    </row>
    <row r="291">
      <c r="A291" s="16" t="s">
        <v>2241</v>
      </c>
      <c r="B291" s="16" t="s">
        <v>2242</v>
      </c>
      <c r="C291" s="16" t="s">
        <v>1616</v>
      </c>
      <c r="D291" s="20">
        <v>1.0</v>
      </c>
      <c r="E291" s="20">
        <v>917.79</v>
      </c>
      <c r="F291" s="20">
        <v>917.79</v>
      </c>
    </row>
    <row r="292">
      <c r="A292" s="16" t="s">
        <v>2244</v>
      </c>
      <c r="B292" s="16" t="s">
        <v>2245</v>
      </c>
      <c r="C292" s="16" t="s">
        <v>1616</v>
      </c>
      <c r="D292" s="20">
        <v>1.0</v>
      </c>
      <c r="E292" s="20">
        <v>1119.31</v>
      </c>
      <c r="F292" s="20">
        <v>1119.31</v>
      </c>
    </row>
    <row r="293">
      <c r="A293" s="16" t="s">
        <v>2246</v>
      </c>
      <c r="B293" s="16" t="s">
        <v>2247</v>
      </c>
      <c r="C293" s="16" t="s">
        <v>1547</v>
      </c>
      <c r="D293" s="20">
        <v>1.0</v>
      </c>
      <c r="E293" s="20">
        <v>5206.0</v>
      </c>
      <c r="F293" s="20">
        <v>5206.0</v>
      </c>
    </row>
    <row r="294">
      <c r="A294" s="16" t="s">
        <v>2248</v>
      </c>
      <c r="B294" s="16" t="s">
        <v>2249</v>
      </c>
      <c r="C294" s="16" t="s">
        <v>1547</v>
      </c>
      <c r="D294" s="20">
        <v>1.0</v>
      </c>
      <c r="E294" s="20">
        <v>348.0</v>
      </c>
      <c r="F294" s="20">
        <v>348.0</v>
      </c>
    </row>
    <row r="295">
      <c r="A295" s="16" t="s">
        <v>2251</v>
      </c>
      <c r="B295" s="16" t="s">
        <v>2252</v>
      </c>
      <c r="C295" s="16" t="s">
        <v>1616</v>
      </c>
      <c r="D295" s="20">
        <v>1.0</v>
      </c>
      <c r="E295" s="20">
        <v>280.66</v>
      </c>
      <c r="F295" s="20">
        <v>280.66</v>
      </c>
    </row>
    <row r="296">
      <c r="A296" s="16" t="s">
        <v>2254</v>
      </c>
      <c r="B296" s="16" t="s">
        <v>2256</v>
      </c>
      <c r="C296" s="16" t="s">
        <v>1547</v>
      </c>
      <c r="D296" s="20">
        <v>1.0</v>
      </c>
      <c r="E296" s="20">
        <v>1291.0</v>
      </c>
      <c r="F296" s="20">
        <v>1291.0</v>
      </c>
    </row>
    <row r="297">
      <c r="A297" s="16" t="s">
        <v>2259</v>
      </c>
      <c r="B297" s="16" t="s">
        <v>2260</v>
      </c>
      <c r="C297" s="16" t="s">
        <v>2261</v>
      </c>
      <c r="D297" s="20">
        <v>1.0</v>
      </c>
      <c r="E297" s="20">
        <v>204.0</v>
      </c>
      <c r="F297" s="20">
        <v>204.0</v>
      </c>
    </row>
    <row r="298">
      <c r="A298" s="16" t="s">
        <v>2262</v>
      </c>
      <c r="B298" s="16">
        <v>1644.0</v>
      </c>
      <c r="C298" s="16" t="s">
        <v>1164</v>
      </c>
      <c r="D298" s="20">
        <v>1.0</v>
      </c>
      <c r="E298" s="20">
        <v>533.95</v>
      </c>
      <c r="F298" s="20">
        <v>533.95</v>
      </c>
    </row>
    <row r="299">
      <c r="A299" s="16" t="s">
        <v>2263</v>
      </c>
      <c r="B299" s="16">
        <v>1645.0</v>
      </c>
      <c r="C299" s="16" t="s">
        <v>197</v>
      </c>
      <c r="D299" s="20">
        <v>1.0</v>
      </c>
      <c r="E299" s="20">
        <v>179.9</v>
      </c>
      <c r="F299" s="20">
        <v>179.9</v>
      </c>
    </row>
    <row r="300">
      <c r="A300" s="16" t="s">
        <v>2265</v>
      </c>
      <c r="B300" s="16">
        <v>1647.0</v>
      </c>
      <c r="C300" s="16" t="s">
        <v>347</v>
      </c>
      <c r="D300" s="20">
        <v>1.0</v>
      </c>
      <c r="E300" s="20">
        <v>2290.19</v>
      </c>
      <c r="F300" s="20">
        <v>2290.19</v>
      </c>
    </row>
    <row r="301">
      <c r="A301" s="16" t="s">
        <v>2266</v>
      </c>
      <c r="B301" s="16" t="s">
        <v>2268</v>
      </c>
      <c r="C301" s="16" t="s">
        <v>1467</v>
      </c>
      <c r="D301" s="20">
        <v>1.0</v>
      </c>
      <c r="E301" s="20">
        <v>72.96</v>
      </c>
      <c r="F301" s="20">
        <v>72.96</v>
      </c>
    </row>
    <row r="302">
      <c r="A302" s="16" t="s">
        <v>2270</v>
      </c>
      <c r="B302" s="16" t="s">
        <v>2271</v>
      </c>
      <c r="C302" s="16" t="s">
        <v>1731</v>
      </c>
      <c r="D302" s="20">
        <v>1.0</v>
      </c>
      <c r="E302" s="20">
        <v>164.0</v>
      </c>
      <c r="F302" s="20">
        <v>164.0</v>
      </c>
    </row>
    <row r="303">
      <c r="A303" s="16" t="s">
        <v>2272</v>
      </c>
      <c r="B303" s="16" t="s">
        <v>2273</v>
      </c>
      <c r="C303" s="16" t="s">
        <v>1616</v>
      </c>
      <c r="D303" s="20">
        <v>1.0</v>
      </c>
      <c r="E303" s="20">
        <v>61.83</v>
      </c>
      <c r="F303" s="20">
        <v>61.83</v>
      </c>
    </row>
    <row r="304">
      <c r="A304" s="16" t="s">
        <v>2275</v>
      </c>
      <c r="B304" s="16" t="s">
        <v>2276</v>
      </c>
      <c r="C304" s="16" t="s">
        <v>210</v>
      </c>
      <c r="D304" s="20">
        <v>1.0</v>
      </c>
      <c r="E304" s="20">
        <v>1215.41</v>
      </c>
      <c r="F304" s="20">
        <v>1215.41</v>
      </c>
    </row>
    <row r="305">
      <c r="A305" s="16" t="s">
        <v>2279</v>
      </c>
      <c r="B305" s="16" t="s">
        <v>2280</v>
      </c>
      <c r="C305" s="16" t="s">
        <v>1950</v>
      </c>
      <c r="D305" s="20">
        <v>1.0</v>
      </c>
      <c r="E305" s="20">
        <v>866.96</v>
      </c>
      <c r="F305" s="20">
        <v>866.96</v>
      </c>
    </row>
    <row r="306">
      <c r="A306" s="16" t="s">
        <v>2281</v>
      </c>
      <c r="B306" s="16" t="s">
        <v>2282</v>
      </c>
      <c r="C306" s="16" t="s">
        <v>224</v>
      </c>
      <c r="D306" s="20">
        <v>1.0</v>
      </c>
      <c r="E306" s="20">
        <v>287.72</v>
      </c>
      <c r="F306" s="20">
        <v>287.72</v>
      </c>
    </row>
    <row r="307">
      <c r="A307" s="16" t="s">
        <v>2283</v>
      </c>
      <c r="B307" s="16">
        <v>1655.0</v>
      </c>
      <c r="C307" s="16" t="s">
        <v>1405</v>
      </c>
      <c r="D307" s="20">
        <v>1.0</v>
      </c>
      <c r="E307" s="20">
        <v>1110.0</v>
      </c>
      <c r="F307" s="20">
        <v>1110.0</v>
      </c>
    </row>
    <row r="308">
      <c r="A308" s="16" t="s">
        <v>2284</v>
      </c>
      <c r="B308" s="16">
        <v>1656.0</v>
      </c>
      <c r="C308" s="16" t="s">
        <v>1414</v>
      </c>
      <c r="D308" s="20">
        <v>1.0</v>
      </c>
      <c r="E308" s="20">
        <v>700.0</v>
      </c>
      <c r="F308" s="20">
        <v>700.0</v>
      </c>
    </row>
    <row r="309">
      <c r="A309" s="16" t="s">
        <v>2286</v>
      </c>
      <c r="B309" s="16">
        <v>1657.0</v>
      </c>
      <c r="C309" s="16" t="s">
        <v>1423</v>
      </c>
      <c r="D309" s="20">
        <v>1.0</v>
      </c>
      <c r="E309" s="20">
        <v>396.0</v>
      </c>
      <c r="F309" s="20">
        <v>396.0</v>
      </c>
    </row>
    <row r="310">
      <c r="A310" s="16" t="s">
        <v>2288</v>
      </c>
      <c r="B310" s="16">
        <v>1658.0</v>
      </c>
      <c r="C310" s="16" t="s">
        <v>2205</v>
      </c>
      <c r="D310" s="20">
        <v>1.0</v>
      </c>
      <c r="E310" s="20">
        <v>253.0</v>
      </c>
      <c r="F310" s="20">
        <v>253.0</v>
      </c>
    </row>
    <row r="311">
      <c r="A311" s="16" t="s">
        <v>2291</v>
      </c>
      <c r="B311" s="16" t="s">
        <v>2292</v>
      </c>
      <c r="C311" s="16" t="s">
        <v>1547</v>
      </c>
      <c r="D311" s="20">
        <v>1.0</v>
      </c>
      <c r="E311" s="20">
        <v>1584.94</v>
      </c>
      <c r="F311" s="20">
        <v>1584.94</v>
      </c>
    </row>
    <row r="312">
      <c r="A312" s="16" t="s">
        <v>2293</v>
      </c>
      <c r="B312" s="16">
        <v>1671.0</v>
      </c>
      <c r="C312" s="16" t="s">
        <v>1220</v>
      </c>
      <c r="D312" s="20">
        <v>1.0</v>
      </c>
      <c r="E312" s="20">
        <v>1080.79</v>
      </c>
      <c r="F312" s="20">
        <v>1080.79</v>
      </c>
    </row>
    <row r="313">
      <c r="A313" s="16" t="s">
        <v>2294</v>
      </c>
      <c r="B313" s="16" t="s">
        <v>2295</v>
      </c>
      <c r="C313" s="16" t="s">
        <v>2297</v>
      </c>
      <c r="D313" s="20">
        <v>1.0</v>
      </c>
      <c r="E313" s="20">
        <v>558.0</v>
      </c>
      <c r="F313" s="20">
        <v>558.0</v>
      </c>
    </row>
    <row r="314">
      <c r="A314" s="16" t="s">
        <v>2298</v>
      </c>
      <c r="B314" s="16">
        <v>1682.0</v>
      </c>
      <c r="C314" s="16" t="s">
        <v>1232</v>
      </c>
      <c r="D314" s="20">
        <v>1.0</v>
      </c>
      <c r="E314" s="20">
        <v>909.31</v>
      </c>
      <c r="F314" s="20">
        <v>909.31</v>
      </c>
    </row>
    <row r="315">
      <c r="A315" s="16" t="s">
        <v>2300</v>
      </c>
      <c r="B315" s="16">
        <v>1683.0</v>
      </c>
      <c r="C315" s="16" t="s">
        <v>1244</v>
      </c>
      <c r="D315" s="20">
        <v>1.0</v>
      </c>
      <c r="E315" s="20">
        <v>10144.2</v>
      </c>
      <c r="F315" s="20">
        <v>10144.2</v>
      </c>
    </row>
    <row r="316">
      <c r="A316" s="16" t="s">
        <v>2303</v>
      </c>
      <c r="B316" s="16" t="s">
        <v>2304</v>
      </c>
      <c r="C316" s="16" t="s">
        <v>1616</v>
      </c>
      <c r="D316" s="20">
        <v>1.0</v>
      </c>
      <c r="E316" s="20">
        <v>1144.13</v>
      </c>
      <c r="F316" s="20">
        <v>1144.13</v>
      </c>
    </row>
    <row r="317">
      <c r="A317" s="16" t="s">
        <v>2305</v>
      </c>
      <c r="B317" s="16" t="s">
        <v>2306</v>
      </c>
      <c r="C317" s="16" t="s">
        <v>1616</v>
      </c>
      <c r="D317" s="20">
        <v>1.0</v>
      </c>
      <c r="E317" s="20">
        <v>218.68</v>
      </c>
      <c r="F317" s="20">
        <v>218.68</v>
      </c>
    </row>
    <row r="318">
      <c r="A318" s="16" t="s">
        <v>2307</v>
      </c>
      <c r="B318" s="16" t="s">
        <v>2308</v>
      </c>
      <c r="C318" s="16" t="s">
        <v>1616</v>
      </c>
      <c r="D318" s="20">
        <v>1.0</v>
      </c>
      <c r="E318" s="20">
        <v>3.6</v>
      </c>
      <c r="F318" s="20">
        <v>3.6</v>
      </c>
    </row>
    <row r="319">
      <c r="A319" s="16" t="s">
        <v>2310</v>
      </c>
      <c r="B319" s="16" t="s">
        <v>2311</v>
      </c>
      <c r="C319" s="16" t="s">
        <v>1616</v>
      </c>
      <c r="D319" s="20">
        <v>1.0</v>
      </c>
      <c r="E319" s="20">
        <v>1664.63</v>
      </c>
      <c r="F319" s="20">
        <v>1664.63</v>
      </c>
    </row>
    <row r="320">
      <c r="A320" s="16" t="s">
        <v>2313</v>
      </c>
      <c r="B320" s="16" t="s">
        <v>2314</v>
      </c>
      <c r="C320" s="16" t="s">
        <v>1485</v>
      </c>
      <c r="D320" s="20">
        <v>1.0</v>
      </c>
      <c r="E320" s="20">
        <v>20.0</v>
      </c>
      <c r="F320" s="20">
        <v>20.0</v>
      </c>
    </row>
    <row r="321">
      <c r="A321" s="16" t="s">
        <v>2316</v>
      </c>
      <c r="B321" s="16">
        <v>1696.0</v>
      </c>
      <c r="C321" s="16" t="s">
        <v>1898</v>
      </c>
      <c r="D321" s="20">
        <v>1.0</v>
      </c>
      <c r="E321" s="20">
        <v>238.01</v>
      </c>
      <c r="F321" s="20">
        <v>238.01</v>
      </c>
    </row>
    <row r="322">
      <c r="A322" s="16" t="s">
        <v>2317</v>
      </c>
      <c r="B322" s="16" t="s">
        <v>2318</v>
      </c>
      <c r="C322" s="16" t="s">
        <v>1547</v>
      </c>
      <c r="D322" s="20">
        <v>1.0</v>
      </c>
      <c r="E322" s="20">
        <v>4287.0</v>
      </c>
      <c r="F322" s="20">
        <v>4287.0</v>
      </c>
    </row>
    <row r="323">
      <c r="A323" s="16" t="s">
        <v>2320</v>
      </c>
      <c r="B323" s="16" t="s">
        <v>2321</v>
      </c>
      <c r="C323" s="16" t="s">
        <v>1616</v>
      </c>
      <c r="D323" s="20">
        <v>1.0</v>
      </c>
      <c r="E323" s="20">
        <v>2626.66</v>
      </c>
      <c r="F323" s="20">
        <v>2626.66</v>
      </c>
    </row>
    <row r="324">
      <c r="A324" s="16" t="s">
        <v>2322</v>
      </c>
      <c r="B324" s="16">
        <v>1709.0</v>
      </c>
      <c r="C324" s="16" t="s">
        <v>372</v>
      </c>
      <c r="D324" s="20">
        <v>1.0</v>
      </c>
      <c r="E324" s="20">
        <v>585.0</v>
      </c>
      <c r="F324" s="20">
        <v>585.0</v>
      </c>
    </row>
    <row r="325">
      <c r="A325" s="16" t="s">
        <v>2325</v>
      </c>
      <c r="B325" s="16">
        <v>1710.0</v>
      </c>
      <c r="C325" s="16" t="s">
        <v>372</v>
      </c>
      <c r="D325" s="20">
        <v>1.0</v>
      </c>
      <c r="E325" s="20">
        <v>2698.62</v>
      </c>
      <c r="F325" s="20">
        <v>2698.62</v>
      </c>
    </row>
    <row r="326">
      <c r="A326" s="16" t="s">
        <v>2326</v>
      </c>
      <c r="B326" s="16">
        <v>1711.0</v>
      </c>
      <c r="C326" s="16" t="s">
        <v>372</v>
      </c>
      <c r="D326" s="20">
        <v>1.0</v>
      </c>
      <c r="E326" s="20">
        <v>1935.32</v>
      </c>
      <c r="F326" s="20">
        <v>1935.32</v>
      </c>
    </row>
    <row r="327">
      <c r="A327" s="16" t="s">
        <v>2328</v>
      </c>
      <c r="B327" s="16">
        <v>1712.0</v>
      </c>
      <c r="C327" s="16" t="s">
        <v>372</v>
      </c>
      <c r="D327" s="20">
        <v>1.0</v>
      </c>
      <c r="E327" s="20">
        <v>2101.58</v>
      </c>
      <c r="F327" s="20">
        <v>2101.58</v>
      </c>
    </row>
    <row r="328">
      <c r="A328" s="16" t="s">
        <v>2329</v>
      </c>
      <c r="B328" s="16">
        <v>1714.0</v>
      </c>
      <c r="C328" s="16" t="s">
        <v>1325</v>
      </c>
      <c r="D328" s="20">
        <v>1.0</v>
      </c>
      <c r="E328" s="20">
        <v>32.0</v>
      </c>
      <c r="F328" s="20">
        <v>32.0</v>
      </c>
    </row>
    <row r="329">
      <c r="A329" s="16" t="s">
        <v>2331</v>
      </c>
      <c r="B329" s="16" t="s">
        <v>2333</v>
      </c>
      <c r="C329" s="16" t="s">
        <v>2089</v>
      </c>
      <c r="D329" s="20">
        <v>1.0</v>
      </c>
      <c r="E329" s="20">
        <v>300.0</v>
      </c>
      <c r="F329" s="20">
        <v>300.0</v>
      </c>
    </row>
    <row r="330">
      <c r="A330" s="16" t="s">
        <v>2334</v>
      </c>
      <c r="B330" s="16">
        <v>1719.0</v>
      </c>
      <c r="C330" s="16" t="s">
        <v>401</v>
      </c>
      <c r="D330" s="20">
        <v>1.0</v>
      </c>
      <c r="E330" s="20">
        <v>7000.0</v>
      </c>
      <c r="F330" s="20">
        <v>7000.0</v>
      </c>
    </row>
    <row r="331">
      <c r="A331" s="16" t="s">
        <v>2335</v>
      </c>
      <c r="B331" s="16" t="s">
        <v>2336</v>
      </c>
      <c r="C331" s="16" t="s">
        <v>2337</v>
      </c>
      <c r="D331" s="20">
        <v>1.0</v>
      </c>
      <c r="E331" s="20">
        <v>4135.1</v>
      </c>
      <c r="F331" s="20">
        <v>4135.1</v>
      </c>
    </row>
    <row r="332">
      <c r="A332" s="16" t="s">
        <v>2338</v>
      </c>
      <c r="B332" s="16">
        <v>1727.0</v>
      </c>
      <c r="C332" s="16" t="s">
        <v>1164</v>
      </c>
      <c r="D332" s="20">
        <v>1.0</v>
      </c>
      <c r="E332" s="20">
        <v>533.95</v>
      </c>
      <c r="F332" s="20">
        <v>533.95</v>
      </c>
    </row>
    <row r="333">
      <c r="A333" s="16" t="s">
        <v>2340</v>
      </c>
      <c r="B333" s="16">
        <v>1728.0</v>
      </c>
      <c r="C333" s="16" t="s">
        <v>197</v>
      </c>
      <c r="D333" s="20">
        <v>1.0</v>
      </c>
      <c r="E333" s="20">
        <v>179.9</v>
      </c>
      <c r="F333" s="20">
        <v>179.9</v>
      </c>
    </row>
    <row r="334">
      <c r="A334" s="16" t="s">
        <v>2342</v>
      </c>
      <c r="B334" s="16" t="s">
        <v>2344</v>
      </c>
      <c r="C334" s="16" t="s">
        <v>2345</v>
      </c>
      <c r="D334" s="20">
        <v>1.0</v>
      </c>
      <c r="E334" s="20">
        <v>263.25</v>
      </c>
      <c r="F334" s="20">
        <v>263.25</v>
      </c>
    </row>
    <row r="335">
      <c r="A335" s="16" t="s">
        <v>2346</v>
      </c>
      <c r="B335" s="16" t="s">
        <v>2347</v>
      </c>
      <c r="C335" s="16" t="s">
        <v>1547</v>
      </c>
      <c r="D335" s="20">
        <v>1.0</v>
      </c>
      <c r="E335" s="20">
        <v>6243.0</v>
      </c>
      <c r="F335" s="20">
        <v>6243.0</v>
      </c>
    </row>
    <row r="336">
      <c r="A336" s="16" t="s">
        <v>2348</v>
      </c>
      <c r="B336" s="16" t="s">
        <v>2349</v>
      </c>
      <c r="C336" s="16" t="s">
        <v>1616</v>
      </c>
      <c r="D336" s="20">
        <v>1.0</v>
      </c>
      <c r="E336" s="20">
        <v>2971.59</v>
      </c>
      <c r="F336" s="20">
        <v>2971.59</v>
      </c>
    </row>
    <row r="337">
      <c r="A337" s="16" t="s">
        <v>2350</v>
      </c>
      <c r="B337" s="16" t="s">
        <v>2351</v>
      </c>
      <c r="C337" s="16" t="s">
        <v>372</v>
      </c>
      <c r="D337" s="20">
        <v>1.0</v>
      </c>
      <c r="E337" s="20">
        <v>1791.37</v>
      </c>
      <c r="F337" s="20">
        <v>1791.37</v>
      </c>
    </row>
    <row r="338">
      <c r="A338" s="16" t="s">
        <v>2353</v>
      </c>
      <c r="B338" s="16">
        <v>1743.0</v>
      </c>
      <c r="C338" s="16" t="s">
        <v>1405</v>
      </c>
      <c r="D338" s="20">
        <v>1.0</v>
      </c>
      <c r="E338" s="20">
        <v>1110.0</v>
      </c>
      <c r="F338" s="20">
        <v>1110.0</v>
      </c>
    </row>
    <row r="339">
      <c r="A339" s="16" t="s">
        <v>2355</v>
      </c>
      <c r="B339" s="16">
        <v>1744.0</v>
      </c>
      <c r="C339" s="16" t="s">
        <v>1414</v>
      </c>
      <c r="D339" s="20">
        <v>1.0</v>
      </c>
      <c r="E339" s="20">
        <v>700.0</v>
      </c>
      <c r="F339" s="20">
        <v>700.0</v>
      </c>
    </row>
    <row r="340">
      <c r="A340" s="16" t="s">
        <v>2357</v>
      </c>
      <c r="B340" s="16">
        <v>1745.0</v>
      </c>
      <c r="C340" s="16" t="s">
        <v>1423</v>
      </c>
      <c r="D340" s="20">
        <v>1.0</v>
      </c>
      <c r="E340" s="20">
        <v>396.0</v>
      </c>
      <c r="F340" s="20">
        <v>396.0</v>
      </c>
    </row>
    <row r="341">
      <c r="A341" s="16" t="s">
        <v>2358</v>
      </c>
      <c r="B341" s="16">
        <v>1746.0</v>
      </c>
      <c r="C341" s="16" t="s">
        <v>2205</v>
      </c>
      <c r="D341" s="20">
        <v>1.0</v>
      </c>
      <c r="E341" s="20">
        <v>253.0</v>
      </c>
      <c r="F341" s="20">
        <v>253.0</v>
      </c>
    </row>
    <row r="342">
      <c r="A342" s="16" t="s">
        <v>2360</v>
      </c>
      <c r="B342" s="16">
        <v>1748.0</v>
      </c>
      <c r="C342" s="16" t="s">
        <v>1220</v>
      </c>
      <c r="D342" s="20">
        <v>1.0</v>
      </c>
      <c r="E342" s="20">
        <v>1047.87</v>
      </c>
      <c r="F342" s="20">
        <v>1047.87</v>
      </c>
    </row>
    <row r="343">
      <c r="A343" s="16" t="s">
        <v>2363</v>
      </c>
      <c r="B343" s="16" t="s">
        <v>2364</v>
      </c>
      <c r="C343" s="16" t="s">
        <v>1950</v>
      </c>
      <c r="D343" s="20">
        <v>1.0</v>
      </c>
      <c r="E343" s="20">
        <v>736.11</v>
      </c>
      <c r="F343" s="20">
        <v>736.11</v>
      </c>
    </row>
    <row r="344">
      <c r="A344" s="16" t="s">
        <v>2365</v>
      </c>
      <c r="B344" s="16" t="s">
        <v>2366</v>
      </c>
      <c r="C344" s="16" t="s">
        <v>372</v>
      </c>
      <c r="D344" s="20">
        <v>1.0</v>
      </c>
      <c r="E344" s="20">
        <v>0.01</v>
      </c>
      <c r="F344" s="20">
        <v>0.01</v>
      </c>
    </row>
    <row r="345">
      <c r="A345" s="16" t="s">
        <v>2367</v>
      </c>
      <c r="B345" s="16" t="s">
        <v>2368</v>
      </c>
      <c r="C345" s="16" t="s">
        <v>372</v>
      </c>
      <c r="D345" s="20">
        <v>1.0</v>
      </c>
      <c r="E345" s="20">
        <v>0.01</v>
      </c>
      <c r="F345" s="20">
        <v>0.01</v>
      </c>
    </row>
    <row r="346">
      <c r="A346" s="16" t="s">
        <v>2369</v>
      </c>
      <c r="B346" s="16" t="s">
        <v>2370</v>
      </c>
      <c r="C346" s="16" t="s">
        <v>372</v>
      </c>
      <c r="D346" s="20">
        <v>1.0</v>
      </c>
      <c r="E346" s="20">
        <v>0.01</v>
      </c>
      <c r="F346" s="20">
        <v>0.01</v>
      </c>
    </row>
    <row r="347">
      <c r="A347" s="16" t="s">
        <v>2372</v>
      </c>
      <c r="B347" s="16">
        <v>1753.0</v>
      </c>
      <c r="C347" s="16" t="s">
        <v>1232</v>
      </c>
      <c r="D347" s="20">
        <v>1.0</v>
      </c>
      <c r="E347" s="20">
        <v>883.79</v>
      </c>
      <c r="F347" s="20">
        <v>883.79</v>
      </c>
    </row>
    <row r="348">
      <c r="A348" s="16" t="s">
        <v>2374</v>
      </c>
      <c r="B348" s="16">
        <v>1754.0</v>
      </c>
      <c r="C348" s="16" t="s">
        <v>1244</v>
      </c>
      <c r="D348" s="20">
        <v>1.0</v>
      </c>
      <c r="E348" s="20">
        <v>11445.14</v>
      </c>
      <c r="F348" s="20">
        <v>11445.14</v>
      </c>
    </row>
    <row r="349">
      <c r="A349" s="16" t="s">
        <v>2377</v>
      </c>
      <c r="B349" s="16" t="s">
        <v>2378</v>
      </c>
      <c r="C349" s="16" t="s">
        <v>1616</v>
      </c>
      <c r="D349" s="20">
        <v>1.0</v>
      </c>
      <c r="E349" s="20">
        <v>13829.03</v>
      </c>
      <c r="F349" s="20">
        <v>13829.03</v>
      </c>
    </row>
    <row r="350">
      <c r="A350" s="16" t="s">
        <v>2379</v>
      </c>
      <c r="B350" s="16" t="s">
        <v>2380</v>
      </c>
      <c r="C350" s="16" t="s">
        <v>2089</v>
      </c>
      <c r="D350" s="20">
        <v>1.0</v>
      </c>
      <c r="E350" s="20">
        <v>100.0</v>
      </c>
      <c r="F350" s="20">
        <v>100.0</v>
      </c>
    </row>
    <row r="351">
      <c r="A351" s="16" t="s">
        <v>2381</v>
      </c>
      <c r="B351" s="16" t="s">
        <v>2382</v>
      </c>
      <c r="C351" s="16" t="s">
        <v>1547</v>
      </c>
      <c r="D351" s="20">
        <v>1.0</v>
      </c>
      <c r="E351" s="20">
        <v>2299.0</v>
      </c>
      <c r="F351" s="20">
        <v>2299.0</v>
      </c>
    </row>
    <row r="352">
      <c r="A352" s="16" t="s">
        <v>2384</v>
      </c>
      <c r="B352" s="16" t="s">
        <v>2385</v>
      </c>
      <c r="C352" s="16" t="s">
        <v>1616</v>
      </c>
      <c r="D352" s="20">
        <v>1.0</v>
      </c>
      <c r="E352" s="20">
        <v>1388.74</v>
      </c>
      <c r="F352" s="20">
        <v>1388.74</v>
      </c>
    </row>
    <row r="353">
      <c r="A353" s="16" t="s">
        <v>2386</v>
      </c>
      <c r="B353" s="16">
        <v>1769.0</v>
      </c>
      <c r="C353" s="16" t="s">
        <v>1898</v>
      </c>
      <c r="D353" s="20">
        <v>1.0</v>
      </c>
      <c r="E353" s="20">
        <v>238.01</v>
      </c>
      <c r="F353" s="20">
        <v>238.01</v>
      </c>
    </row>
    <row r="354">
      <c r="A354" s="16" t="s">
        <v>2389</v>
      </c>
      <c r="B354" s="16" t="s">
        <v>2390</v>
      </c>
      <c r="C354" s="16" t="s">
        <v>1616</v>
      </c>
      <c r="D354" s="20">
        <v>1.0</v>
      </c>
      <c r="E354" s="20">
        <v>80.55</v>
      </c>
      <c r="F354" s="20">
        <v>80.55</v>
      </c>
    </row>
    <row r="355">
      <c r="A355" s="16" t="s">
        <v>2391</v>
      </c>
      <c r="B355" s="16" t="s">
        <v>2392</v>
      </c>
      <c r="C355" s="16" t="s">
        <v>1616</v>
      </c>
      <c r="D355" s="20">
        <v>1.0</v>
      </c>
      <c r="E355" s="20">
        <v>80.55</v>
      </c>
      <c r="F355" s="20">
        <v>80.55</v>
      </c>
    </row>
    <row r="356">
      <c r="A356" s="16" t="s">
        <v>2393</v>
      </c>
      <c r="B356" s="16" t="s">
        <v>2394</v>
      </c>
      <c r="C356" s="16" t="s">
        <v>1616</v>
      </c>
      <c r="D356" s="20">
        <v>1.0</v>
      </c>
      <c r="E356" s="20">
        <v>14.0</v>
      </c>
      <c r="F356" s="20">
        <v>14.0</v>
      </c>
    </row>
    <row r="357">
      <c r="A357" s="16" t="s">
        <v>2395</v>
      </c>
      <c r="B357" s="16" t="s">
        <v>2396</v>
      </c>
      <c r="C357" s="16" t="s">
        <v>1616</v>
      </c>
      <c r="D357" s="20">
        <v>1.0</v>
      </c>
      <c r="E357" s="20">
        <v>14.0</v>
      </c>
      <c r="F357" s="20">
        <v>14.0</v>
      </c>
    </row>
    <row r="358">
      <c r="A358" s="16" t="s">
        <v>2398</v>
      </c>
      <c r="B358" s="16">
        <v>1779.0</v>
      </c>
      <c r="C358" s="16" t="s">
        <v>372</v>
      </c>
      <c r="D358" s="20">
        <v>1.0</v>
      </c>
      <c r="E358" s="20">
        <v>663.0</v>
      </c>
      <c r="F358" s="20">
        <v>663.0</v>
      </c>
    </row>
    <row r="359">
      <c r="A359" s="16" t="s">
        <v>2401</v>
      </c>
      <c r="B359" s="16">
        <v>1780.0</v>
      </c>
      <c r="C359" s="16" t="s">
        <v>372</v>
      </c>
      <c r="D359" s="20">
        <v>1.0</v>
      </c>
      <c r="E359" s="20">
        <v>2914.83</v>
      </c>
      <c r="F359" s="20">
        <v>2914.83</v>
      </c>
    </row>
    <row r="360">
      <c r="A360" s="16" t="s">
        <v>2402</v>
      </c>
      <c r="B360" s="16">
        <v>1781.0</v>
      </c>
      <c r="C360" s="16" t="s">
        <v>372</v>
      </c>
      <c r="D360" s="20">
        <v>1.0</v>
      </c>
      <c r="E360" s="20">
        <v>2183.75</v>
      </c>
      <c r="F360" s="20">
        <v>2183.75</v>
      </c>
    </row>
    <row r="361">
      <c r="A361" s="16" t="s">
        <v>2404</v>
      </c>
      <c r="B361" s="16">
        <v>1782.0</v>
      </c>
      <c r="C361" s="16" t="s">
        <v>372</v>
      </c>
      <c r="D361" s="20">
        <v>1.0</v>
      </c>
      <c r="E361" s="20">
        <v>2340.37</v>
      </c>
      <c r="F361" s="20">
        <v>2340.37</v>
      </c>
    </row>
    <row r="362">
      <c r="A362" s="16" t="s">
        <v>2405</v>
      </c>
      <c r="B362" s="16">
        <v>1783.0</v>
      </c>
      <c r="C362" s="16" t="s">
        <v>372</v>
      </c>
      <c r="D362" s="20">
        <v>1.0</v>
      </c>
      <c r="E362" s="20">
        <v>1946.31</v>
      </c>
      <c r="F362" s="20">
        <v>1946.31</v>
      </c>
    </row>
    <row r="363">
      <c r="A363" s="16" t="s">
        <v>2408</v>
      </c>
      <c r="B363" s="16">
        <v>1784.0</v>
      </c>
      <c r="C363" s="16" t="s">
        <v>1325</v>
      </c>
      <c r="D363" s="20">
        <v>1.0</v>
      </c>
      <c r="E363" s="20">
        <v>32.0</v>
      </c>
      <c r="F363" s="20">
        <v>32.0</v>
      </c>
    </row>
    <row r="364">
      <c r="A364" s="16" t="s">
        <v>2411</v>
      </c>
      <c r="B364" s="16" t="s">
        <v>2413</v>
      </c>
      <c r="C364" s="16" t="s">
        <v>347</v>
      </c>
      <c r="D364" s="20">
        <v>1.0</v>
      </c>
      <c r="E364" s="20">
        <v>2569.71</v>
      </c>
      <c r="F364" s="20">
        <v>2569.71</v>
      </c>
    </row>
    <row r="365">
      <c r="A365" s="16" t="s">
        <v>2414</v>
      </c>
      <c r="B365" s="16">
        <v>1788.0</v>
      </c>
      <c r="C365" s="16" t="s">
        <v>401</v>
      </c>
      <c r="D365" s="20">
        <v>1.0</v>
      </c>
      <c r="E365" s="20">
        <v>7000.0</v>
      </c>
      <c r="F365" s="20">
        <v>7000.0</v>
      </c>
    </row>
    <row r="366">
      <c r="A366" s="16" t="s">
        <v>2415</v>
      </c>
      <c r="B366" s="16">
        <v>1791.0</v>
      </c>
      <c r="C366" s="16" t="s">
        <v>1164</v>
      </c>
      <c r="D366" s="20">
        <v>1.0</v>
      </c>
      <c r="E366" s="20">
        <v>533.95</v>
      </c>
      <c r="F366" s="20">
        <v>533.95</v>
      </c>
    </row>
    <row r="367">
      <c r="A367" s="16" t="s">
        <v>2416</v>
      </c>
      <c r="B367" s="16">
        <v>1792.0</v>
      </c>
      <c r="C367" s="16" t="s">
        <v>197</v>
      </c>
      <c r="D367" s="20">
        <v>1.0</v>
      </c>
      <c r="E367" s="20">
        <v>179.9</v>
      </c>
      <c r="F367" s="20">
        <v>179.9</v>
      </c>
    </row>
    <row r="368">
      <c r="A368" s="16" t="s">
        <v>2418</v>
      </c>
      <c r="B368" s="16">
        <v>1794.0</v>
      </c>
      <c r="C368" s="16" t="s">
        <v>347</v>
      </c>
      <c r="D368" s="20">
        <v>1.0</v>
      </c>
      <c r="E368" s="20">
        <v>1608.3</v>
      </c>
      <c r="F368" s="20">
        <v>1608.3</v>
      </c>
    </row>
    <row r="369">
      <c r="A369" s="16" t="s">
        <v>2421</v>
      </c>
      <c r="B369" s="16" t="s">
        <v>2423</v>
      </c>
      <c r="C369" s="16" t="s">
        <v>1616</v>
      </c>
      <c r="D369" s="20">
        <v>1.0</v>
      </c>
      <c r="E369" s="20">
        <v>1.75</v>
      </c>
      <c r="F369" s="20">
        <v>1.75</v>
      </c>
    </row>
    <row r="370">
      <c r="A370" s="16" t="s">
        <v>2424</v>
      </c>
      <c r="B370" s="16" t="s">
        <v>2426</v>
      </c>
      <c r="C370" s="16" t="s">
        <v>1547</v>
      </c>
      <c r="D370" s="20">
        <v>1.0</v>
      </c>
      <c r="E370" s="20">
        <v>30.0</v>
      </c>
      <c r="F370" s="20">
        <v>30.0</v>
      </c>
    </row>
    <row r="371">
      <c r="A371" s="16" t="s">
        <v>2428</v>
      </c>
      <c r="B371" s="16" t="s">
        <v>2429</v>
      </c>
      <c r="C371" s="16" t="s">
        <v>1547</v>
      </c>
      <c r="D371" s="20">
        <v>1.0</v>
      </c>
      <c r="E371" s="20">
        <v>1235.0</v>
      </c>
      <c r="F371" s="20">
        <v>1235.0</v>
      </c>
    </row>
    <row r="372">
      <c r="A372" s="16" t="s">
        <v>2431</v>
      </c>
      <c r="B372" s="16" t="s">
        <v>2432</v>
      </c>
      <c r="C372" s="16" t="s">
        <v>1616</v>
      </c>
      <c r="D372" s="20">
        <v>1.0</v>
      </c>
      <c r="E372" s="20">
        <v>118.33</v>
      </c>
      <c r="F372" s="20">
        <v>118.33</v>
      </c>
    </row>
    <row r="373">
      <c r="A373" s="16" t="s">
        <v>2435</v>
      </c>
      <c r="B373" s="16" t="s">
        <v>2437</v>
      </c>
      <c r="C373" s="16" t="s">
        <v>1616</v>
      </c>
      <c r="D373" s="20">
        <v>1.0</v>
      </c>
      <c r="E373" s="20">
        <v>5.18</v>
      </c>
      <c r="F373" s="20">
        <v>5.18</v>
      </c>
    </row>
    <row r="374">
      <c r="A374" s="16" t="s">
        <v>2439</v>
      </c>
      <c r="B374" s="16">
        <v>1806.0</v>
      </c>
      <c r="C374" s="16" t="s">
        <v>1405</v>
      </c>
      <c r="D374" s="20">
        <v>1.0</v>
      </c>
      <c r="E374" s="20">
        <v>1110.0</v>
      </c>
      <c r="F374" s="20">
        <v>1110.0</v>
      </c>
    </row>
    <row r="375">
      <c r="A375" s="16" t="s">
        <v>2442</v>
      </c>
      <c r="B375" s="16">
        <v>1807.0</v>
      </c>
      <c r="C375" s="16" t="s">
        <v>1414</v>
      </c>
      <c r="D375" s="20">
        <v>1.0</v>
      </c>
      <c r="E375" s="20">
        <v>1033.0</v>
      </c>
      <c r="F375" s="20">
        <v>1033.0</v>
      </c>
    </row>
    <row r="376">
      <c r="A376" s="16" t="s">
        <v>2446</v>
      </c>
      <c r="B376" s="16">
        <v>1808.0</v>
      </c>
      <c r="C376" s="16" t="s">
        <v>1423</v>
      </c>
      <c r="D376" s="20">
        <v>1.0</v>
      </c>
      <c r="E376" s="20">
        <v>396.0</v>
      </c>
      <c r="F376" s="20">
        <v>396.0</v>
      </c>
    </row>
    <row r="377">
      <c r="A377" s="16" t="s">
        <v>2447</v>
      </c>
      <c r="B377" s="16">
        <v>1809.0</v>
      </c>
      <c r="C377" s="16" t="s">
        <v>2205</v>
      </c>
      <c r="D377" s="20">
        <v>1.0</v>
      </c>
      <c r="E377" s="20">
        <v>253.0</v>
      </c>
      <c r="F377" s="20">
        <v>253.0</v>
      </c>
    </row>
    <row r="378">
      <c r="A378" s="16" t="s">
        <v>2449</v>
      </c>
      <c r="B378" s="16">
        <v>1813.0</v>
      </c>
      <c r="C378" s="16" t="s">
        <v>1220</v>
      </c>
      <c r="D378" s="20">
        <v>1.0</v>
      </c>
      <c r="E378" s="20">
        <v>1010.56</v>
      </c>
      <c r="F378" s="20">
        <v>1010.56</v>
      </c>
    </row>
    <row r="379">
      <c r="A379" s="16" t="s">
        <v>2452</v>
      </c>
      <c r="B379" s="16">
        <v>1814.0</v>
      </c>
      <c r="C379" s="16" t="s">
        <v>1232</v>
      </c>
      <c r="D379" s="20">
        <v>1.0</v>
      </c>
      <c r="E379" s="20">
        <v>818.71</v>
      </c>
      <c r="F379" s="20">
        <v>818.71</v>
      </c>
    </row>
    <row r="380">
      <c r="A380" s="16" t="s">
        <v>2453</v>
      </c>
      <c r="B380" s="16">
        <v>1815.0</v>
      </c>
      <c r="C380" s="16" t="s">
        <v>1244</v>
      </c>
      <c r="D380" s="20">
        <v>1.0</v>
      </c>
      <c r="E380" s="20">
        <v>7255.35</v>
      </c>
      <c r="F380" s="20">
        <v>7255.35</v>
      </c>
    </row>
    <row r="381">
      <c r="A381" s="16" t="s">
        <v>2454</v>
      </c>
      <c r="B381" s="16" t="s">
        <v>2455</v>
      </c>
      <c r="C381" s="16" t="s">
        <v>224</v>
      </c>
      <c r="D381" s="20">
        <v>1.0</v>
      </c>
      <c r="E381" s="20">
        <v>1.75</v>
      </c>
      <c r="F381" s="20">
        <v>1.75</v>
      </c>
    </row>
    <row r="382">
      <c r="A382" s="16" t="s">
        <v>2456</v>
      </c>
      <c r="B382" s="16" t="s">
        <v>2458</v>
      </c>
      <c r="C382" s="16" t="s">
        <v>224</v>
      </c>
      <c r="D382" s="20">
        <v>1.0</v>
      </c>
      <c r="E382" s="20">
        <v>24.11</v>
      </c>
      <c r="F382" s="20">
        <v>24.11</v>
      </c>
    </row>
    <row r="383">
      <c r="A383" s="16" t="s">
        <v>2459</v>
      </c>
      <c r="B383" s="16" t="s">
        <v>2460</v>
      </c>
      <c r="C383" s="16" t="s">
        <v>1950</v>
      </c>
      <c r="D383" s="20">
        <v>1.0</v>
      </c>
      <c r="E383" s="20">
        <v>718.52</v>
      </c>
      <c r="F383" s="20">
        <v>718.52</v>
      </c>
    </row>
    <row r="384">
      <c r="A384" s="16" t="s">
        <v>2463</v>
      </c>
      <c r="B384" s="16" t="s">
        <v>2464</v>
      </c>
      <c r="C384" s="16" t="s">
        <v>2089</v>
      </c>
      <c r="D384" s="20">
        <v>1.0</v>
      </c>
      <c r="E384" s="20">
        <v>200.0</v>
      </c>
      <c r="F384" s="20">
        <v>200.0</v>
      </c>
    </row>
    <row r="385">
      <c r="A385" s="16" t="s">
        <v>2465</v>
      </c>
      <c r="B385" s="16" t="s">
        <v>2466</v>
      </c>
      <c r="C385" s="16" t="s">
        <v>1547</v>
      </c>
      <c r="D385" s="20">
        <v>1.0</v>
      </c>
      <c r="E385" s="20">
        <v>166.87</v>
      </c>
      <c r="F385" s="20">
        <v>166.87</v>
      </c>
    </row>
    <row r="386">
      <c r="A386" s="16" t="s">
        <v>2467</v>
      </c>
      <c r="B386" s="16" t="s">
        <v>2468</v>
      </c>
      <c r="C386" s="16" t="s">
        <v>1547</v>
      </c>
      <c r="D386" s="20">
        <v>1.0</v>
      </c>
      <c r="E386" s="20">
        <v>60.0</v>
      </c>
      <c r="F386" s="20">
        <v>60.0</v>
      </c>
    </row>
    <row r="387">
      <c r="A387" s="16" t="s">
        <v>2469</v>
      </c>
      <c r="B387" s="16" t="s">
        <v>2470</v>
      </c>
      <c r="C387" s="16" t="s">
        <v>1547</v>
      </c>
      <c r="D387" s="20">
        <v>1.0</v>
      </c>
      <c r="E387" s="20">
        <v>1851.2</v>
      </c>
      <c r="F387" s="20">
        <v>1851.2</v>
      </c>
    </row>
    <row r="388">
      <c r="A388" s="16" t="s">
        <v>2472</v>
      </c>
      <c r="B388" s="16" t="s">
        <v>2474</v>
      </c>
      <c r="C388" s="16" t="s">
        <v>1616</v>
      </c>
      <c r="D388" s="20">
        <v>1.0</v>
      </c>
      <c r="E388" s="20">
        <v>773.58</v>
      </c>
      <c r="F388" s="20">
        <v>773.58</v>
      </c>
    </row>
    <row r="389">
      <c r="A389" s="16" t="s">
        <v>2477</v>
      </c>
      <c r="B389" s="16">
        <v>1834.0</v>
      </c>
      <c r="C389" s="16" t="s">
        <v>1898</v>
      </c>
      <c r="D389" s="20">
        <v>1.0</v>
      </c>
      <c r="E389" s="20">
        <v>238.01</v>
      </c>
      <c r="F389" s="20">
        <v>238.01</v>
      </c>
    </row>
    <row r="390">
      <c r="A390" s="16" t="s">
        <v>2480</v>
      </c>
      <c r="B390" s="16" t="s">
        <v>2481</v>
      </c>
      <c r="C390" s="16" t="s">
        <v>1547</v>
      </c>
      <c r="D390" s="20">
        <v>1.0</v>
      </c>
      <c r="E390" s="20">
        <v>56.0</v>
      </c>
      <c r="F390" s="20">
        <v>56.0</v>
      </c>
    </row>
    <row r="391">
      <c r="A391" s="16" t="s">
        <v>2482</v>
      </c>
      <c r="B391" s="16" t="s">
        <v>2483</v>
      </c>
      <c r="C391" s="16" t="s">
        <v>1616</v>
      </c>
      <c r="D391" s="20">
        <v>1.0</v>
      </c>
      <c r="E391" s="20">
        <v>24.15</v>
      </c>
      <c r="F391" s="20">
        <v>24.15</v>
      </c>
    </row>
    <row r="392">
      <c r="A392" s="16" t="s">
        <v>2484</v>
      </c>
      <c r="B392" s="16">
        <v>1841.0</v>
      </c>
      <c r="C392" s="16" t="s">
        <v>372</v>
      </c>
      <c r="D392" s="20">
        <v>1.0</v>
      </c>
      <c r="E392" s="20">
        <v>624.0</v>
      </c>
      <c r="F392" s="20">
        <v>624.0</v>
      </c>
    </row>
    <row r="393">
      <c r="A393" s="16" t="s">
        <v>2486</v>
      </c>
      <c r="B393" s="16">
        <v>1842.0</v>
      </c>
      <c r="C393" s="16" t="s">
        <v>372</v>
      </c>
      <c r="D393" s="20">
        <v>1.0</v>
      </c>
      <c r="E393" s="20">
        <v>2816.78</v>
      </c>
      <c r="F393" s="20">
        <v>2816.78</v>
      </c>
    </row>
    <row r="394">
      <c r="A394" s="16" t="s">
        <v>2488</v>
      </c>
      <c r="B394" s="16">
        <v>1843.0</v>
      </c>
      <c r="C394" s="16" t="s">
        <v>372</v>
      </c>
      <c r="D394" s="20">
        <v>1.0</v>
      </c>
      <c r="E394" s="20">
        <v>2009.54</v>
      </c>
      <c r="F394" s="20">
        <v>2009.54</v>
      </c>
    </row>
    <row r="395">
      <c r="A395" s="16" t="s">
        <v>2490</v>
      </c>
      <c r="B395" s="16">
        <v>1844.0</v>
      </c>
      <c r="C395" s="16" t="s">
        <v>372</v>
      </c>
      <c r="D395" s="20">
        <v>1.0</v>
      </c>
      <c r="E395" s="20">
        <v>2177.59</v>
      </c>
      <c r="F395" s="20">
        <v>2177.59</v>
      </c>
    </row>
    <row r="396">
      <c r="A396" s="16" t="s">
        <v>2492</v>
      </c>
      <c r="B396" s="16">
        <v>1846.0</v>
      </c>
      <c r="C396" s="16" t="s">
        <v>1325</v>
      </c>
      <c r="D396" s="20">
        <v>1.0</v>
      </c>
      <c r="E396" s="20">
        <v>32.0</v>
      </c>
      <c r="F396" s="20">
        <v>32.0</v>
      </c>
    </row>
    <row r="397">
      <c r="A397" s="16" t="s">
        <v>2493</v>
      </c>
      <c r="B397" s="16">
        <v>1847.0</v>
      </c>
      <c r="C397" s="16" t="s">
        <v>2494</v>
      </c>
      <c r="D397" s="20">
        <v>1.0</v>
      </c>
      <c r="E397" s="20">
        <v>981.0</v>
      </c>
      <c r="F397" s="20">
        <v>981.0</v>
      </c>
    </row>
    <row r="398">
      <c r="A398" s="16" t="s">
        <v>2496</v>
      </c>
      <c r="B398" s="16" t="s">
        <v>2497</v>
      </c>
      <c r="C398" s="16" t="s">
        <v>1547</v>
      </c>
      <c r="D398" s="20">
        <v>1.0</v>
      </c>
      <c r="E398" s="20">
        <v>351.0</v>
      </c>
      <c r="F398" s="20">
        <v>351.0</v>
      </c>
    </row>
    <row r="399">
      <c r="A399" s="16" t="s">
        <v>2498</v>
      </c>
      <c r="B399" s="16" t="s">
        <v>2500</v>
      </c>
      <c r="C399" s="16" t="s">
        <v>1616</v>
      </c>
      <c r="D399" s="20">
        <v>1.0</v>
      </c>
      <c r="E399" s="20">
        <v>3600.06</v>
      </c>
      <c r="F399" s="20">
        <v>3600.06</v>
      </c>
    </row>
    <row r="400">
      <c r="A400" s="16" t="s">
        <v>2502</v>
      </c>
      <c r="B400" s="16">
        <v>1852.0</v>
      </c>
      <c r="C400" s="16" t="s">
        <v>401</v>
      </c>
      <c r="D400" s="20">
        <v>1.0</v>
      </c>
      <c r="E400" s="20">
        <v>7000.0</v>
      </c>
      <c r="F400" s="20">
        <v>7000.0</v>
      </c>
    </row>
    <row r="401">
      <c r="A401" s="16" t="s">
        <v>2503</v>
      </c>
      <c r="B401" s="16">
        <v>1857.0</v>
      </c>
      <c r="C401" s="16" t="s">
        <v>1164</v>
      </c>
      <c r="D401" s="20">
        <v>1.0</v>
      </c>
      <c r="E401" s="20">
        <v>533.95</v>
      </c>
      <c r="F401" s="20">
        <v>533.95</v>
      </c>
    </row>
    <row r="402">
      <c r="A402" s="16" t="s">
        <v>2504</v>
      </c>
      <c r="B402" s="16">
        <v>1858.0</v>
      </c>
      <c r="C402" s="16" t="s">
        <v>197</v>
      </c>
      <c r="D402" s="20">
        <v>1.0</v>
      </c>
      <c r="E402" s="20">
        <v>179.9</v>
      </c>
      <c r="F402" s="20">
        <v>179.9</v>
      </c>
    </row>
    <row r="403">
      <c r="A403" s="16" t="s">
        <v>2506</v>
      </c>
      <c r="B403" s="16">
        <v>1860.0</v>
      </c>
      <c r="C403" s="16" t="s">
        <v>347</v>
      </c>
      <c r="D403" s="20">
        <v>1.0</v>
      </c>
      <c r="E403" s="20">
        <v>1834.94</v>
      </c>
      <c r="F403" s="20">
        <v>1834.94</v>
      </c>
    </row>
    <row r="404">
      <c r="A404" s="16" t="s">
        <v>2507</v>
      </c>
      <c r="B404" s="16" t="s">
        <v>2509</v>
      </c>
      <c r="C404" s="16" t="s">
        <v>2337</v>
      </c>
      <c r="D404" s="20">
        <v>1.0</v>
      </c>
      <c r="E404" s="20">
        <v>669.41</v>
      </c>
      <c r="F404" s="20">
        <v>669.41</v>
      </c>
    </row>
    <row r="405">
      <c r="A405" s="16" t="s">
        <v>2511</v>
      </c>
      <c r="B405" s="16" t="s">
        <v>2512</v>
      </c>
      <c r="C405" s="16" t="s">
        <v>2337</v>
      </c>
      <c r="D405" s="20">
        <v>1.0</v>
      </c>
      <c r="E405" s="20">
        <v>3295.41</v>
      </c>
      <c r="F405" s="20">
        <v>3295.41</v>
      </c>
    </row>
    <row r="406">
      <c r="A406" s="16" t="s">
        <v>2513</v>
      </c>
      <c r="B406" s="16">
        <v>1864.0</v>
      </c>
      <c r="C406" s="16" t="s">
        <v>1405</v>
      </c>
      <c r="D406" s="20">
        <v>1.0</v>
      </c>
      <c r="E406" s="20">
        <v>1110.0</v>
      </c>
      <c r="F406" s="20">
        <v>1110.0</v>
      </c>
    </row>
    <row r="407">
      <c r="A407" s="16" t="s">
        <v>2516</v>
      </c>
      <c r="B407" s="16">
        <v>1865.0</v>
      </c>
      <c r="C407" s="16" t="s">
        <v>1414</v>
      </c>
      <c r="D407" s="20">
        <v>1.0</v>
      </c>
      <c r="E407" s="20">
        <v>1110.0</v>
      </c>
      <c r="F407" s="20">
        <v>1110.0</v>
      </c>
    </row>
    <row r="408">
      <c r="A408" s="16" t="s">
        <v>2517</v>
      </c>
      <c r="B408" s="16">
        <v>1866.0</v>
      </c>
      <c r="C408" s="16" t="s">
        <v>1423</v>
      </c>
      <c r="D408" s="20">
        <v>1.0</v>
      </c>
      <c r="E408" s="20">
        <v>396.0</v>
      </c>
      <c r="F408" s="20">
        <v>396.0</v>
      </c>
    </row>
    <row r="409">
      <c r="A409" s="16" t="s">
        <v>2519</v>
      </c>
      <c r="B409" s="16">
        <v>1867.0</v>
      </c>
      <c r="C409" s="16" t="s">
        <v>2205</v>
      </c>
      <c r="D409" s="20">
        <v>1.0</v>
      </c>
      <c r="E409" s="20">
        <v>253.0</v>
      </c>
      <c r="F409" s="20">
        <v>253.0</v>
      </c>
    </row>
    <row r="410">
      <c r="A410" s="16" t="s">
        <v>2523</v>
      </c>
      <c r="B410" s="16">
        <v>1868.0</v>
      </c>
      <c r="C410" s="16" t="s">
        <v>1220</v>
      </c>
      <c r="D410" s="20">
        <v>1.0</v>
      </c>
      <c r="E410" s="20">
        <v>981.06</v>
      </c>
      <c r="F410" s="20">
        <v>981.06</v>
      </c>
    </row>
    <row r="411">
      <c r="A411" s="16" t="s">
        <v>2524</v>
      </c>
      <c r="B411" s="16" t="s">
        <v>2525</v>
      </c>
      <c r="C411" s="16" t="s">
        <v>2526</v>
      </c>
      <c r="D411" s="20">
        <v>1.0</v>
      </c>
      <c r="E411" s="20">
        <v>3365.41</v>
      </c>
      <c r="F411" s="20">
        <v>3365.41</v>
      </c>
    </row>
    <row r="412">
      <c r="A412" s="16" t="s">
        <v>2528</v>
      </c>
      <c r="B412" s="16">
        <v>1872.0</v>
      </c>
      <c r="C412" s="16" t="s">
        <v>1232</v>
      </c>
      <c r="D412" s="20">
        <v>1.0</v>
      </c>
      <c r="E412" s="20">
        <v>608.41</v>
      </c>
      <c r="F412" s="20">
        <v>608.41</v>
      </c>
    </row>
    <row r="413">
      <c r="A413" s="16" t="s">
        <v>2531</v>
      </c>
      <c r="B413" s="16">
        <v>1873.0</v>
      </c>
      <c r="C413" s="16" t="s">
        <v>1244</v>
      </c>
      <c r="D413" s="20">
        <v>1.0</v>
      </c>
      <c r="E413" s="20">
        <v>5417.45</v>
      </c>
      <c r="F413" s="20">
        <v>5417.45</v>
      </c>
    </row>
    <row r="414">
      <c r="A414" s="16" t="s">
        <v>2532</v>
      </c>
      <c r="B414" s="16" t="s">
        <v>2534</v>
      </c>
      <c r="C414" s="16" t="s">
        <v>1547</v>
      </c>
      <c r="D414" s="20">
        <v>1.0</v>
      </c>
      <c r="E414" s="20">
        <v>1305.8</v>
      </c>
      <c r="F414" s="20">
        <v>1305.8</v>
      </c>
    </row>
    <row r="415">
      <c r="A415" s="16" t="s">
        <v>2536</v>
      </c>
      <c r="B415" s="16" t="s">
        <v>2537</v>
      </c>
      <c r="C415" s="16" t="s">
        <v>1616</v>
      </c>
      <c r="D415" s="20">
        <v>1.0</v>
      </c>
      <c r="E415" s="20">
        <v>323.37</v>
      </c>
      <c r="F415" s="20">
        <v>323.37</v>
      </c>
    </row>
    <row r="416">
      <c r="A416" s="16" t="s">
        <v>2538</v>
      </c>
      <c r="B416" s="16" t="s">
        <v>2540</v>
      </c>
      <c r="C416" s="16">
        <v>7.9792017E7</v>
      </c>
      <c r="D416" s="20">
        <v>1.0</v>
      </c>
      <c r="E416" s="20">
        <v>1278.91</v>
      </c>
      <c r="F416" s="20">
        <v>1278.91</v>
      </c>
    </row>
    <row r="417">
      <c r="A417" s="16" t="s">
        <v>2541</v>
      </c>
      <c r="B417" s="16">
        <v>1882.0</v>
      </c>
      <c r="C417" s="16" t="s">
        <v>1898</v>
      </c>
      <c r="D417" s="20">
        <v>1.0</v>
      </c>
      <c r="E417" s="20">
        <v>238.01</v>
      </c>
      <c r="F417" s="20">
        <v>238.01</v>
      </c>
    </row>
    <row r="418">
      <c r="A418" s="16" t="s">
        <v>2543</v>
      </c>
      <c r="B418" s="16" t="s">
        <v>2545</v>
      </c>
      <c r="C418" s="16" t="s">
        <v>2546</v>
      </c>
      <c r="D418" s="20">
        <v>1.0</v>
      </c>
      <c r="E418" s="20">
        <v>77.76</v>
      </c>
      <c r="F418" s="20">
        <v>77.76</v>
      </c>
    </row>
    <row r="419">
      <c r="A419" s="16" t="s">
        <v>2547</v>
      </c>
      <c r="B419" s="16">
        <v>1886.0</v>
      </c>
      <c r="C419" s="16" t="s">
        <v>372</v>
      </c>
      <c r="D419" s="20">
        <v>1.0</v>
      </c>
      <c r="E419" s="20">
        <v>624.0</v>
      </c>
      <c r="F419" s="20">
        <v>624.0</v>
      </c>
    </row>
    <row r="420">
      <c r="A420" s="16" t="s">
        <v>2548</v>
      </c>
      <c r="B420" s="16">
        <v>1887.0</v>
      </c>
      <c r="C420" s="16" t="s">
        <v>372</v>
      </c>
      <c r="D420" s="20">
        <v>1.0</v>
      </c>
      <c r="E420" s="20">
        <v>0.01</v>
      </c>
      <c r="F420" s="20">
        <v>0.01</v>
      </c>
    </row>
    <row r="421">
      <c r="A421" s="16" t="s">
        <v>2549</v>
      </c>
      <c r="B421" s="16">
        <v>1888.0</v>
      </c>
      <c r="C421" s="16" t="s">
        <v>372</v>
      </c>
      <c r="D421" s="20">
        <v>1.0</v>
      </c>
      <c r="E421" s="20">
        <v>1.0</v>
      </c>
      <c r="F421" s="20">
        <v>1.0</v>
      </c>
    </row>
    <row r="422">
      <c r="A422" s="16" t="s">
        <v>2554</v>
      </c>
      <c r="B422" s="16">
        <v>1889.0</v>
      </c>
      <c r="C422" s="16" t="s">
        <v>372</v>
      </c>
      <c r="D422" s="20">
        <v>1.0</v>
      </c>
      <c r="E422" s="20">
        <v>1.0</v>
      </c>
      <c r="F422" s="20">
        <v>1.0</v>
      </c>
    </row>
    <row r="423">
      <c r="A423" s="16" t="s">
        <v>2555</v>
      </c>
      <c r="B423" s="16">
        <v>1890.0</v>
      </c>
      <c r="C423" s="16" t="s">
        <v>372</v>
      </c>
      <c r="D423" s="20">
        <v>1.0</v>
      </c>
      <c r="E423" s="20">
        <v>1.0</v>
      </c>
      <c r="F423" s="20">
        <v>1.0</v>
      </c>
    </row>
    <row r="424">
      <c r="A424" s="16" t="s">
        <v>2557</v>
      </c>
      <c r="B424" s="16">
        <v>1891.0</v>
      </c>
      <c r="C424" s="16" t="s">
        <v>1325</v>
      </c>
      <c r="D424" s="20">
        <v>1.0</v>
      </c>
      <c r="E424" s="20">
        <v>32.0</v>
      </c>
      <c r="F424" s="20">
        <v>32.0</v>
      </c>
    </row>
    <row r="425">
      <c r="A425" s="16" t="s">
        <v>2561</v>
      </c>
      <c r="B425" s="16">
        <v>1892.0</v>
      </c>
      <c r="C425" s="16" t="s">
        <v>2494</v>
      </c>
      <c r="D425" s="20">
        <v>1.0</v>
      </c>
      <c r="E425" s="20">
        <v>981.0</v>
      </c>
      <c r="F425" s="20">
        <v>981.0</v>
      </c>
    </row>
    <row r="426">
      <c r="A426" s="16" t="s">
        <v>2563</v>
      </c>
      <c r="B426" s="16" t="s">
        <v>2564</v>
      </c>
      <c r="C426" s="16" t="s">
        <v>1950</v>
      </c>
      <c r="D426" s="20">
        <v>1.0</v>
      </c>
      <c r="E426" s="20">
        <v>855.81</v>
      </c>
      <c r="F426" s="20">
        <v>855.81</v>
      </c>
    </row>
    <row r="427">
      <c r="A427" s="16" t="s">
        <v>2566</v>
      </c>
      <c r="B427" s="16" t="s">
        <v>2567</v>
      </c>
      <c r="C427" s="16" t="s">
        <v>2196</v>
      </c>
      <c r="D427" s="16">
        <v>1.0</v>
      </c>
      <c r="E427" s="16">
        <v>15.3</v>
      </c>
      <c r="F427" s="16">
        <v>15.3</v>
      </c>
    </row>
    <row r="428">
      <c r="A428" s="16" t="s">
        <v>2570</v>
      </c>
      <c r="B428" s="16" t="s">
        <v>2567</v>
      </c>
      <c r="C428" s="16" t="s">
        <v>1549</v>
      </c>
      <c r="D428" s="16">
        <v>1.0</v>
      </c>
      <c r="E428" s="16">
        <v>1.45</v>
      </c>
      <c r="F428" s="16">
        <v>1.45</v>
      </c>
    </row>
    <row r="429">
      <c r="A429" s="16" t="s">
        <v>2573</v>
      </c>
      <c r="B429" s="16" t="s">
        <v>2574</v>
      </c>
      <c r="C429" s="16" t="s">
        <v>1510</v>
      </c>
      <c r="D429" s="16">
        <v>15.0</v>
      </c>
      <c r="E429" s="16">
        <v>11.88</v>
      </c>
      <c r="F429" s="16">
        <v>178.2</v>
      </c>
    </row>
    <row r="430">
      <c r="A430" s="16" t="s">
        <v>2577</v>
      </c>
      <c r="B430" s="16" t="s">
        <v>2574</v>
      </c>
      <c r="C430" s="16" t="s">
        <v>1517</v>
      </c>
      <c r="D430" s="16">
        <v>10.0</v>
      </c>
      <c r="E430" s="16">
        <v>14.28</v>
      </c>
      <c r="F430" s="16">
        <v>142.8</v>
      </c>
    </row>
    <row r="431">
      <c r="A431" s="16" t="s">
        <v>2579</v>
      </c>
      <c r="B431" s="16" t="s">
        <v>2580</v>
      </c>
      <c r="C431" s="16" t="s">
        <v>1505</v>
      </c>
      <c r="D431" s="16">
        <v>1.0</v>
      </c>
      <c r="E431" s="16">
        <v>13.99</v>
      </c>
      <c r="F431" s="16">
        <v>13.99</v>
      </c>
    </row>
    <row r="432">
      <c r="A432" s="16" t="s">
        <v>2583</v>
      </c>
      <c r="B432" s="16" t="s">
        <v>2580</v>
      </c>
      <c r="C432" s="16" t="s">
        <v>1574</v>
      </c>
      <c r="D432" s="16">
        <v>2.0</v>
      </c>
      <c r="E432" s="16">
        <v>3.79</v>
      </c>
      <c r="F432" s="16">
        <v>7.58</v>
      </c>
    </row>
    <row r="433">
      <c r="A433" s="16" t="s">
        <v>2585</v>
      </c>
      <c r="B433" s="16" t="s">
        <v>2580</v>
      </c>
      <c r="C433" s="16" t="s">
        <v>2586</v>
      </c>
      <c r="D433" s="16">
        <v>1.0</v>
      </c>
      <c r="E433" s="16">
        <v>4.99</v>
      </c>
      <c r="F433" s="16">
        <v>4.99</v>
      </c>
    </row>
    <row r="434">
      <c r="A434" s="16" t="s">
        <v>2589</v>
      </c>
      <c r="B434" s="16" t="s">
        <v>2580</v>
      </c>
      <c r="C434" s="16" t="s">
        <v>1578</v>
      </c>
      <c r="D434" s="16">
        <v>1.0</v>
      </c>
      <c r="E434" s="16">
        <v>29.99</v>
      </c>
      <c r="F434" s="16">
        <v>29.99</v>
      </c>
    </row>
    <row r="435">
      <c r="A435" s="16" t="s">
        <v>2592</v>
      </c>
      <c r="B435" s="16" t="s">
        <v>2580</v>
      </c>
      <c r="C435" s="16" t="s">
        <v>1743</v>
      </c>
      <c r="D435" s="16">
        <v>1.0</v>
      </c>
      <c r="E435" s="16">
        <v>7.99</v>
      </c>
      <c r="F435" s="16">
        <v>7.99</v>
      </c>
    </row>
    <row r="436">
      <c r="A436" s="16" t="s">
        <v>2595</v>
      </c>
      <c r="B436" s="16" t="s">
        <v>2580</v>
      </c>
      <c r="C436" s="16" t="s">
        <v>1568</v>
      </c>
      <c r="D436" s="16">
        <v>1.0</v>
      </c>
      <c r="E436" s="16">
        <v>7.99</v>
      </c>
      <c r="F436" s="16">
        <v>7.99</v>
      </c>
    </row>
    <row r="437">
      <c r="A437" s="16" t="s">
        <v>2599</v>
      </c>
      <c r="B437" s="16" t="s">
        <v>2580</v>
      </c>
      <c r="C437" s="16" t="s">
        <v>1565</v>
      </c>
      <c r="D437" s="16">
        <v>1.0</v>
      </c>
      <c r="E437" s="16">
        <v>11.99</v>
      </c>
      <c r="F437" s="16">
        <v>11.99</v>
      </c>
    </row>
    <row r="438">
      <c r="A438" s="16" t="s">
        <v>2601</v>
      </c>
      <c r="B438" s="16" t="s">
        <v>2580</v>
      </c>
      <c r="C438" s="16" t="s">
        <v>1568</v>
      </c>
      <c r="D438" s="16">
        <v>1.0</v>
      </c>
      <c r="E438" s="16">
        <v>7.99</v>
      </c>
      <c r="F438" s="16">
        <v>7.99</v>
      </c>
    </row>
    <row r="439">
      <c r="A439" s="16" t="s">
        <v>2606</v>
      </c>
      <c r="B439" s="16" t="s">
        <v>2607</v>
      </c>
      <c r="C439" s="16" t="s">
        <v>1489</v>
      </c>
      <c r="D439" s="16">
        <v>3.0</v>
      </c>
      <c r="E439" s="16">
        <v>9.89</v>
      </c>
      <c r="F439" s="16">
        <v>29.67</v>
      </c>
    </row>
    <row r="440">
      <c r="A440" s="16" t="s">
        <v>2608</v>
      </c>
      <c r="B440" s="16" t="s">
        <v>2607</v>
      </c>
      <c r="C440" s="16" t="s">
        <v>1492</v>
      </c>
      <c r="D440" s="16">
        <v>4.65</v>
      </c>
      <c r="E440" s="16">
        <v>4.99</v>
      </c>
      <c r="F440" s="16">
        <v>23.2</v>
      </c>
    </row>
    <row r="441">
      <c r="A441" s="16" t="s">
        <v>2611</v>
      </c>
      <c r="B441" s="16" t="s">
        <v>2612</v>
      </c>
      <c r="C441" s="16" t="s">
        <v>2615</v>
      </c>
      <c r="D441" s="16">
        <v>1.0</v>
      </c>
      <c r="E441" s="16">
        <v>8.99</v>
      </c>
      <c r="F441" s="16">
        <v>8.99</v>
      </c>
    </row>
    <row r="442">
      <c r="A442" s="16" t="s">
        <v>2616</v>
      </c>
      <c r="B442" s="16" t="s">
        <v>2612</v>
      </c>
      <c r="C442" s="16" t="s">
        <v>2617</v>
      </c>
      <c r="D442" s="16">
        <v>1.0</v>
      </c>
      <c r="E442" s="16">
        <v>3.99</v>
      </c>
      <c r="F442" s="16">
        <v>3.99</v>
      </c>
    </row>
    <row r="443">
      <c r="A443" s="16" t="s">
        <v>2619</v>
      </c>
      <c r="B443" s="16" t="s">
        <v>2612</v>
      </c>
      <c r="C443" s="16" t="s">
        <v>2621</v>
      </c>
      <c r="D443" s="16">
        <v>2.0</v>
      </c>
      <c r="E443" s="16">
        <v>2.5</v>
      </c>
      <c r="F443" s="16">
        <v>5.0</v>
      </c>
    </row>
    <row r="444">
      <c r="A444" s="16" t="s">
        <v>2623</v>
      </c>
      <c r="B444" s="16" t="s">
        <v>2624</v>
      </c>
      <c r="C444" s="16" t="s">
        <v>1483</v>
      </c>
      <c r="D444" s="16">
        <v>8.965</v>
      </c>
      <c r="E444" s="16">
        <v>29.0</v>
      </c>
      <c r="F444" s="16">
        <v>259.99</v>
      </c>
    </row>
    <row r="445">
      <c r="A445" s="16" t="s">
        <v>2626</v>
      </c>
      <c r="B445" s="16" t="s">
        <v>2627</v>
      </c>
      <c r="C445" s="23" t="s">
        <v>1475</v>
      </c>
      <c r="D445" s="16">
        <v>13.0</v>
      </c>
      <c r="E445" s="16">
        <v>23.0</v>
      </c>
      <c r="F445" s="16">
        <v>299.0</v>
      </c>
    </row>
    <row r="446">
      <c r="A446" s="16" t="s">
        <v>2632</v>
      </c>
      <c r="B446" s="16" t="s">
        <v>2633</v>
      </c>
      <c r="C446" s="16" t="s">
        <v>1483</v>
      </c>
      <c r="D446" s="16">
        <v>8.87</v>
      </c>
      <c r="E446" s="16">
        <v>29.0</v>
      </c>
      <c r="F446" s="16">
        <v>257.23</v>
      </c>
    </row>
    <row r="447">
      <c r="A447" s="16" t="s">
        <v>2634</v>
      </c>
      <c r="B447" s="16" t="s">
        <v>2636</v>
      </c>
      <c r="C447" s="16" t="s">
        <v>1496</v>
      </c>
      <c r="D447" s="16">
        <v>5.0</v>
      </c>
      <c r="E447" s="16">
        <v>9.89</v>
      </c>
      <c r="F447" s="16">
        <v>49.45</v>
      </c>
    </row>
    <row r="448">
      <c r="A448" s="16" t="s">
        <v>2639</v>
      </c>
      <c r="B448" s="16" t="s">
        <v>2636</v>
      </c>
      <c r="C448" s="16" t="s">
        <v>1539</v>
      </c>
      <c r="D448" s="16">
        <v>5.56</v>
      </c>
      <c r="E448" s="16">
        <v>3.98</v>
      </c>
      <c r="F448" s="16">
        <v>22.13</v>
      </c>
    </row>
    <row r="449">
      <c r="A449" s="16" t="s">
        <v>2640</v>
      </c>
      <c r="B449" s="16" t="s">
        <v>2642</v>
      </c>
      <c r="C449" s="16" t="s">
        <v>467</v>
      </c>
      <c r="D449" s="16">
        <v>1.0</v>
      </c>
      <c r="E449" s="16">
        <v>71.0</v>
      </c>
      <c r="F449" s="16">
        <v>71.0</v>
      </c>
    </row>
    <row r="450">
      <c r="A450" s="16" t="s">
        <v>2643</v>
      </c>
      <c r="B450" s="16" t="s">
        <v>2645</v>
      </c>
      <c r="C450" s="16" t="s">
        <v>467</v>
      </c>
      <c r="D450" s="16">
        <v>1.0</v>
      </c>
      <c r="E450" s="16">
        <v>235.0</v>
      </c>
      <c r="F450" s="16">
        <v>235.0</v>
      </c>
    </row>
    <row r="451">
      <c r="A451" s="16" t="s">
        <v>2649</v>
      </c>
      <c r="B451" s="16" t="s">
        <v>2650</v>
      </c>
      <c r="C451" s="16" t="s">
        <v>467</v>
      </c>
      <c r="D451" s="16">
        <v>1.0</v>
      </c>
      <c r="E451" s="16">
        <v>100.0</v>
      </c>
      <c r="F451" s="16">
        <v>100.0</v>
      </c>
    </row>
    <row r="452">
      <c r="A452" s="16" t="s">
        <v>2651</v>
      </c>
      <c r="B452" s="16" t="s">
        <v>2653</v>
      </c>
      <c r="C452" s="16" t="s">
        <v>467</v>
      </c>
      <c r="D452" s="16">
        <v>1.0</v>
      </c>
      <c r="E452" s="16">
        <v>195.25</v>
      </c>
      <c r="F452" s="16">
        <v>195.25</v>
      </c>
    </row>
    <row r="453">
      <c r="A453" s="16" t="s">
        <v>2656</v>
      </c>
      <c r="B453" s="16" t="s">
        <v>2658</v>
      </c>
      <c r="C453" s="16" t="s">
        <v>2659</v>
      </c>
      <c r="D453" s="16">
        <v>2.0</v>
      </c>
      <c r="E453" s="16">
        <v>12.9</v>
      </c>
      <c r="F453" s="16">
        <v>25.8</v>
      </c>
    </row>
    <row r="454">
      <c r="A454" s="16" t="s">
        <v>2660</v>
      </c>
      <c r="B454" s="16" t="s">
        <v>2662</v>
      </c>
      <c r="C454" s="16" t="s">
        <v>1580</v>
      </c>
      <c r="D454" s="16">
        <v>1.0</v>
      </c>
      <c r="E454" s="16">
        <v>4.99</v>
      </c>
      <c r="F454" s="16">
        <v>4.99</v>
      </c>
    </row>
    <row r="455">
      <c r="A455" s="16" t="s">
        <v>2664</v>
      </c>
      <c r="B455" s="16" t="s">
        <v>2662</v>
      </c>
      <c r="C455" s="16" t="s">
        <v>1574</v>
      </c>
      <c r="D455" s="16">
        <v>3.0</v>
      </c>
      <c r="E455" s="16">
        <v>3.79</v>
      </c>
      <c r="F455" s="16">
        <v>11.37</v>
      </c>
    </row>
    <row r="456">
      <c r="A456" s="16" t="s">
        <v>2666</v>
      </c>
      <c r="B456" s="16" t="s">
        <v>2662</v>
      </c>
      <c r="C456" s="16" t="s">
        <v>1502</v>
      </c>
      <c r="D456" s="16">
        <v>4.0</v>
      </c>
      <c r="E456" s="16">
        <v>6.49</v>
      </c>
      <c r="F456" s="16">
        <v>25.96</v>
      </c>
    </row>
    <row r="457">
      <c r="A457" s="16" t="s">
        <v>2668</v>
      </c>
      <c r="B457" s="16" t="s">
        <v>2662</v>
      </c>
      <c r="C457" s="16" t="s">
        <v>1743</v>
      </c>
      <c r="D457" s="16">
        <v>2.0</v>
      </c>
      <c r="E457" s="16">
        <v>6.99</v>
      </c>
      <c r="F457" s="16">
        <v>13.98</v>
      </c>
    </row>
    <row r="458">
      <c r="A458" s="16" t="s">
        <v>2670</v>
      </c>
      <c r="B458" s="16" t="s">
        <v>2662</v>
      </c>
      <c r="C458" s="16" t="s">
        <v>2671</v>
      </c>
      <c r="D458" s="16">
        <v>1.0</v>
      </c>
      <c r="E458" s="16">
        <v>6.99</v>
      </c>
      <c r="F458" s="16">
        <v>6.99</v>
      </c>
    </row>
    <row r="459">
      <c r="A459" s="16" t="s">
        <v>2672</v>
      </c>
      <c r="B459" s="16" t="s">
        <v>2662</v>
      </c>
      <c r="C459" s="16" t="s">
        <v>1565</v>
      </c>
      <c r="D459" s="16">
        <v>2.0</v>
      </c>
      <c r="E459" s="16">
        <v>11.99</v>
      </c>
      <c r="F459" s="16">
        <v>23.98</v>
      </c>
    </row>
    <row r="460">
      <c r="A460" s="16" t="s">
        <v>2674</v>
      </c>
      <c r="B460" s="16" t="s">
        <v>2662</v>
      </c>
      <c r="C460" s="16" t="s">
        <v>1583</v>
      </c>
      <c r="D460" s="16">
        <v>0.3</v>
      </c>
      <c r="E460" s="16">
        <v>6.99</v>
      </c>
      <c r="F460" s="16">
        <v>2.1</v>
      </c>
    </row>
    <row r="461">
      <c r="A461" s="16" t="s">
        <v>2678</v>
      </c>
      <c r="B461" s="16" t="s">
        <v>2679</v>
      </c>
      <c r="C461" s="23" t="s">
        <v>1475</v>
      </c>
      <c r="D461" s="16">
        <v>8.0</v>
      </c>
      <c r="E461" s="16">
        <v>23.0</v>
      </c>
      <c r="F461" s="16">
        <v>184.0</v>
      </c>
    </row>
    <row r="462">
      <c r="A462" s="16" t="s">
        <v>2681</v>
      </c>
      <c r="B462" s="16" t="s">
        <v>2682</v>
      </c>
      <c r="C462" s="23" t="s">
        <v>1475</v>
      </c>
      <c r="D462" s="16">
        <v>5.0</v>
      </c>
      <c r="E462" s="16">
        <v>23.0</v>
      </c>
      <c r="F462" s="16">
        <v>115.0</v>
      </c>
    </row>
    <row r="463">
      <c r="A463" s="16" t="s">
        <v>2683</v>
      </c>
      <c r="B463" s="16" t="s">
        <v>2684</v>
      </c>
      <c r="C463" s="16" t="s">
        <v>1496</v>
      </c>
      <c r="D463" s="16">
        <v>10.0</v>
      </c>
      <c r="E463" s="16">
        <v>14.5</v>
      </c>
      <c r="F463" s="16">
        <v>145.0</v>
      </c>
    </row>
    <row r="464">
      <c r="A464" s="16" t="s">
        <v>2686</v>
      </c>
      <c r="B464" s="16" t="s">
        <v>2684</v>
      </c>
      <c r="C464" s="16" t="s">
        <v>1492</v>
      </c>
      <c r="D464" s="16">
        <v>3.028</v>
      </c>
      <c r="E464" s="16">
        <v>5.99</v>
      </c>
      <c r="F464" s="16">
        <v>18.14</v>
      </c>
    </row>
    <row r="465">
      <c r="A465" s="16" t="s">
        <v>2687</v>
      </c>
      <c r="B465" s="16" t="s">
        <v>2689</v>
      </c>
      <c r="C465" s="16" t="s">
        <v>1510</v>
      </c>
      <c r="D465" s="16">
        <v>10.0</v>
      </c>
      <c r="E465" s="16">
        <v>11.88</v>
      </c>
      <c r="F465" s="16">
        <v>118.8</v>
      </c>
    </row>
    <row r="466">
      <c r="A466" s="16" t="s">
        <v>2691</v>
      </c>
      <c r="B466" s="16" t="s">
        <v>2689</v>
      </c>
      <c r="C466" s="16" t="s">
        <v>1517</v>
      </c>
      <c r="D466" s="16">
        <v>6.0</v>
      </c>
      <c r="E466" s="16">
        <v>14.28</v>
      </c>
      <c r="F466" s="16">
        <v>85.68</v>
      </c>
    </row>
    <row r="467">
      <c r="A467" s="16" t="s">
        <v>2693</v>
      </c>
      <c r="B467" s="16" t="s">
        <v>2694</v>
      </c>
      <c r="C467" s="16" t="s">
        <v>2695</v>
      </c>
      <c r="D467" s="16">
        <v>1.0</v>
      </c>
      <c r="E467" s="16">
        <v>13.0</v>
      </c>
      <c r="F467" s="16">
        <v>13.0</v>
      </c>
    </row>
    <row r="468">
      <c r="A468" s="16" t="s">
        <v>2696</v>
      </c>
      <c r="B468" s="16" t="s">
        <v>2697</v>
      </c>
      <c r="C468" s="16" t="s">
        <v>1483</v>
      </c>
      <c r="D468" s="16">
        <v>8.725</v>
      </c>
      <c r="E468" s="16">
        <v>29.0</v>
      </c>
      <c r="F468" s="16">
        <v>253.03</v>
      </c>
    </row>
    <row r="469">
      <c r="A469" s="16" t="s">
        <v>2699</v>
      </c>
      <c r="B469" s="16" t="s">
        <v>2697</v>
      </c>
      <c r="C469" s="16" t="s">
        <v>1492</v>
      </c>
      <c r="D469" s="16">
        <v>1.514</v>
      </c>
      <c r="E469" s="16">
        <v>5.99</v>
      </c>
      <c r="F469" s="16">
        <v>9.07</v>
      </c>
    </row>
    <row r="470">
      <c r="A470" s="16" t="s">
        <v>2702</v>
      </c>
      <c r="B470" s="16" t="s">
        <v>2704</v>
      </c>
      <c r="C470" s="23" t="s">
        <v>1475</v>
      </c>
      <c r="D470" s="16">
        <v>12.0</v>
      </c>
      <c r="E470" s="16">
        <v>23.0</v>
      </c>
      <c r="F470" s="16">
        <v>276.0</v>
      </c>
    </row>
    <row r="471">
      <c r="A471" s="16" t="s">
        <v>2705</v>
      </c>
      <c r="B471" s="16" t="s">
        <v>2706</v>
      </c>
      <c r="C471" s="16" t="s">
        <v>467</v>
      </c>
      <c r="D471" s="16">
        <v>1.0</v>
      </c>
      <c r="E471" s="16">
        <v>57.0</v>
      </c>
      <c r="F471" s="16">
        <v>57.0</v>
      </c>
    </row>
    <row r="472">
      <c r="A472" s="16" t="s">
        <v>2707</v>
      </c>
      <c r="B472" s="16" t="s">
        <v>2708</v>
      </c>
      <c r="C472" s="16" t="s">
        <v>467</v>
      </c>
      <c r="D472" s="16">
        <v>1.0</v>
      </c>
      <c r="E472" s="16">
        <v>118.0</v>
      </c>
      <c r="F472" s="16">
        <v>118.0</v>
      </c>
    </row>
    <row r="473">
      <c r="A473" s="16" t="s">
        <v>2710</v>
      </c>
      <c r="B473" s="16" t="s">
        <v>2711</v>
      </c>
      <c r="C473" s="16" t="s">
        <v>467</v>
      </c>
      <c r="D473" s="16">
        <v>1.0</v>
      </c>
      <c r="E473" s="16">
        <v>234.0</v>
      </c>
      <c r="F473" s="16">
        <v>234.0</v>
      </c>
    </row>
    <row r="474">
      <c r="A474" s="16" t="s">
        <v>2712</v>
      </c>
      <c r="B474" s="16" t="s">
        <v>2714</v>
      </c>
      <c r="C474" s="16" t="s">
        <v>467</v>
      </c>
      <c r="D474" s="16">
        <v>1.0</v>
      </c>
      <c r="E474" s="16">
        <v>478.25</v>
      </c>
      <c r="F474" s="16">
        <v>478.25</v>
      </c>
    </row>
    <row r="475">
      <c r="A475" s="16" t="s">
        <v>2717</v>
      </c>
      <c r="B475" s="16" t="s">
        <v>2718</v>
      </c>
      <c r="C475" s="16" t="s">
        <v>1483</v>
      </c>
      <c r="D475" s="16">
        <v>8.87</v>
      </c>
      <c r="E475" s="16">
        <v>29.0</v>
      </c>
      <c r="F475" s="16">
        <v>257.23</v>
      </c>
    </row>
    <row r="476">
      <c r="A476" s="16" t="s">
        <v>2719</v>
      </c>
      <c r="B476" s="16" t="s">
        <v>2718</v>
      </c>
      <c r="C476" s="16" t="s">
        <v>1496</v>
      </c>
      <c r="D476" s="16">
        <v>10.0</v>
      </c>
      <c r="E476" s="16">
        <v>14.5</v>
      </c>
      <c r="F476" s="16">
        <v>145.0</v>
      </c>
    </row>
    <row r="477">
      <c r="A477" s="16" t="s">
        <v>2720</v>
      </c>
      <c r="B477" s="16" t="s">
        <v>2718</v>
      </c>
      <c r="C477" s="16" t="s">
        <v>1539</v>
      </c>
      <c r="D477" s="16">
        <v>2.86</v>
      </c>
      <c r="E477" s="16">
        <v>10.5</v>
      </c>
      <c r="F477" s="16">
        <v>30.03</v>
      </c>
    </row>
    <row r="478">
      <c r="A478" s="16" t="s">
        <v>2722</v>
      </c>
      <c r="B478" s="16" t="s">
        <v>2723</v>
      </c>
      <c r="C478" s="16" t="s">
        <v>1496</v>
      </c>
      <c r="D478" s="16">
        <v>4.0</v>
      </c>
      <c r="E478" s="16">
        <v>7.99</v>
      </c>
      <c r="F478" s="16">
        <v>31.96</v>
      </c>
    </row>
    <row r="479">
      <c r="A479" s="16" t="s">
        <v>2724</v>
      </c>
      <c r="B479" s="16" t="s">
        <v>2723</v>
      </c>
      <c r="C479" s="16" t="s">
        <v>1568</v>
      </c>
      <c r="D479" s="16">
        <v>1.0</v>
      </c>
      <c r="E479" s="16">
        <v>7.99</v>
      </c>
      <c r="F479" s="16">
        <v>7.99</v>
      </c>
    </row>
    <row r="480">
      <c r="A480" s="23" t="s">
        <v>2728</v>
      </c>
      <c r="B480" s="16" t="s">
        <v>2723</v>
      </c>
      <c r="C480" s="16" t="s">
        <v>1565</v>
      </c>
      <c r="D480" s="16">
        <v>1.0</v>
      </c>
      <c r="E480" s="16">
        <v>11.99</v>
      </c>
      <c r="F480" s="16">
        <v>11.99</v>
      </c>
    </row>
    <row r="481">
      <c r="A481" s="16" t="s">
        <v>2729</v>
      </c>
      <c r="B481" s="16" t="s">
        <v>2723</v>
      </c>
      <c r="C481" s="16" t="s">
        <v>1502</v>
      </c>
      <c r="D481" s="16">
        <v>2.0</v>
      </c>
      <c r="E481" s="16">
        <v>6.49</v>
      </c>
      <c r="F481" s="16">
        <v>12.98</v>
      </c>
    </row>
    <row r="482">
      <c r="A482" s="16" t="s">
        <v>2731</v>
      </c>
      <c r="B482" s="16" t="s">
        <v>2723</v>
      </c>
      <c r="C482" s="16" t="s">
        <v>1492</v>
      </c>
      <c r="D482" s="16">
        <v>2.86</v>
      </c>
      <c r="E482" s="16">
        <v>2.99</v>
      </c>
      <c r="F482" s="16">
        <v>8.55</v>
      </c>
    </row>
    <row r="483">
      <c r="A483" s="16" t="s">
        <v>2734</v>
      </c>
      <c r="B483" s="16" t="s">
        <v>2723</v>
      </c>
      <c r="C483" s="16" t="s">
        <v>1505</v>
      </c>
      <c r="D483" s="16">
        <v>1.0</v>
      </c>
      <c r="E483" s="16">
        <v>16.99</v>
      </c>
      <c r="F483" s="16">
        <v>16.99</v>
      </c>
    </row>
    <row r="484">
      <c r="A484" s="16" t="s">
        <v>2737</v>
      </c>
      <c r="B484" s="16" t="s">
        <v>2739</v>
      </c>
      <c r="C484" s="16" t="s">
        <v>210</v>
      </c>
      <c r="D484" s="16">
        <v>1.0</v>
      </c>
      <c r="E484" s="16">
        <v>3412.5</v>
      </c>
      <c r="F484" s="16">
        <v>3412.5</v>
      </c>
    </row>
    <row r="485">
      <c r="A485" s="16" t="s">
        <v>2742</v>
      </c>
      <c r="B485" s="16" t="s">
        <v>2739</v>
      </c>
      <c r="C485" s="16" t="s">
        <v>1551</v>
      </c>
      <c r="D485" s="16">
        <v>1.0</v>
      </c>
      <c r="E485" s="16">
        <v>233.72</v>
      </c>
      <c r="F485" s="16">
        <v>233.72</v>
      </c>
    </row>
    <row r="486">
      <c r="A486" s="16" t="s">
        <v>2746</v>
      </c>
      <c r="B486" s="16" t="s">
        <v>2747</v>
      </c>
      <c r="C486" s="16" t="s">
        <v>1547</v>
      </c>
      <c r="D486" s="16">
        <v>1.0</v>
      </c>
      <c r="E486" s="16">
        <v>17042.18</v>
      </c>
      <c r="F486" s="16">
        <v>17042.18</v>
      </c>
    </row>
    <row r="487">
      <c r="A487" s="16" t="s">
        <v>2749</v>
      </c>
      <c r="B487" s="16" t="s">
        <v>2747</v>
      </c>
      <c r="C487" s="16" t="s">
        <v>1549</v>
      </c>
      <c r="D487" s="16">
        <v>1.0</v>
      </c>
      <c r="E487" s="16">
        <v>1619.01</v>
      </c>
      <c r="F487" s="16">
        <v>1619.01</v>
      </c>
    </row>
    <row r="488">
      <c r="A488" s="16" t="s">
        <v>2750</v>
      </c>
      <c r="B488" s="16" t="s">
        <v>2747</v>
      </c>
      <c r="C488" s="16" t="s">
        <v>1551</v>
      </c>
      <c r="D488" s="16">
        <v>1.0</v>
      </c>
      <c r="E488" s="16">
        <v>166.37</v>
      </c>
      <c r="F488" s="16">
        <v>166.37</v>
      </c>
    </row>
    <row r="489">
      <c r="A489" s="16" t="s">
        <v>2754</v>
      </c>
      <c r="B489" s="16" t="s">
        <v>2755</v>
      </c>
      <c r="C489" s="23" t="s">
        <v>1475</v>
      </c>
      <c r="D489" s="16">
        <v>6.0</v>
      </c>
      <c r="E489" s="16">
        <v>23.0</v>
      </c>
      <c r="F489" s="16">
        <v>138.0</v>
      </c>
    </row>
    <row r="490">
      <c r="A490" s="16" t="s">
        <v>2757</v>
      </c>
      <c r="B490" s="16" t="s">
        <v>2758</v>
      </c>
      <c r="C490" s="23" t="s">
        <v>1475</v>
      </c>
      <c r="D490" s="16">
        <v>6.0</v>
      </c>
      <c r="E490" s="16">
        <v>23.0</v>
      </c>
      <c r="F490" s="16">
        <v>138.0</v>
      </c>
    </row>
    <row r="491">
      <c r="A491" s="16" t="s">
        <v>2759</v>
      </c>
      <c r="B491" s="16" t="s">
        <v>2760</v>
      </c>
      <c r="C491" s="16" t="s">
        <v>1837</v>
      </c>
      <c r="D491" s="16">
        <v>8.0</v>
      </c>
      <c r="E491" s="16">
        <v>16.99</v>
      </c>
      <c r="F491" s="16">
        <v>135.92</v>
      </c>
    </row>
    <row r="492">
      <c r="A492" s="16" t="s">
        <v>2762</v>
      </c>
      <c r="B492" s="16" t="s">
        <v>2760</v>
      </c>
      <c r="C492" s="16" t="s">
        <v>1591</v>
      </c>
      <c r="D492" s="16">
        <v>1.0</v>
      </c>
      <c r="E492" s="16">
        <v>19.99</v>
      </c>
      <c r="F492" s="16">
        <v>19.99</v>
      </c>
    </row>
    <row r="493">
      <c r="A493" s="16" t="s">
        <v>2765</v>
      </c>
      <c r="B493" s="16" t="s">
        <v>2760</v>
      </c>
      <c r="C493" s="16" t="s">
        <v>2766</v>
      </c>
      <c r="D493" s="16">
        <v>1.0</v>
      </c>
      <c r="E493" s="16">
        <v>14.99</v>
      </c>
      <c r="F493" s="16">
        <v>14.99</v>
      </c>
    </row>
    <row r="494">
      <c r="A494" s="16" t="s">
        <v>2767</v>
      </c>
      <c r="B494" s="16" t="s">
        <v>2760</v>
      </c>
      <c r="C494" s="16" t="s">
        <v>2768</v>
      </c>
      <c r="D494" s="16">
        <v>1.0</v>
      </c>
      <c r="E494" s="16">
        <v>82.99</v>
      </c>
      <c r="F494" s="16">
        <v>82.99</v>
      </c>
    </row>
    <row r="495">
      <c r="A495" s="16" t="s">
        <v>2770</v>
      </c>
      <c r="B495" s="16" t="s">
        <v>2760</v>
      </c>
      <c r="C495" s="16" t="s">
        <v>1606</v>
      </c>
      <c r="D495" s="16">
        <v>1.0</v>
      </c>
      <c r="E495" s="16">
        <v>16.99</v>
      </c>
      <c r="F495" s="16">
        <v>16.99</v>
      </c>
    </row>
    <row r="496">
      <c r="A496" s="16" t="s">
        <v>2772</v>
      </c>
      <c r="B496" s="16" t="s">
        <v>2760</v>
      </c>
      <c r="C496" s="16" t="s">
        <v>1642</v>
      </c>
      <c r="D496" s="16">
        <v>4.0</v>
      </c>
      <c r="E496" s="16">
        <v>32.99</v>
      </c>
      <c r="F496" s="16">
        <v>131.96</v>
      </c>
    </row>
    <row r="497">
      <c r="A497" s="16" t="s">
        <v>2775</v>
      </c>
      <c r="B497" s="16" t="s">
        <v>2760</v>
      </c>
      <c r="C497" s="16" t="s">
        <v>1606</v>
      </c>
      <c r="D497" s="16">
        <v>1.0</v>
      </c>
      <c r="E497" s="16">
        <v>19.9</v>
      </c>
      <c r="F497" s="16">
        <v>19.9</v>
      </c>
    </row>
    <row r="498">
      <c r="A498" s="16" t="s">
        <v>2776</v>
      </c>
      <c r="B498" s="16" t="s">
        <v>2777</v>
      </c>
      <c r="C498" s="16" t="s">
        <v>1489</v>
      </c>
      <c r="D498" s="16">
        <v>3.0</v>
      </c>
      <c r="E498" s="16">
        <v>9.89</v>
      </c>
      <c r="F498" s="16">
        <v>29.67</v>
      </c>
    </row>
    <row r="499">
      <c r="A499" s="16" t="s">
        <v>2779</v>
      </c>
      <c r="B499" s="16" t="s">
        <v>2777</v>
      </c>
      <c r="C499" s="16" t="s">
        <v>1580</v>
      </c>
      <c r="D499" s="16">
        <v>1.0</v>
      </c>
      <c r="E499" s="16">
        <v>3.99</v>
      </c>
      <c r="F499" s="16">
        <v>3.99</v>
      </c>
    </row>
    <row r="500">
      <c r="A500" s="16" t="s">
        <v>2781</v>
      </c>
      <c r="B500" s="16" t="s">
        <v>2777</v>
      </c>
      <c r="C500" s="16" t="s">
        <v>1583</v>
      </c>
      <c r="D500" s="16">
        <v>0.3</v>
      </c>
      <c r="E500" s="16">
        <v>6.99</v>
      </c>
      <c r="F500" s="16">
        <v>2.1</v>
      </c>
    </row>
    <row r="501">
      <c r="A501" s="16" t="s">
        <v>2783</v>
      </c>
      <c r="B501" s="16" t="s">
        <v>2777</v>
      </c>
      <c r="C501" s="16" t="s">
        <v>1578</v>
      </c>
      <c r="D501" s="16">
        <v>1.0</v>
      </c>
      <c r="E501" s="16">
        <v>25.99</v>
      </c>
      <c r="F501" s="16">
        <v>25.99</v>
      </c>
    </row>
    <row r="502">
      <c r="A502" s="16" t="s">
        <v>2784</v>
      </c>
      <c r="B502" s="16" t="s">
        <v>2777</v>
      </c>
      <c r="C502" s="16" t="s">
        <v>1539</v>
      </c>
      <c r="D502" s="16">
        <v>1.27</v>
      </c>
      <c r="E502" s="16">
        <v>6.98</v>
      </c>
      <c r="F502" s="16">
        <v>8.86</v>
      </c>
    </row>
    <row r="503">
      <c r="A503" s="16" t="s">
        <v>2785</v>
      </c>
      <c r="B503" s="16" t="s">
        <v>2777</v>
      </c>
      <c r="C503" s="16" t="s">
        <v>1492</v>
      </c>
      <c r="D503" s="16">
        <v>3.135</v>
      </c>
      <c r="E503" s="16">
        <v>4.99</v>
      </c>
      <c r="F503" s="16">
        <v>15.64</v>
      </c>
    </row>
    <row r="504">
      <c r="A504" s="16" t="s">
        <v>2787</v>
      </c>
      <c r="B504" s="16" t="s">
        <v>2788</v>
      </c>
      <c r="C504" s="16" t="s">
        <v>1616</v>
      </c>
      <c r="D504" s="16">
        <v>1.0</v>
      </c>
      <c r="E504" s="16">
        <v>9605.67</v>
      </c>
      <c r="F504" s="16">
        <v>9605.67</v>
      </c>
    </row>
    <row r="505">
      <c r="A505" s="16" t="s">
        <v>2790</v>
      </c>
      <c r="B505" s="16" t="s">
        <v>2788</v>
      </c>
      <c r="C505" s="16" t="s">
        <v>1549</v>
      </c>
      <c r="D505" s="16">
        <v>1.0</v>
      </c>
      <c r="E505" s="16">
        <v>912.54</v>
      </c>
      <c r="F505" s="16">
        <v>912.54</v>
      </c>
    </row>
    <row r="506">
      <c r="A506" s="16" t="s">
        <v>2795</v>
      </c>
      <c r="B506" s="16" t="s">
        <v>2797</v>
      </c>
      <c r="C506" s="16" t="s">
        <v>1616</v>
      </c>
      <c r="D506" s="16">
        <v>1.0</v>
      </c>
      <c r="E506" s="16">
        <v>53.13</v>
      </c>
      <c r="F506" s="16">
        <v>53.13</v>
      </c>
    </row>
    <row r="507">
      <c r="A507" s="16" t="s">
        <v>2798</v>
      </c>
      <c r="B507" s="16" t="s">
        <v>2797</v>
      </c>
      <c r="C507" s="16" t="s">
        <v>1616</v>
      </c>
      <c r="D507" s="16">
        <v>1.0</v>
      </c>
      <c r="E507" s="16">
        <v>559.3</v>
      </c>
      <c r="F507" s="16">
        <v>559.3</v>
      </c>
    </row>
    <row r="508">
      <c r="A508" s="16" t="s">
        <v>2802</v>
      </c>
      <c r="B508" s="16" t="s">
        <v>2804</v>
      </c>
      <c r="C508" s="23" t="s">
        <v>1475</v>
      </c>
      <c r="D508" s="16">
        <v>15.0</v>
      </c>
      <c r="E508" s="16">
        <v>19.93</v>
      </c>
      <c r="F508" s="16">
        <v>298.95</v>
      </c>
    </row>
    <row r="509">
      <c r="A509" s="16" t="s">
        <v>2805</v>
      </c>
      <c r="B509" s="16" t="s">
        <v>2806</v>
      </c>
      <c r="C509" s="23" t="s">
        <v>1475</v>
      </c>
      <c r="D509" s="16">
        <v>10.0</v>
      </c>
      <c r="E509" s="16">
        <v>23.0</v>
      </c>
      <c r="F509" s="16">
        <v>230.0</v>
      </c>
    </row>
    <row r="510">
      <c r="A510" s="16" t="s">
        <v>2807</v>
      </c>
      <c r="B510" s="16" t="s">
        <v>2808</v>
      </c>
      <c r="C510" s="16" t="s">
        <v>1483</v>
      </c>
      <c r="D510" s="16">
        <v>8.83</v>
      </c>
      <c r="E510" s="16">
        <v>29.0</v>
      </c>
      <c r="F510" s="16">
        <v>256.07</v>
      </c>
    </row>
    <row r="511">
      <c r="A511" s="16" t="s">
        <v>2810</v>
      </c>
      <c r="B511" s="16" t="s">
        <v>2811</v>
      </c>
      <c r="C511" s="16" t="s">
        <v>1492</v>
      </c>
      <c r="D511" s="16">
        <v>2.79</v>
      </c>
      <c r="E511" s="16">
        <v>3.99</v>
      </c>
      <c r="F511" s="16">
        <v>11.13</v>
      </c>
    </row>
    <row r="512">
      <c r="A512" s="16" t="s">
        <v>2813</v>
      </c>
      <c r="B512" s="16" t="s">
        <v>2811</v>
      </c>
      <c r="C512" s="16" t="s">
        <v>1492</v>
      </c>
      <c r="D512" s="16">
        <v>2.48</v>
      </c>
      <c r="E512" s="16">
        <v>3.99</v>
      </c>
      <c r="F512" s="16">
        <v>9.9</v>
      </c>
    </row>
    <row r="513">
      <c r="A513" s="16" t="s">
        <v>2815</v>
      </c>
      <c r="B513" s="16" t="s">
        <v>2811</v>
      </c>
      <c r="C513" s="16" t="s">
        <v>1496</v>
      </c>
      <c r="D513" s="16">
        <v>5.0</v>
      </c>
      <c r="E513" s="16">
        <v>11.99</v>
      </c>
      <c r="F513" s="16">
        <v>59.95</v>
      </c>
    </row>
    <row r="514">
      <c r="A514" s="16" t="s">
        <v>2817</v>
      </c>
      <c r="B514" s="16" t="s">
        <v>2811</v>
      </c>
      <c r="C514" s="16" t="s">
        <v>1743</v>
      </c>
      <c r="D514" s="16">
        <v>2.0</v>
      </c>
      <c r="E514" s="16">
        <v>6.49</v>
      </c>
      <c r="F514" s="16">
        <v>12.98</v>
      </c>
    </row>
    <row r="515">
      <c r="A515" s="16" t="s">
        <v>2819</v>
      </c>
      <c r="B515" s="16" t="s">
        <v>2811</v>
      </c>
      <c r="C515" s="16" t="s">
        <v>1565</v>
      </c>
      <c r="D515" s="16">
        <v>1.0</v>
      </c>
      <c r="E515" s="16">
        <v>11.99</v>
      </c>
      <c r="F515" s="16">
        <v>11.99</v>
      </c>
    </row>
    <row r="516">
      <c r="A516" s="16" t="s">
        <v>2822</v>
      </c>
      <c r="B516" s="16" t="s">
        <v>2811</v>
      </c>
      <c r="C516" s="16" t="s">
        <v>1502</v>
      </c>
      <c r="D516" s="16">
        <v>1.0</v>
      </c>
      <c r="E516" s="16">
        <v>6.49</v>
      </c>
      <c r="F516" s="16">
        <v>6.49</v>
      </c>
    </row>
    <row r="517">
      <c r="A517" s="16" t="s">
        <v>2823</v>
      </c>
      <c r="B517" s="16" t="s">
        <v>2825</v>
      </c>
      <c r="C517" s="16" t="s">
        <v>467</v>
      </c>
      <c r="D517" s="16">
        <v>1.0</v>
      </c>
      <c r="E517" s="16">
        <v>70.0</v>
      </c>
      <c r="F517" s="16">
        <v>70.0</v>
      </c>
    </row>
    <row r="518">
      <c r="A518" s="16" t="s">
        <v>2827</v>
      </c>
      <c r="B518" s="16" t="s">
        <v>2828</v>
      </c>
      <c r="C518" s="16" t="s">
        <v>1539</v>
      </c>
      <c r="D518" s="16">
        <v>1.4</v>
      </c>
      <c r="E518" s="16">
        <v>6.99</v>
      </c>
      <c r="F518" s="16">
        <v>9.79</v>
      </c>
    </row>
    <row r="519">
      <c r="A519" s="16" t="s">
        <v>2830</v>
      </c>
      <c r="B519" s="16" t="s">
        <v>2828</v>
      </c>
      <c r="C519" s="16" t="s">
        <v>1502</v>
      </c>
      <c r="D519" s="16">
        <v>2.0</v>
      </c>
      <c r="E519" s="16">
        <v>6.99</v>
      </c>
      <c r="F519" s="16">
        <v>13.98</v>
      </c>
    </row>
    <row r="520">
      <c r="A520" s="16" t="s">
        <v>2832</v>
      </c>
      <c r="B520" s="16" t="s">
        <v>2833</v>
      </c>
      <c r="C520" s="16" t="s">
        <v>467</v>
      </c>
      <c r="D520" s="16">
        <v>1.0</v>
      </c>
      <c r="E520" s="16">
        <v>167.0</v>
      </c>
      <c r="F520" s="16">
        <v>167.0</v>
      </c>
    </row>
    <row r="521">
      <c r="A521" s="16" t="s">
        <v>2836</v>
      </c>
      <c r="B521" s="16" t="s">
        <v>2837</v>
      </c>
      <c r="C521" s="16" t="s">
        <v>467</v>
      </c>
      <c r="D521" s="16">
        <v>1.0</v>
      </c>
      <c r="E521" s="16">
        <v>102.0</v>
      </c>
      <c r="F521" s="16">
        <v>102.0</v>
      </c>
    </row>
    <row r="522">
      <c r="A522" s="16" t="s">
        <v>2840</v>
      </c>
      <c r="B522" s="16" t="s">
        <v>2841</v>
      </c>
      <c r="C522" s="16" t="s">
        <v>467</v>
      </c>
      <c r="D522" s="16">
        <v>1.0</v>
      </c>
      <c r="E522" s="16">
        <v>167.0</v>
      </c>
      <c r="F522" s="16">
        <v>167.0</v>
      </c>
    </row>
    <row r="523">
      <c r="A523" s="16" t="s">
        <v>2844</v>
      </c>
      <c r="B523" s="16" t="s">
        <v>2845</v>
      </c>
      <c r="C523" s="16" t="s">
        <v>1483</v>
      </c>
      <c r="D523" s="16">
        <v>5.0</v>
      </c>
      <c r="E523" s="16">
        <v>29.0</v>
      </c>
      <c r="F523" s="16">
        <v>145.0</v>
      </c>
    </row>
    <row r="524">
      <c r="A524" s="16" t="s">
        <v>2847</v>
      </c>
      <c r="B524" s="16" t="s">
        <v>2848</v>
      </c>
      <c r="C524" s="16" t="s">
        <v>1489</v>
      </c>
      <c r="D524" s="16">
        <v>3.0</v>
      </c>
      <c r="E524" s="16">
        <v>9.89</v>
      </c>
      <c r="F524" s="16">
        <v>29.67</v>
      </c>
    </row>
    <row r="525">
      <c r="A525" s="16" t="s">
        <v>2849</v>
      </c>
      <c r="B525" s="16" t="s">
        <v>2850</v>
      </c>
      <c r="C525" s="16" t="s">
        <v>1496</v>
      </c>
      <c r="D525" s="16">
        <v>10.0</v>
      </c>
      <c r="E525" s="16">
        <v>14.5</v>
      </c>
      <c r="F525" s="16">
        <v>145.0</v>
      </c>
    </row>
    <row r="526">
      <c r="A526" s="16" t="s">
        <v>2851</v>
      </c>
      <c r="B526" s="16" t="s">
        <v>2852</v>
      </c>
      <c r="C526" s="16" t="s">
        <v>2854</v>
      </c>
      <c r="D526" s="16">
        <v>1.0</v>
      </c>
      <c r="E526" s="16">
        <v>100.0</v>
      </c>
      <c r="F526" s="16">
        <v>100.0</v>
      </c>
    </row>
    <row r="527">
      <c r="A527" s="16" t="s">
        <v>2855</v>
      </c>
      <c r="B527" s="16" t="s">
        <v>2857</v>
      </c>
      <c r="C527" s="16" t="s">
        <v>2586</v>
      </c>
      <c r="D527" s="16">
        <v>1.0</v>
      </c>
      <c r="E527" s="16">
        <v>4.79</v>
      </c>
      <c r="F527" s="16">
        <v>4.79</v>
      </c>
    </row>
    <row r="528">
      <c r="A528" s="16" t="s">
        <v>2862</v>
      </c>
      <c r="B528" s="16" t="s">
        <v>2863</v>
      </c>
      <c r="C528" s="16" t="s">
        <v>2864</v>
      </c>
      <c r="D528" s="16">
        <v>1.0</v>
      </c>
      <c r="E528" s="16">
        <v>14.0</v>
      </c>
      <c r="F528" s="16">
        <v>14.0</v>
      </c>
    </row>
    <row r="529">
      <c r="A529" s="16" t="s">
        <v>2865</v>
      </c>
      <c r="B529" s="16" t="s">
        <v>2867</v>
      </c>
      <c r="C529" s="16" t="s">
        <v>1583</v>
      </c>
      <c r="D529" s="16">
        <v>0.34</v>
      </c>
      <c r="E529" s="16">
        <v>4.99</v>
      </c>
      <c r="F529" s="16">
        <v>1.7</v>
      </c>
    </row>
    <row r="530">
      <c r="A530" s="16" t="s">
        <v>2869</v>
      </c>
      <c r="B530" s="16" t="s">
        <v>2867</v>
      </c>
      <c r="C530" s="16" t="s">
        <v>1565</v>
      </c>
      <c r="D530" s="16">
        <v>1.0</v>
      </c>
      <c r="E530" s="16">
        <v>16.99</v>
      </c>
      <c r="F530" s="16">
        <v>16.99</v>
      </c>
    </row>
    <row r="531">
      <c r="A531" s="16" t="s">
        <v>2871</v>
      </c>
      <c r="B531" s="16" t="s">
        <v>2867</v>
      </c>
      <c r="C531" s="16" t="s">
        <v>1743</v>
      </c>
      <c r="D531" s="16">
        <v>1.0</v>
      </c>
      <c r="E531" s="16">
        <v>6.49</v>
      </c>
      <c r="F531" s="16">
        <v>6.49</v>
      </c>
    </row>
    <row r="532">
      <c r="A532" s="16" t="s">
        <v>2873</v>
      </c>
      <c r="B532" s="16" t="s">
        <v>2867</v>
      </c>
      <c r="C532" s="16" t="s">
        <v>1568</v>
      </c>
      <c r="D532" s="16">
        <v>1.0</v>
      </c>
      <c r="E532" s="16">
        <v>7.99</v>
      </c>
      <c r="F532" s="16">
        <v>7.99</v>
      </c>
    </row>
    <row r="533">
      <c r="A533" s="16" t="s">
        <v>2876</v>
      </c>
      <c r="B533" s="16" t="s">
        <v>2867</v>
      </c>
      <c r="C533" s="16" t="s">
        <v>1574</v>
      </c>
      <c r="D533" s="16">
        <v>2.0</v>
      </c>
      <c r="E533" s="16">
        <v>3.79</v>
      </c>
      <c r="F533" s="16">
        <v>7.58</v>
      </c>
    </row>
    <row r="534">
      <c r="A534" s="16" t="s">
        <v>2878</v>
      </c>
      <c r="B534" s="16" t="s">
        <v>2880</v>
      </c>
      <c r="C534" s="16" t="s">
        <v>1656</v>
      </c>
      <c r="D534" s="16">
        <v>3.0</v>
      </c>
      <c r="E534" s="16">
        <v>44.28</v>
      </c>
      <c r="F534" s="16">
        <v>132.84</v>
      </c>
    </row>
    <row r="535">
      <c r="A535" s="16" t="s">
        <v>2884</v>
      </c>
      <c r="B535" s="16" t="s">
        <v>2880</v>
      </c>
      <c r="C535" s="16" t="s">
        <v>2885</v>
      </c>
      <c r="D535" s="16">
        <v>3.0</v>
      </c>
      <c r="E535" s="16">
        <v>20.34</v>
      </c>
      <c r="F535" s="16">
        <v>61.02</v>
      </c>
    </row>
    <row r="536">
      <c r="A536" s="23" t="s">
        <v>2886</v>
      </c>
      <c r="B536" s="16" t="s">
        <v>2880</v>
      </c>
      <c r="C536" s="23" t="s">
        <v>1653</v>
      </c>
      <c r="D536" s="16">
        <v>3.0</v>
      </c>
      <c r="E536" s="16">
        <v>20.34</v>
      </c>
      <c r="F536" s="16">
        <v>61.02</v>
      </c>
    </row>
    <row r="537">
      <c r="A537" s="16" t="s">
        <v>2887</v>
      </c>
      <c r="B537" s="16" t="s">
        <v>2880</v>
      </c>
      <c r="C537" s="16" t="s">
        <v>1662</v>
      </c>
      <c r="D537" s="16">
        <v>3.0</v>
      </c>
      <c r="E537" s="16">
        <v>22.14</v>
      </c>
      <c r="F537" s="16">
        <v>66.42</v>
      </c>
    </row>
    <row r="538">
      <c r="A538" s="16" t="s">
        <v>2889</v>
      </c>
      <c r="B538" s="16" t="s">
        <v>2880</v>
      </c>
      <c r="C538" s="16" t="s">
        <v>1510</v>
      </c>
      <c r="D538" s="16">
        <v>15.0</v>
      </c>
      <c r="E538" s="16">
        <v>11.88</v>
      </c>
      <c r="F538" s="16">
        <v>178.2</v>
      </c>
    </row>
    <row r="539">
      <c r="A539" s="16" t="s">
        <v>2892</v>
      </c>
      <c r="B539" s="16" t="s">
        <v>2880</v>
      </c>
      <c r="C539" s="16" t="s">
        <v>1510</v>
      </c>
      <c r="D539" s="16">
        <v>1.0</v>
      </c>
      <c r="E539" s="16">
        <v>11.88</v>
      </c>
      <c r="F539" s="16">
        <v>11.88</v>
      </c>
    </row>
    <row r="540">
      <c r="A540" s="23" t="s">
        <v>2893</v>
      </c>
      <c r="B540" s="16" t="s">
        <v>2880</v>
      </c>
      <c r="C540" s="16" t="s">
        <v>1517</v>
      </c>
      <c r="D540" s="16">
        <v>10.0</v>
      </c>
      <c r="E540" s="16">
        <v>14.28</v>
      </c>
      <c r="F540" s="16">
        <v>142.8</v>
      </c>
    </row>
    <row r="541">
      <c r="A541" s="16" t="s">
        <v>2896</v>
      </c>
      <c r="B541" s="16" t="s">
        <v>2898</v>
      </c>
      <c r="C541" s="23" t="s">
        <v>1475</v>
      </c>
      <c r="D541" s="16">
        <v>12.0</v>
      </c>
      <c r="E541" s="16">
        <v>23.0</v>
      </c>
      <c r="F541" s="16">
        <v>276.0</v>
      </c>
    </row>
    <row r="542">
      <c r="A542" s="16" t="s">
        <v>2903</v>
      </c>
      <c r="B542" s="16" t="s">
        <v>2905</v>
      </c>
      <c r="C542" s="23" t="s">
        <v>1475</v>
      </c>
      <c r="D542" s="16">
        <v>12.0</v>
      </c>
      <c r="E542" s="16">
        <v>23.0</v>
      </c>
      <c r="F542" s="16">
        <v>276.0</v>
      </c>
    </row>
    <row r="543">
      <c r="A543" s="16" t="s">
        <v>2907</v>
      </c>
      <c r="B543" s="16" t="s">
        <v>2908</v>
      </c>
      <c r="C543" s="16" t="s">
        <v>467</v>
      </c>
      <c r="D543" s="16">
        <v>1.0</v>
      </c>
      <c r="E543" s="16">
        <v>52.0</v>
      </c>
      <c r="F543" s="16">
        <v>52.0</v>
      </c>
    </row>
    <row r="544">
      <c r="A544" s="16" t="s">
        <v>2911</v>
      </c>
      <c r="B544" s="16" t="s">
        <v>2912</v>
      </c>
      <c r="C544" s="16" t="s">
        <v>1492</v>
      </c>
      <c r="D544" s="16">
        <v>2.0</v>
      </c>
      <c r="E544" s="16">
        <v>3.99</v>
      </c>
      <c r="F544" s="16">
        <v>7.98</v>
      </c>
    </row>
    <row r="545">
      <c r="A545" s="16" t="s">
        <v>2913</v>
      </c>
      <c r="B545" s="16" t="s">
        <v>2912</v>
      </c>
      <c r="C545" s="16" t="s">
        <v>1539</v>
      </c>
      <c r="D545" s="16">
        <v>3.19</v>
      </c>
      <c r="E545" s="16">
        <v>6.99</v>
      </c>
      <c r="F545" s="16">
        <v>22.3</v>
      </c>
    </row>
    <row r="546">
      <c r="A546" s="16" t="s">
        <v>2915</v>
      </c>
      <c r="B546" s="16" t="s">
        <v>2912</v>
      </c>
      <c r="C546" s="16" t="s">
        <v>1496</v>
      </c>
      <c r="D546" s="16">
        <v>12.0</v>
      </c>
      <c r="E546" s="16">
        <v>11.99</v>
      </c>
      <c r="F546" s="16">
        <v>143.88</v>
      </c>
    </row>
    <row r="547">
      <c r="A547" s="16" t="s">
        <v>2918</v>
      </c>
      <c r="B547" s="16" t="s">
        <v>2919</v>
      </c>
      <c r="C547" s="16" t="s">
        <v>1731</v>
      </c>
      <c r="D547" s="16">
        <v>2.0</v>
      </c>
      <c r="E547" s="16">
        <v>14.9</v>
      </c>
      <c r="F547" s="16">
        <v>29.8</v>
      </c>
    </row>
    <row r="548">
      <c r="A548" s="16" t="s">
        <v>2920</v>
      </c>
      <c r="B548" s="16" t="s">
        <v>2921</v>
      </c>
      <c r="C548" s="16" t="s">
        <v>2923</v>
      </c>
      <c r="D548" s="16">
        <v>1.0</v>
      </c>
      <c r="E548" s="16">
        <v>15.0</v>
      </c>
      <c r="F548" s="16">
        <v>15.0</v>
      </c>
    </row>
    <row r="549">
      <c r="A549" s="16" t="s">
        <v>2926</v>
      </c>
      <c r="B549" s="16" t="s">
        <v>2928</v>
      </c>
      <c r="C549" s="16" t="s">
        <v>1483</v>
      </c>
      <c r="D549" s="16">
        <v>9.055</v>
      </c>
      <c r="E549" s="16">
        <v>29.0</v>
      </c>
      <c r="F549" s="16">
        <v>262.6</v>
      </c>
    </row>
    <row r="550">
      <c r="A550" s="16" t="s">
        <v>2930</v>
      </c>
      <c r="B550" s="16" t="s">
        <v>2931</v>
      </c>
      <c r="C550" s="16" t="s">
        <v>467</v>
      </c>
      <c r="D550" s="16">
        <v>1.0</v>
      </c>
      <c r="E550" s="16">
        <v>30.0</v>
      </c>
      <c r="F550" s="16">
        <v>30.0</v>
      </c>
    </row>
    <row r="551">
      <c r="A551" s="16" t="s">
        <v>2933</v>
      </c>
      <c r="B551" s="16" t="s">
        <v>2934</v>
      </c>
      <c r="C551" s="16" t="s">
        <v>1580</v>
      </c>
      <c r="D551" s="16">
        <v>1.0</v>
      </c>
      <c r="E551" s="16">
        <v>4.99</v>
      </c>
      <c r="F551" s="16">
        <v>4.99</v>
      </c>
    </row>
    <row r="552">
      <c r="A552" s="16" t="s">
        <v>2937</v>
      </c>
      <c r="B552" s="16" t="s">
        <v>2934</v>
      </c>
      <c r="C552" s="16" t="s">
        <v>1743</v>
      </c>
      <c r="D552" s="16">
        <v>1.0</v>
      </c>
      <c r="E552" s="16">
        <v>6.99</v>
      </c>
      <c r="F552" s="16">
        <v>6.99</v>
      </c>
    </row>
    <row r="553">
      <c r="A553" s="16" t="s">
        <v>2940</v>
      </c>
      <c r="B553" s="16" t="s">
        <v>2934</v>
      </c>
      <c r="C553" s="16" t="s">
        <v>1565</v>
      </c>
      <c r="D553" s="16">
        <v>2.0</v>
      </c>
      <c r="E553" s="16">
        <v>15.99</v>
      </c>
      <c r="F553" s="16">
        <v>31.98</v>
      </c>
    </row>
    <row r="554">
      <c r="A554" s="16" t="s">
        <v>2942</v>
      </c>
      <c r="B554" s="16" t="s">
        <v>2934</v>
      </c>
      <c r="C554" s="16" t="s">
        <v>1743</v>
      </c>
      <c r="D554" s="16">
        <v>1.0</v>
      </c>
      <c r="E554" s="16">
        <v>6.99</v>
      </c>
      <c r="F554" s="16">
        <v>6.99</v>
      </c>
    </row>
    <row r="555">
      <c r="A555" s="16" t="s">
        <v>2945</v>
      </c>
      <c r="B555" s="16" t="s">
        <v>2947</v>
      </c>
      <c r="C555" s="16" t="s">
        <v>2948</v>
      </c>
      <c r="D555" s="16">
        <v>4.0</v>
      </c>
      <c r="E555" s="16">
        <v>2.13</v>
      </c>
      <c r="F555" s="16">
        <v>8.52</v>
      </c>
    </row>
    <row r="556">
      <c r="A556" s="16" t="s">
        <v>2950</v>
      </c>
      <c r="B556" s="16" t="s">
        <v>2947</v>
      </c>
      <c r="C556" s="16" t="s">
        <v>2951</v>
      </c>
      <c r="D556" s="16">
        <v>1.0</v>
      </c>
      <c r="E556" s="16">
        <v>68.12</v>
      </c>
      <c r="F556" s="16">
        <v>68.12</v>
      </c>
    </row>
    <row r="557">
      <c r="A557" s="16" t="s">
        <v>2954</v>
      </c>
      <c r="B557" s="16" t="s">
        <v>2947</v>
      </c>
      <c r="C557" s="16" t="s">
        <v>1549</v>
      </c>
      <c r="D557" s="16">
        <v>1.0</v>
      </c>
      <c r="E557" s="16">
        <v>7.99</v>
      </c>
      <c r="F557" s="16">
        <v>7.99</v>
      </c>
    </row>
    <row r="558">
      <c r="A558" s="16" t="s">
        <v>2957</v>
      </c>
      <c r="B558" s="16" t="s">
        <v>2958</v>
      </c>
      <c r="C558" s="16" t="s">
        <v>1502</v>
      </c>
      <c r="D558" s="16">
        <v>2.0</v>
      </c>
      <c r="E558" s="16">
        <v>6.49</v>
      </c>
      <c r="F558" s="16">
        <v>12.98</v>
      </c>
    </row>
    <row r="559">
      <c r="A559" s="16" t="s">
        <v>2959</v>
      </c>
      <c r="B559" s="16" t="s">
        <v>2958</v>
      </c>
      <c r="C559" s="16" t="s">
        <v>1574</v>
      </c>
      <c r="D559" s="16">
        <v>2.0</v>
      </c>
      <c r="E559" s="16">
        <v>4.49</v>
      </c>
      <c r="F559" s="16">
        <v>8.98</v>
      </c>
    </row>
    <row r="560">
      <c r="A560" s="16" t="s">
        <v>2961</v>
      </c>
      <c r="B560" s="16" t="s">
        <v>2958</v>
      </c>
      <c r="C560" s="16" t="s">
        <v>1583</v>
      </c>
      <c r="D560" s="16">
        <v>0.39</v>
      </c>
      <c r="E560" s="16">
        <v>3.99</v>
      </c>
      <c r="F560" s="16">
        <v>1.56</v>
      </c>
    </row>
    <row r="561">
      <c r="A561" s="16" t="s">
        <v>2964</v>
      </c>
      <c r="B561" s="16" t="s">
        <v>2965</v>
      </c>
      <c r="C561" s="16" t="s">
        <v>467</v>
      </c>
      <c r="D561" s="16">
        <v>1.0</v>
      </c>
      <c r="E561" s="16">
        <v>210.0</v>
      </c>
      <c r="F561" s="16">
        <v>210.0</v>
      </c>
    </row>
    <row r="562">
      <c r="A562" s="16" t="s">
        <v>2966</v>
      </c>
      <c r="B562" s="16" t="s">
        <v>2967</v>
      </c>
      <c r="C562" s="16" t="s">
        <v>467</v>
      </c>
      <c r="D562" s="16">
        <v>1.0</v>
      </c>
      <c r="E562" s="16">
        <v>43.0</v>
      </c>
      <c r="F562" s="16">
        <v>43.0</v>
      </c>
    </row>
    <row r="563">
      <c r="A563" s="16" t="s">
        <v>2969</v>
      </c>
      <c r="B563" s="16" t="s">
        <v>2970</v>
      </c>
      <c r="C563" s="16" t="s">
        <v>467</v>
      </c>
      <c r="D563" s="16">
        <v>1.0</v>
      </c>
      <c r="E563" s="16">
        <v>36.0</v>
      </c>
      <c r="F563" s="16">
        <v>36.0</v>
      </c>
    </row>
    <row r="564">
      <c r="A564" s="23" t="s">
        <v>2973</v>
      </c>
      <c r="B564" s="16" t="s">
        <v>2974</v>
      </c>
      <c r="C564" s="16" t="s">
        <v>1726</v>
      </c>
      <c r="D564" s="16">
        <v>0.59</v>
      </c>
      <c r="E564" s="16">
        <v>14.95</v>
      </c>
      <c r="F564" s="16">
        <v>8.82</v>
      </c>
    </row>
    <row r="565">
      <c r="A565" s="16" t="s">
        <v>2976</v>
      </c>
      <c r="B565" s="16" t="s">
        <v>2977</v>
      </c>
      <c r="C565" s="16" t="s">
        <v>1750</v>
      </c>
      <c r="D565" s="16">
        <v>1.0</v>
      </c>
      <c r="E565" s="16">
        <v>5.49</v>
      </c>
      <c r="F565" s="16">
        <v>5.49</v>
      </c>
    </row>
    <row r="566">
      <c r="A566" s="16" t="s">
        <v>2980</v>
      </c>
      <c r="B566" s="16" t="s">
        <v>2977</v>
      </c>
      <c r="C566" s="16" t="s">
        <v>2982</v>
      </c>
      <c r="D566" s="16">
        <v>1.0</v>
      </c>
      <c r="E566" s="16">
        <v>7.99</v>
      </c>
      <c r="F566" s="16">
        <v>7.99</v>
      </c>
    </row>
    <row r="567">
      <c r="A567" s="16" t="s">
        <v>2983</v>
      </c>
      <c r="B567" s="16" t="s">
        <v>2977</v>
      </c>
      <c r="C567" s="16" t="s">
        <v>1565</v>
      </c>
      <c r="D567" s="16">
        <v>1.0</v>
      </c>
      <c r="E567" s="16">
        <v>18.99</v>
      </c>
      <c r="F567" s="16">
        <v>18.99</v>
      </c>
    </row>
    <row r="568">
      <c r="A568" s="16" t="s">
        <v>2984</v>
      </c>
      <c r="B568" s="16" t="s">
        <v>2977</v>
      </c>
      <c r="C568" s="16" t="s">
        <v>1492</v>
      </c>
      <c r="D568" s="16">
        <v>1.97</v>
      </c>
      <c r="E568" s="16">
        <v>1.99</v>
      </c>
      <c r="F568" s="16">
        <v>3.92</v>
      </c>
    </row>
    <row r="569">
      <c r="A569" s="16" t="s">
        <v>2985</v>
      </c>
      <c r="B569" s="16" t="s">
        <v>2977</v>
      </c>
      <c r="C569" s="16" t="s">
        <v>1539</v>
      </c>
      <c r="D569" s="16">
        <v>0.96</v>
      </c>
      <c r="E569" s="16">
        <v>3.99</v>
      </c>
      <c r="F569" s="16">
        <v>3.83</v>
      </c>
    </row>
    <row r="570">
      <c r="A570" s="16" t="s">
        <v>2987</v>
      </c>
      <c r="B570" s="16" t="s">
        <v>2988</v>
      </c>
      <c r="C570" s="16" t="s">
        <v>1547</v>
      </c>
      <c r="D570" s="16">
        <v>1.0</v>
      </c>
      <c r="E570" s="16">
        <v>11496.01</v>
      </c>
      <c r="F570" s="16">
        <v>11496.01</v>
      </c>
    </row>
    <row r="571">
      <c r="A571" s="16" t="s">
        <v>2991</v>
      </c>
      <c r="B571" s="16" t="s">
        <v>2988</v>
      </c>
      <c r="C571" s="16" t="s">
        <v>1549</v>
      </c>
      <c r="D571" s="16">
        <v>1.0</v>
      </c>
      <c r="E571" s="16">
        <v>1092.12</v>
      </c>
      <c r="F571" s="16">
        <v>1092.12</v>
      </c>
    </row>
    <row r="572">
      <c r="A572" s="16" t="s">
        <v>2992</v>
      </c>
      <c r="B572" s="16" t="s">
        <v>2988</v>
      </c>
      <c r="C572" s="16" t="s">
        <v>1551</v>
      </c>
      <c r="D572" s="16">
        <v>1.0</v>
      </c>
      <c r="E572" s="16">
        <v>168.64</v>
      </c>
      <c r="F572" s="16">
        <v>168.64</v>
      </c>
    </row>
    <row r="573">
      <c r="A573" s="16" t="s">
        <v>2994</v>
      </c>
      <c r="B573" s="16" t="s">
        <v>2996</v>
      </c>
      <c r="C573" s="16" t="s">
        <v>467</v>
      </c>
      <c r="D573" s="16">
        <v>1.0</v>
      </c>
      <c r="E573" s="16">
        <v>46.0</v>
      </c>
      <c r="F573" s="16">
        <v>46.0</v>
      </c>
    </row>
    <row r="574">
      <c r="A574" s="16" t="s">
        <v>2998</v>
      </c>
      <c r="B574" s="16" t="s">
        <v>2999</v>
      </c>
      <c r="C574" s="16" t="s">
        <v>3000</v>
      </c>
      <c r="D574" s="16">
        <v>2.0</v>
      </c>
      <c r="E574" s="16">
        <v>9.99</v>
      </c>
      <c r="F574" s="16">
        <v>19.98</v>
      </c>
    </row>
    <row r="575">
      <c r="A575" s="16" t="s">
        <v>3002</v>
      </c>
      <c r="B575" s="16" t="s">
        <v>3003</v>
      </c>
      <c r="C575" s="16" t="s">
        <v>1616</v>
      </c>
      <c r="D575" s="16">
        <v>1.0</v>
      </c>
      <c r="E575" s="16">
        <v>3900.61</v>
      </c>
      <c r="F575" s="16">
        <v>3900.61</v>
      </c>
    </row>
    <row r="576">
      <c r="A576" s="16" t="s">
        <v>3008</v>
      </c>
      <c r="B576" s="16" t="s">
        <v>3003</v>
      </c>
      <c r="C576" s="16" t="s">
        <v>1549</v>
      </c>
      <c r="D576" s="16">
        <v>1.0</v>
      </c>
      <c r="E576" s="16">
        <v>370.56</v>
      </c>
      <c r="F576" s="16">
        <v>370.56</v>
      </c>
    </row>
    <row r="577">
      <c r="A577" s="16" t="s">
        <v>3009</v>
      </c>
      <c r="B577" s="16" t="s">
        <v>3010</v>
      </c>
      <c r="C577" s="16" t="s">
        <v>1492</v>
      </c>
      <c r="D577" s="16">
        <v>4.39</v>
      </c>
      <c r="E577" s="16">
        <v>3.99</v>
      </c>
      <c r="F577" s="16">
        <v>17.52</v>
      </c>
    </row>
    <row r="578">
      <c r="A578" s="16" t="s">
        <v>3014</v>
      </c>
      <c r="B578" s="16" t="s">
        <v>3010</v>
      </c>
      <c r="C578" s="16" t="s">
        <v>1539</v>
      </c>
      <c r="D578" s="16">
        <v>1.47</v>
      </c>
      <c r="E578" s="16">
        <v>6.99</v>
      </c>
      <c r="F578" s="16">
        <v>10.28</v>
      </c>
    </row>
    <row r="579">
      <c r="A579" s="16" t="s">
        <v>3016</v>
      </c>
      <c r="B579" s="16" t="s">
        <v>3010</v>
      </c>
      <c r="C579" s="16" t="s">
        <v>1489</v>
      </c>
      <c r="D579" s="16">
        <v>1.0</v>
      </c>
      <c r="E579" s="16">
        <v>4.99</v>
      </c>
      <c r="F579" s="16">
        <v>4.99</v>
      </c>
    </row>
    <row r="580">
      <c r="A580" s="16" t="s">
        <v>3017</v>
      </c>
      <c r="B580" s="16" t="s">
        <v>3010</v>
      </c>
      <c r="C580" s="16" t="s">
        <v>1496</v>
      </c>
      <c r="D580" s="16">
        <v>12.0</v>
      </c>
      <c r="E580" s="16">
        <v>7.99</v>
      </c>
      <c r="F580" s="16">
        <v>95.88</v>
      </c>
    </row>
    <row r="581">
      <c r="A581" s="16" t="s">
        <v>3019</v>
      </c>
      <c r="B581" s="16" t="s">
        <v>3020</v>
      </c>
      <c r="C581" s="23" t="s">
        <v>1475</v>
      </c>
      <c r="D581" s="16">
        <v>5.0</v>
      </c>
      <c r="E581" s="16">
        <v>23.0</v>
      </c>
      <c r="F581" s="16">
        <v>115.0</v>
      </c>
    </row>
    <row r="582">
      <c r="A582" s="16" t="s">
        <v>3023</v>
      </c>
      <c r="B582" s="16" t="s">
        <v>3024</v>
      </c>
      <c r="C582" s="16" t="s">
        <v>3025</v>
      </c>
      <c r="D582" s="16">
        <v>1.0</v>
      </c>
      <c r="E582" s="16">
        <v>243.19</v>
      </c>
      <c r="F582" s="16">
        <v>243.19</v>
      </c>
    </row>
    <row r="583">
      <c r="A583" s="16" t="s">
        <v>3026</v>
      </c>
      <c r="B583" s="16" t="s">
        <v>3027</v>
      </c>
      <c r="C583" s="16" t="s">
        <v>3028</v>
      </c>
      <c r="D583" s="16">
        <v>1.0</v>
      </c>
      <c r="E583" s="16">
        <v>65.0</v>
      </c>
      <c r="F583" s="16">
        <v>65.0</v>
      </c>
    </row>
    <row r="584">
      <c r="A584" s="16" t="s">
        <v>3030</v>
      </c>
      <c r="B584" s="16" t="s">
        <v>3032</v>
      </c>
      <c r="C584" s="16" t="s">
        <v>1505</v>
      </c>
      <c r="D584" s="16">
        <v>1.0</v>
      </c>
      <c r="E584" s="16">
        <v>16.99</v>
      </c>
      <c r="F584" s="16">
        <v>16.99</v>
      </c>
    </row>
    <row r="585">
      <c r="A585" s="16" t="s">
        <v>3034</v>
      </c>
      <c r="B585" s="16" t="s">
        <v>3032</v>
      </c>
      <c r="C585" s="16" t="s">
        <v>1568</v>
      </c>
      <c r="D585" s="16">
        <v>2.0</v>
      </c>
      <c r="E585" s="16">
        <v>7.99</v>
      </c>
      <c r="F585" s="16">
        <v>15.98</v>
      </c>
    </row>
    <row r="586">
      <c r="A586" s="16" t="s">
        <v>3036</v>
      </c>
      <c r="B586" s="16" t="s">
        <v>3032</v>
      </c>
      <c r="C586" s="16" t="s">
        <v>1565</v>
      </c>
      <c r="D586" s="16">
        <v>2.0</v>
      </c>
      <c r="E586" s="16">
        <v>16.99</v>
      </c>
      <c r="F586" s="16">
        <v>33.98</v>
      </c>
    </row>
    <row r="587">
      <c r="A587" s="16" t="s">
        <v>3039</v>
      </c>
      <c r="B587" s="16" t="s">
        <v>3032</v>
      </c>
      <c r="C587" s="16" t="s">
        <v>1583</v>
      </c>
      <c r="D587" s="16">
        <v>0.4</v>
      </c>
      <c r="E587" s="16">
        <v>3.99</v>
      </c>
      <c r="F587" s="16">
        <v>1.6</v>
      </c>
    </row>
    <row r="588">
      <c r="A588" s="16" t="s">
        <v>3041</v>
      </c>
      <c r="B588" s="16" t="s">
        <v>3032</v>
      </c>
      <c r="C588" s="16" t="s">
        <v>1580</v>
      </c>
      <c r="D588" s="16">
        <v>1.0</v>
      </c>
      <c r="E588" s="16">
        <v>4.99</v>
      </c>
      <c r="F588" s="16">
        <v>4.99</v>
      </c>
    </row>
    <row r="589">
      <c r="A589" s="16" t="s">
        <v>3045</v>
      </c>
      <c r="B589" s="16" t="s">
        <v>3032</v>
      </c>
      <c r="C589" s="16" t="s">
        <v>1502</v>
      </c>
      <c r="D589" s="16">
        <v>4.0</v>
      </c>
      <c r="E589" s="16">
        <v>6.49</v>
      </c>
      <c r="F589" s="16">
        <v>25.96</v>
      </c>
    </row>
    <row r="590">
      <c r="A590" s="16" t="s">
        <v>3047</v>
      </c>
      <c r="B590" s="16" t="s">
        <v>3048</v>
      </c>
      <c r="C590" s="23" t="s">
        <v>1475</v>
      </c>
      <c r="D590" s="16">
        <v>6.0</v>
      </c>
      <c r="E590" s="16">
        <v>23.0</v>
      </c>
      <c r="F590" s="16">
        <v>138.0</v>
      </c>
    </row>
    <row r="591">
      <c r="A591" s="16" t="s">
        <v>3051</v>
      </c>
      <c r="B591" s="16" t="s">
        <v>3052</v>
      </c>
      <c r="C591" s="16" t="s">
        <v>1483</v>
      </c>
      <c r="D591" s="16">
        <v>9.09</v>
      </c>
      <c r="E591" s="16">
        <v>29.0</v>
      </c>
      <c r="F591" s="16">
        <v>263.61</v>
      </c>
    </row>
    <row r="592">
      <c r="A592" s="16" t="s">
        <v>3054</v>
      </c>
      <c r="B592" s="16" t="s">
        <v>3055</v>
      </c>
      <c r="C592" s="16" t="s">
        <v>3056</v>
      </c>
      <c r="D592" s="16">
        <v>1.0</v>
      </c>
      <c r="E592" s="16">
        <v>259.9</v>
      </c>
      <c r="F592" s="16">
        <v>259.9</v>
      </c>
    </row>
    <row r="593">
      <c r="A593" s="16" t="s">
        <v>3059</v>
      </c>
      <c r="B593" s="16" t="s">
        <v>3055</v>
      </c>
      <c r="C593" s="16" t="s">
        <v>1549</v>
      </c>
      <c r="D593" s="16">
        <v>1.0</v>
      </c>
      <c r="E593" s="16">
        <v>9.9</v>
      </c>
      <c r="F593" s="16">
        <v>9.9</v>
      </c>
    </row>
    <row r="594">
      <c r="A594" s="16" t="s">
        <v>3063</v>
      </c>
      <c r="B594" s="16" t="s">
        <v>3064</v>
      </c>
      <c r="C594" s="23" t="s">
        <v>1475</v>
      </c>
      <c r="D594" s="16">
        <v>10.0</v>
      </c>
      <c r="E594" s="16">
        <v>23.0</v>
      </c>
      <c r="F594" s="16">
        <v>230.0</v>
      </c>
    </row>
    <row r="595">
      <c r="A595" s="16" t="s">
        <v>3065</v>
      </c>
      <c r="B595" s="16" t="s">
        <v>3066</v>
      </c>
      <c r="C595" s="16" t="s">
        <v>1726</v>
      </c>
      <c r="D595" s="16">
        <v>0.508</v>
      </c>
      <c r="E595" s="16">
        <v>14.95</v>
      </c>
      <c r="F595" s="16">
        <v>7.59</v>
      </c>
    </row>
    <row r="596">
      <c r="A596" s="16" t="s">
        <v>3069</v>
      </c>
      <c r="B596" s="16" t="s">
        <v>3071</v>
      </c>
      <c r="C596" s="16" t="s">
        <v>1578</v>
      </c>
      <c r="D596" s="16">
        <v>1.0</v>
      </c>
      <c r="E596" s="16">
        <v>22.99</v>
      </c>
      <c r="F596" s="16">
        <v>22.99</v>
      </c>
    </row>
    <row r="597">
      <c r="A597" s="16" t="s">
        <v>3074</v>
      </c>
      <c r="B597" s="16" t="s">
        <v>3071</v>
      </c>
      <c r="C597" s="16" t="s">
        <v>2586</v>
      </c>
      <c r="D597" s="16">
        <v>1.0</v>
      </c>
      <c r="E597" s="16">
        <v>4.99</v>
      </c>
      <c r="F597" s="16">
        <v>4.99</v>
      </c>
    </row>
    <row r="598">
      <c r="A598" s="16" t="s">
        <v>3076</v>
      </c>
      <c r="B598" s="16" t="s">
        <v>3078</v>
      </c>
      <c r="C598" s="16" t="s">
        <v>467</v>
      </c>
      <c r="D598" s="16">
        <v>1.0</v>
      </c>
      <c r="E598" s="16">
        <v>52.0</v>
      </c>
      <c r="F598" s="16">
        <v>52.0</v>
      </c>
    </row>
    <row r="599">
      <c r="A599" s="16" t="s">
        <v>3080</v>
      </c>
      <c r="B599" s="16" t="s">
        <v>3081</v>
      </c>
      <c r="C599" s="16" t="s">
        <v>1492</v>
      </c>
      <c r="D599" s="16">
        <v>2.615</v>
      </c>
      <c r="E599" s="16">
        <v>4.99</v>
      </c>
      <c r="F599" s="16">
        <v>13.05</v>
      </c>
    </row>
    <row r="600">
      <c r="A600" s="16" t="s">
        <v>3083</v>
      </c>
      <c r="B600" s="16" t="s">
        <v>3081</v>
      </c>
      <c r="C600" s="16" t="s">
        <v>1489</v>
      </c>
      <c r="D600" s="16">
        <v>2.0</v>
      </c>
      <c r="E600" s="16">
        <v>4.99</v>
      </c>
      <c r="F600" s="16">
        <v>9.98</v>
      </c>
    </row>
    <row r="601">
      <c r="A601" s="16" t="s">
        <v>3086</v>
      </c>
      <c r="B601" s="16" t="s">
        <v>3081</v>
      </c>
      <c r="C601" s="16" t="s">
        <v>1539</v>
      </c>
      <c r="D601" s="16">
        <v>1.0</v>
      </c>
      <c r="E601" s="16">
        <v>11.45</v>
      </c>
      <c r="F601" s="16">
        <v>11.45</v>
      </c>
    </row>
    <row r="602">
      <c r="A602" s="16" t="s">
        <v>3088</v>
      </c>
      <c r="B602" s="16" t="s">
        <v>3089</v>
      </c>
      <c r="C602" s="16" t="s">
        <v>2923</v>
      </c>
      <c r="D602" s="16">
        <v>1.0</v>
      </c>
      <c r="E602" s="16">
        <v>10.0</v>
      </c>
      <c r="F602" s="16">
        <v>10.0</v>
      </c>
    </row>
    <row r="603">
      <c r="A603" s="16" t="s">
        <v>3090</v>
      </c>
      <c r="B603" s="16" t="s">
        <v>3091</v>
      </c>
      <c r="C603" s="16" t="s">
        <v>467</v>
      </c>
      <c r="D603" s="16">
        <v>1.0</v>
      </c>
      <c r="E603" s="16">
        <v>107.0</v>
      </c>
      <c r="F603" s="16">
        <v>107.0</v>
      </c>
    </row>
    <row r="604">
      <c r="A604" s="16" t="s">
        <v>3092</v>
      </c>
      <c r="B604" s="16" t="s">
        <v>3093</v>
      </c>
      <c r="C604" s="16" t="s">
        <v>467</v>
      </c>
      <c r="D604" s="16">
        <v>1.0</v>
      </c>
      <c r="E604" s="16">
        <v>224.0</v>
      </c>
      <c r="F604" s="16">
        <v>224.0</v>
      </c>
    </row>
    <row r="605">
      <c r="A605" s="16" t="s">
        <v>3095</v>
      </c>
      <c r="B605" s="23" t="s">
        <v>3096</v>
      </c>
      <c r="C605" s="16" t="s">
        <v>1606</v>
      </c>
      <c r="D605" s="16">
        <v>1.0</v>
      </c>
      <c r="E605" s="16">
        <v>16.99</v>
      </c>
      <c r="F605" s="16">
        <v>16.99</v>
      </c>
    </row>
    <row r="606">
      <c r="A606" s="16" t="s">
        <v>3098</v>
      </c>
      <c r="B606" s="23" t="s">
        <v>3096</v>
      </c>
      <c r="C606" s="16" t="s">
        <v>3100</v>
      </c>
      <c r="D606" s="16">
        <v>1.0</v>
      </c>
      <c r="E606" s="16">
        <v>79.9</v>
      </c>
      <c r="F606" s="16">
        <v>79.9</v>
      </c>
    </row>
    <row r="607">
      <c r="A607" s="16" t="s">
        <v>3101</v>
      </c>
      <c r="B607" s="23" t="s">
        <v>3096</v>
      </c>
      <c r="C607" s="16" t="s">
        <v>1837</v>
      </c>
      <c r="D607" s="16">
        <v>10.0</v>
      </c>
      <c r="E607" s="16">
        <v>19.99</v>
      </c>
      <c r="F607" s="16">
        <v>199.9</v>
      </c>
    </row>
    <row r="608">
      <c r="A608" s="16" t="s">
        <v>3102</v>
      </c>
      <c r="B608" s="23" t="s">
        <v>3096</v>
      </c>
      <c r="C608" s="16" t="s">
        <v>3103</v>
      </c>
      <c r="D608" s="16">
        <v>1.0</v>
      </c>
      <c r="E608" s="16">
        <v>39.9</v>
      </c>
      <c r="F608" s="16">
        <v>39.9</v>
      </c>
    </row>
    <row r="609">
      <c r="A609" s="16" t="s">
        <v>3105</v>
      </c>
      <c r="B609" s="23" t="s">
        <v>3096</v>
      </c>
      <c r="C609" s="16" t="s">
        <v>1824</v>
      </c>
      <c r="D609" s="16">
        <v>1.0</v>
      </c>
      <c r="E609" s="16">
        <v>22.99</v>
      </c>
      <c r="F609" s="16">
        <v>22.99</v>
      </c>
    </row>
    <row r="610">
      <c r="A610" s="16" t="s">
        <v>3107</v>
      </c>
      <c r="B610" s="23" t="s">
        <v>3096</v>
      </c>
      <c r="C610" s="16" t="s">
        <v>3108</v>
      </c>
      <c r="D610" s="16">
        <v>1.0</v>
      </c>
      <c r="E610" s="16">
        <v>28.99</v>
      </c>
      <c r="F610" s="16">
        <v>28.99</v>
      </c>
    </row>
    <row r="611">
      <c r="A611" s="16" t="s">
        <v>3111</v>
      </c>
      <c r="B611" s="23" t="s">
        <v>3096</v>
      </c>
      <c r="C611" s="23" t="s">
        <v>3112</v>
      </c>
      <c r="D611" s="16">
        <v>2.0</v>
      </c>
      <c r="E611" s="16">
        <v>11.99</v>
      </c>
      <c r="F611" s="16">
        <v>23.98</v>
      </c>
    </row>
    <row r="612">
      <c r="A612" s="16" t="s">
        <v>3113</v>
      </c>
      <c r="B612" s="23" t="s">
        <v>3096</v>
      </c>
      <c r="C612" s="16" t="s">
        <v>1828</v>
      </c>
      <c r="D612" s="16">
        <v>1.0</v>
      </c>
      <c r="E612" s="16">
        <v>14.99</v>
      </c>
      <c r="F612" s="16">
        <v>14.99</v>
      </c>
    </row>
    <row r="613">
      <c r="A613" s="16" t="s">
        <v>3115</v>
      </c>
      <c r="B613" s="16" t="s">
        <v>3116</v>
      </c>
      <c r="C613" s="16" t="s">
        <v>1574</v>
      </c>
      <c r="D613" s="16">
        <v>3.0</v>
      </c>
      <c r="E613" s="16">
        <v>3.99</v>
      </c>
      <c r="F613" s="16">
        <v>11.97</v>
      </c>
    </row>
    <row r="614">
      <c r="A614" s="16" t="s">
        <v>3117</v>
      </c>
      <c r="B614" s="16" t="s">
        <v>3118</v>
      </c>
      <c r="C614" s="16" t="s">
        <v>1547</v>
      </c>
      <c r="D614" s="16">
        <v>1.0</v>
      </c>
      <c r="E614" s="16">
        <v>5486.75</v>
      </c>
      <c r="F614" s="16">
        <v>5486.75</v>
      </c>
    </row>
    <row r="615">
      <c r="A615" s="16" t="s">
        <v>3120</v>
      </c>
      <c r="B615" s="16" t="s">
        <v>3118</v>
      </c>
      <c r="C615" s="16" t="s">
        <v>1549</v>
      </c>
      <c r="D615" s="16">
        <v>1.0</v>
      </c>
      <c r="E615" s="16">
        <v>521.24</v>
      </c>
      <c r="F615" s="16">
        <v>521.24</v>
      </c>
    </row>
    <row r="616">
      <c r="A616" s="16" t="s">
        <v>3122</v>
      </c>
      <c r="B616" s="16" t="s">
        <v>3118</v>
      </c>
      <c r="C616" s="16" t="s">
        <v>1551</v>
      </c>
      <c r="D616" s="16">
        <v>1.0</v>
      </c>
      <c r="E616" s="16">
        <v>80.31</v>
      </c>
      <c r="F616" s="16">
        <v>80.31</v>
      </c>
    </row>
    <row r="617">
      <c r="A617" s="16" t="s">
        <v>3125</v>
      </c>
      <c r="B617" s="16" t="s">
        <v>3127</v>
      </c>
      <c r="C617" s="16" t="s">
        <v>3128</v>
      </c>
      <c r="D617" s="16">
        <v>1.0</v>
      </c>
      <c r="E617" s="16">
        <v>1192.82</v>
      </c>
      <c r="F617" s="16">
        <v>1192.82</v>
      </c>
    </row>
    <row r="618">
      <c r="A618" s="16" t="s">
        <v>3130</v>
      </c>
      <c r="B618" s="16" t="s">
        <v>3127</v>
      </c>
      <c r="C618" s="16" t="s">
        <v>1549</v>
      </c>
      <c r="D618" s="16">
        <v>1.0</v>
      </c>
      <c r="E618" s="16">
        <v>113.32</v>
      </c>
      <c r="F618" s="16">
        <v>113.32</v>
      </c>
    </row>
    <row r="619">
      <c r="A619" s="16" t="s">
        <v>3131</v>
      </c>
      <c r="B619" s="16" t="s">
        <v>3132</v>
      </c>
      <c r="C619" s="16" t="s">
        <v>3133</v>
      </c>
      <c r="D619" s="16">
        <v>1.0</v>
      </c>
      <c r="E619" s="16">
        <v>140.0</v>
      </c>
      <c r="F619" s="16">
        <v>140.0</v>
      </c>
    </row>
    <row r="620">
      <c r="A620" s="16" t="s">
        <v>3135</v>
      </c>
      <c r="B620" s="16" t="s">
        <v>3136</v>
      </c>
      <c r="C620" s="16" t="s">
        <v>1656</v>
      </c>
      <c r="D620" s="16">
        <v>5.0</v>
      </c>
      <c r="E620" s="16">
        <v>41.88</v>
      </c>
      <c r="F620" s="16">
        <v>209.4</v>
      </c>
    </row>
    <row r="621">
      <c r="A621" s="16" t="s">
        <v>3141</v>
      </c>
      <c r="B621" s="16" t="s">
        <v>3136</v>
      </c>
      <c r="C621" s="16" t="s">
        <v>1660</v>
      </c>
      <c r="D621" s="16">
        <v>2.0</v>
      </c>
      <c r="E621" s="16">
        <v>41.76</v>
      </c>
      <c r="F621" s="16">
        <v>83.52</v>
      </c>
    </row>
    <row r="622">
      <c r="A622" s="16" t="s">
        <v>3143</v>
      </c>
      <c r="B622" s="16" t="s">
        <v>3136</v>
      </c>
      <c r="C622" s="16" t="s">
        <v>2885</v>
      </c>
      <c r="D622" s="16">
        <v>2.0</v>
      </c>
      <c r="E622" s="16">
        <v>20.34</v>
      </c>
      <c r="F622" s="16">
        <v>40.68</v>
      </c>
    </row>
    <row r="623">
      <c r="A623" s="16" t="s">
        <v>3144</v>
      </c>
      <c r="B623" s="16" t="s">
        <v>3136</v>
      </c>
      <c r="C623" s="23" t="s">
        <v>1653</v>
      </c>
      <c r="D623" s="16">
        <v>2.0</v>
      </c>
      <c r="E623" s="16">
        <v>20.34</v>
      </c>
      <c r="F623" s="16">
        <v>40.68</v>
      </c>
    </row>
    <row r="624">
      <c r="A624" s="16" t="s">
        <v>3148</v>
      </c>
      <c r="B624" s="16" t="s">
        <v>3136</v>
      </c>
      <c r="C624" s="16" t="s">
        <v>1662</v>
      </c>
      <c r="D624" s="16">
        <v>2.0</v>
      </c>
      <c r="E624" s="16">
        <v>22.14</v>
      </c>
      <c r="F624" s="16">
        <v>44.28</v>
      </c>
    </row>
    <row r="625">
      <c r="A625" s="16" t="s">
        <v>3150</v>
      </c>
      <c r="B625" s="16" t="s">
        <v>3136</v>
      </c>
      <c r="C625" s="16" t="s">
        <v>1510</v>
      </c>
      <c r="D625" s="16">
        <v>15.0</v>
      </c>
      <c r="E625" s="16">
        <v>11.88</v>
      </c>
      <c r="F625" s="16">
        <v>178.2</v>
      </c>
    </row>
    <row r="626">
      <c r="A626" s="16" t="s">
        <v>3153</v>
      </c>
      <c r="B626" s="16" t="s">
        <v>3136</v>
      </c>
      <c r="C626" s="16" t="s">
        <v>1510</v>
      </c>
      <c r="D626" s="16">
        <v>1.0</v>
      </c>
      <c r="E626" s="16">
        <v>11.88</v>
      </c>
      <c r="F626" s="16">
        <v>11.88</v>
      </c>
    </row>
    <row r="627">
      <c r="A627" s="16" t="s">
        <v>3155</v>
      </c>
      <c r="B627" s="16" t="s">
        <v>3136</v>
      </c>
      <c r="C627" s="16" t="s">
        <v>1517</v>
      </c>
      <c r="D627" s="16">
        <v>10.0</v>
      </c>
      <c r="E627" s="16">
        <v>14.28</v>
      </c>
      <c r="F627" s="16">
        <v>142.8</v>
      </c>
    </row>
    <row r="628">
      <c r="A628" s="16" t="s">
        <v>3156</v>
      </c>
      <c r="B628" s="16" t="s">
        <v>3158</v>
      </c>
      <c r="C628" s="16" t="s">
        <v>1502</v>
      </c>
      <c r="D628" s="16">
        <v>3.0</v>
      </c>
      <c r="E628" s="16">
        <v>6.99</v>
      </c>
      <c r="F628" s="16">
        <v>20.97</v>
      </c>
    </row>
    <row r="629">
      <c r="A629" s="16" t="s">
        <v>3161</v>
      </c>
      <c r="B629" s="16" t="s">
        <v>3158</v>
      </c>
      <c r="C629" s="16" t="s">
        <v>1539</v>
      </c>
      <c r="D629" s="16">
        <v>2.41</v>
      </c>
      <c r="E629" s="16">
        <v>6.99</v>
      </c>
      <c r="F629" s="16">
        <v>16.85</v>
      </c>
    </row>
    <row r="630">
      <c r="A630" s="16" t="s">
        <v>3164</v>
      </c>
      <c r="B630" s="16" t="s">
        <v>3158</v>
      </c>
      <c r="C630" s="16" t="s">
        <v>1565</v>
      </c>
      <c r="D630" s="16">
        <v>2.0</v>
      </c>
      <c r="E630" s="16">
        <v>15.99</v>
      </c>
      <c r="F630" s="16">
        <v>31.98</v>
      </c>
    </row>
    <row r="631">
      <c r="A631" s="16" t="s">
        <v>3169</v>
      </c>
      <c r="B631" s="16" t="s">
        <v>3158</v>
      </c>
      <c r="C631" s="16" t="s">
        <v>1743</v>
      </c>
      <c r="D631" s="16">
        <v>2.0</v>
      </c>
      <c r="E631" s="16">
        <v>7.99</v>
      </c>
      <c r="F631" s="16">
        <v>15.98</v>
      </c>
    </row>
    <row r="632">
      <c r="A632" s="16" t="s">
        <v>3172</v>
      </c>
      <c r="B632" s="16" t="s">
        <v>3158</v>
      </c>
      <c r="C632" s="16" t="s">
        <v>1568</v>
      </c>
      <c r="D632" s="16">
        <v>2.0</v>
      </c>
      <c r="E632" s="16">
        <v>7.99</v>
      </c>
      <c r="F632" s="16">
        <v>15.98</v>
      </c>
    </row>
    <row r="633">
      <c r="A633" s="16" t="s">
        <v>3174</v>
      </c>
      <c r="B633" s="16" t="s">
        <v>3158</v>
      </c>
      <c r="C633" s="16" t="s">
        <v>1489</v>
      </c>
      <c r="D633" s="16">
        <v>1.0</v>
      </c>
      <c r="E633" s="16">
        <v>9.99</v>
      </c>
      <c r="F633" s="16">
        <v>9.99</v>
      </c>
    </row>
    <row r="634">
      <c r="A634" s="16" t="s">
        <v>3179</v>
      </c>
      <c r="B634" s="16" t="s">
        <v>3180</v>
      </c>
      <c r="C634" s="23" t="s">
        <v>1475</v>
      </c>
      <c r="D634" s="16">
        <v>10.0</v>
      </c>
      <c r="E634" s="16">
        <v>23.0</v>
      </c>
      <c r="F634" s="16">
        <v>230.0</v>
      </c>
    </row>
    <row r="635">
      <c r="A635" s="16" t="s">
        <v>3182</v>
      </c>
      <c r="B635" s="16" t="s">
        <v>3184</v>
      </c>
      <c r="C635" s="16" t="s">
        <v>1642</v>
      </c>
      <c r="D635" s="16">
        <v>5.0</v>
      </c>
      <c r="E635" s="16">
        <v>32.99</v>
      </c>
      <c r="F635" s="16">
        <v>164.95</v>
      </c>
    </row>
    <row r="636">
      <c r="A636" s="16" t="s">
        <v>3186</v>
      </c>
      <c r="B636" s="16" t="s">
        <v>3184</v>
      </c>
      <c r="C636" s="16" t="s">
        <v>1642</v>
      </c>
      <c r="D636" s="16">
        <v>4.0</v>
      </c>
      <c r="E636" s="16">
        <v>32.99</v>
      </c>
      <c r="F636" s="16">
        <v>131.96</v>
      </c>
    </row>
    <row r="637">
      <c r="A637" s="16" t="s">
        <v>3189</v>
      </c>
      <c r="B637" s="16" t="s">
        <v>3184</v>
      </c>
      <c r="C637" s="16" t="s">
        <v>1606</v>
      </c>
      <c r="D637" s="16">
        <v>1.0</v>
      </c>
      <c r="E637" s="16">
        <v>16.99</v>
      </c>
      <c r="F637" s="16">
        <v>16.99</v>
      </c>
    </row>
    <row r="638">
      <c r="A638" s="16" t="s">
        <v>3190</v>
      </c>
      <c r="B638" s="16" t="s">
        <v>3184</v>
      </c>
      <c r="C638" s="16" t="s">
        <v>1606</v>
      </c>
      <c r="D638" s="16">
        <v>1.0</v>
      </c>
      <c r="E638" s="16">
        <v>19.9</v>
      </c>
      <c r="F638" s="16">
        <v>19.9</v>
      </c>
    </row>
    <row r="639">
      <c r="A639" s="16" t="s">
        <v>3191</v>
      </c>
      <c r="B639" s="16" t="s">
        <v>3192</v>
      </c>
      <c r="C639" s="16" t="s">
        <v>210</v>
      </c>
      <c r="D639" s="16">
        <v>1.0</v>
      </c>
      <c r="E639" s="16">
        <v>262.76</v>
      </c>
      <c r="F639" s="16">
        <v>262.76</v>
      </c>
    </row>
    <row r="640">
      <c r="A640" s="16" t="s">
        <v>3194</v>
      </c>
      <c r="B640" s="16" t="s">
        <v>3192</v>
      </c>
      <c r="C640" s="16" t="s">
        <v>1549</v>
      </c>
      <c r="D640" s="16">
        <v>1.0</v>
      </c>
      <c r="E640" s="16">
        <v>24.96</v>
      </c>
      <c r="F640" s="16">
        <v>24.96</v>
      </c>
    </row>
    <row r="641">
      <c r="A641" s="16" t="s">
        <v>3195</v>
      </c>
      <c r="B641" s="16" t="s">
        <v>3196</v>
      </c>
      <c r="C641" s="16" t="s">
        <v>1483</v>
      </c>
      <c r="D641" s="16">
        <v>7.01</v>
      </c>
      <c r="E641" s="16">
        <v>32.5</v>
      </c>
      <c r="F641" s="16">
        <v>227.83</v>
      </c>
    </row>
    <row r="642">
      <c r="A642" s="16" t="s">
        <v>3198</v>
      </c>
      <c r="B642" s="16" t="s">
        <v>3196</v>
      </c>
      <c r="C642" s="16" t="s">
        <v>1496</v>
      </c>
      <c r="D642" s="16">
        <v>10.0</v>
      </c>
      <c r="E642" s="16">
        <v>14.5</v>
      </c>
      <c r="F642" s="16">
        <v>145.0</v>
      </c>
    </row>
    <row r="643">
      <c r="A643" s="16" t="s">
        <v>3199</v>
      </c>
      <c r="B643" s="16" t="s">
        <v>3200</v>
      </c>
      <c r="C643" s="23" t="s">
        <v>1475</v>
      </c>
      <c r="D643" s="16">
        <v>15.0</v>
      </c>
      <c r="E643" s="16">
        <v>23.0</v>
      </c>
      <c r="F643" s="16">
        <v>345.0</v>
      </c>
    </row>
    <row r="644">
      <c r="A644" s="23" t="s">
        <v>3201</v>
      </c>
      <c r="B644" s="16" t="s">
        <v>3203</v>
      </c>
      <c r="C644" s="16" t="s">
        <v>467</v>
      </c>
      <c r="D644" s="16">
        <v>1.0</v>
      </c>
      <c r="E644" s="16">
        <v>222.0</v>
      </c>
      <c r="F644" s="16">
        <v>222.0</v>
      </c>
    </row>
    <row r="645">
      <c r="A645" s="16" t="s">
        <v>3204</v>
      </c>
      <c r="B645" s="16" t="s">
        <v>3205</v>
      </c>
      <c r="C645" s="16" t="s">
        <v>467</v>
      </c>
      <c r="D645" s="16">
        <v>1.0</v>
      </c>
      <c r="E645" s="16">
        <v>150.0</v>
      </c>
      <c r="F645" s="16">
        <v>150.0</v>
      </c>
    </row>
    <row r="646">
      <c r="A646" s="16" t="s">
        <v>3208</v>
      </c>
      <c r="B646" s="16" t="s">
        <v>3210</v>
      </c>
      <c r="C646" s="16" t="s">
        <v>1571</v>
      </c>
      <c r="D646" s="16">
        <v>1.0</v>
      </c>
      <c r="E646" s="16">
        <v>1.09</v>
      </c>
      <c r="F646" s="16">
        <v>1.09</v>
      </c>
    </row>
    <row r="647">
      <c r="A647" s="16" t="s">
        <v>3211</v>
      </c>
      <c r="B647" s="16" t="s">
        <v>3210</v>
      </c>
      <c r="C647" s="16" t="s">
        <v>1571</v>
      </c>
      <c r="D647" s="16">
        <v>5.0</v>
      </c>
      <c r="E647" s="16">
        <v>1.19</v>
      </c>
      <c r="F647" s="16">
        <v>5.95</v>
      </c>
    </row>
    <row r="648">
      <c r="A648" s="16" t="s">
        <v>3212</v>
      </c>
      <c r="B648" s="16" t="s">
        <v>3213</v>
      </c>
      <c r="C648" s="16" t="s">
        <v>1489</v>
      </c>
      <c r="D648" s="16">
        <v>2.0</v>
      </c>
      <c r="E648" s="16">
        <v>8.99</v>
      </c>
      <c r="F648" s="16">
        <v>17.98</v>
      </c>
    </row>
    <row r="649">
      <c r="A649" s="16" t="s">
        <v>3215</v>
      </c>
      <c r="B649" s="16" t="s">
        <v>3213</v>
      </c>
      <c r="C649" s="16" t="s">
        <v>1492</v>
      </c>
      <c r="D649" s="16">
        <v>4.79</v>
      </c>
      <c r="E649" s="16">
        <v>4.99</v>
      </c>
      <c r="F649" s="16">
        <v>23.9</v>
      </c>
    </row>
    <row r="650">
      <c r="A650" s="16" t="s">
        <v>3216</v>
      </c>
      <c r="B650" s="16" t="s">
        <v>3218</v>
      </c>
      <c r="C650" s="16" t="s">
        <v>1471</v>
      </c>
      <c r="D650" s="16">
        <v>1.0</v>
      </c>
      <c r="E650" s="16">
        <v>415.56</v>
      </c>
      <c r="F650" s="16">
        <v>415.56</v>
      </c>
    </row>
    <row r="651">
      <c r="A651" s="16" t="s">
        <v>3220</v>
      </c>
      <c r="B651" s="16" t="s">
        <v>3221</v>
      </c>
      <c r="C651" s="16" t="s">
        <v>467</v>
      </c>
      <c r="D651" s="16">
        <v>1.0</v>
      </c>
      <c r="E651" s="16">
        <v>80.0</v>
      </c>
      <c r="F651" s="16">
        <v>80.0</v>
      </c>
    </row>
    <row r="652">
      <c r="A652" s="23" t="s">
        <v>3222</v>
      </c>
      <c r="B652" s="16" t="s">
        <v>3223</v>
      </c>
      <c r="C652" s="16" t="s">
        <v>1547</v>
      </c>
      <c r="D652" s="16">
        <v>1.0</v>
      </c>
      <c r="E652" s="16">
        <v>6736.01</v>
      </c>
      <c r="F652" s="16">
        <v>6736.01</v>
      </c>
    </row>
    <row r="653">
      <c r="A653" s="16" t="s">
        <v>3224</v>
      </c>
      <c r="B653" s="16" t="s">
        <v>3223</v>
      </c>
      <c r="C653" s="16" t="s">
        <v>1549</v>
      </c>
      <c r="D653" s="16">
        <v>1.0</v>
      </c>
      <c r="E653" s="16">
        <v>639.92</v>
      </c>
      <c r="F653" s="16">
        <v>639.92</v>
      </c>
    </row>
    <row r="654">
      <c r="A654" s="16" t="s">
        <v>3226</v>
      </c>
      <c r="B654" s="16" t="s">
        <v>3223</v>
      </c>
      <c r="C654" s="16" t="s">
        <v>1551</v>
      </c>
      <c r="D654" s="16">
        <v>1.0</v>
      </c>
      <c r="E654" s="16">
        <v>105.57</v>
      </c>
      <c r="F654" s="16">
        <v>105.57</v>
      </c>
    </row>
    <row r="655">
      <c r="A655" s="16" t="s">
        <v>3228</v>
      </c>
      <c r="B655" s="16" t="s">
        <v>3229</v>
      </c>
      <c r="C655" s="16" t="s">
        <v>3230</v>
      </c>
      <c r="D655" s="16">
        <v>1.0</v>
      </c>
      <c r="E655" s="16">
        <v>118.0</v>
      </c>
      <c r="F655" s="16">
        <v>118.0</v>
      </c>
    </row>
    <row r="656">
      <c r="A656" s="16" t="s">
        <v>3232</v>
      </c>
      <c r="B656" s="16" t="s">
        <v>3233</v>
      </c>
      <c r="C656" s="16" t="s">
        <v>1502</v>
      </c>
      <c r="D656" s="16">
        <v>2.0</v>
      </c>
      <c r="E656" s="16">
        <v>6.99</v>
      </c>
      <c r="F656" s="16">
        <v>13.98</v>
      </c>
    </row>
    <row r="657">
      <c r="A657" s="16" t="s">
        <v>3234</v>
      </c>
      <c r="B657" s="16" t="s">
        <v>3233</v>
      </c>
      <c r="C657" s="16" t="s">
        <v>1496</v>
      </c>
      <c r="D657" s="16">
        <v>3.0</v>
      </c>
      <c r="E657" s="16">
        <v>12.99</v>
      </c>
      <c r="F657" s="16">
        <v>38.97</v>
      </c>
    </row>
    <row r="658">
      <c r="A658" s="16" t="s">
        <v>3235</v>
      </c>
      <c r="B658" s="16" t="s">
        <v>3233</v>
      </c>
      <c r="C658" s="16" t="s">
        <v>1539</v>
      </c>
      <c r="D658" s="16">
        <v>2.06</v>
      </c>
      <c r="E658" s="16">
        <v>6.99</v>
      </c>
      <c r="F658" s="16">
        <v>14.4</v>
      </c>
    </row>
    <row r="659">
      <c r="A659" s="16" t="s">
        <v>3237</v>
      </c>
      <c r="B659" s="16" t="s">
        <v>3233</v>
      </c>
      <c r="C659" s="16" t="s">
        <v>1568</v>
      </c>
      <c r="D659" s="16">
        <v>2.0</v>
      </c>
      <c r="E659" s="16">
        <v>6.89</v>
      </c>
      <c r="F659" s="16">
        <v>13.78</v>
      </c>
    </row>
    <row r="660">
      <c r="A660" s="16" t="s">
        <v>3240</v>
      </c>
      <c r="B660" s="16" t="s">
        <v>3233</v>
      </c>
      <c r="C660" s="16" t="s">
        <v>1565</v>
      </c>
      <c r="D660" s="16">
        <v>2.0</v>
      </c>
      <c r="E660" s="16">
        <v>15.99</v>
      </c>
      <c r="F660" s="16">
        <v>31.98</v>
      </c>
    </row>
    <row r="661">
      <c r="A661" s="16" t="s">
        <v>3242</v>
      </c>
      <c r="B661" s="16" t="s">
        <v>3244</v>
      </c>
      <c r="C661" s="16" t="s">
        <v>467</v>
      </c>
      <c r="D661" s="16">
        <v>1.0</v>
      </c>
      <c r="E661" s="16">
        <v>75.0</v>
      </c>
      <c r="F661" s="16">
        <v>75.0</v>
      </c>
    </row>
    <row r="662">
      <c r="A662" s="16" t="s">
        <v>3245</v>
      </c>
      <c r="B662" s="16" t="s">
        <v>3246</v>
      </c>
      <c r="C662" s="16" t="s">
        <v>3247</v>
      </c>
      <c r="D662" s="16">
        <v>1.0</v>
      </c>
      <c r="E662" s="16">
        <v>102.87</v>
      </c>
      <c r="F662" s="16">
        <v>102.87</v>
      </c>
    </row>
    <row r="663">
      <c r="A663" s="16" t="s">
        <v>3250</v>
      </c>
      <c r="B663" s="16" t="s">
        <v>3252</v>
      </c>
      <c r="C663" s="16" t="s">
        <v>3247</v>
      </c>
      <c r="D663" s="16">
        <v>1.0</v>
      </c>
      <c r="E663" s="16">
        <v>187.79</v>
      </c>
      <c r="F663" s="16">
        <v>187.79</v>
      </c>
    </row>
    <row r="664">
      <c r="A664" s="16" t="s">
        <v>3254</v>
      </c>
      <c r="B664" s="16" t="s">
        <v>3255</v>
      </c>
      <c r="C664" s="23" t="s">
        <v>1475</v>
      </c>
      <c r="D664" s="16">
        <v>12.0</v>
      </c>
      <c r="E664" s="16">
        <v>23.0</v>
      </c>
      <c r="F664" s="16">
        <v>276.0</v>
      </c>
    </row>
    <row r="665">
      <c r="A665" s="16" t="s">
        <v>3257</v>
      </c>
      <c r="B665" s="16" t="s">
        <v>3258</v>
      </c>
      <c r="C665" s="16" t="s">
        <v>3247</v>
      </c>
      <c r="D665" s="16">
        <v>1.0</v>
      </c>
      <c r="E665" s="16">
        <v>430.06</v>
      </c>
      <c r="F665" s="16">
        <v>430.06</v>
      </c>
    </row>
    <row r="666">
      <c r="A666" s="16" t="s">
        <v>3261</v>
      </c>
      <c r="B666" s="16" t="s">
        <v>3262</v>
      </c>
      <c r="C666" s="16" t="s">
        <v>1483</v>
      </c>
      <c r="D666" s="16">
        <v>5.102</v>
      </c>
      <c r="E666" s="16">
        <v>32.5</v>
      </c>
      <c r="F666" s="16">
        <v>165.82</v>
      </c>
    </row>
    <row r="667">
      <c r="A667" s="16" t="s">
        <v>3263</v>
      </c>
      <c r="B667" s="16" t="s">
        <v>3262</v>
      </c>
      <c r="C667" s="16" t="s">
        <v>1496</v>
      </c>
      <c r="D667" s="16">
        <v>10.0</v>
      </c>
      <c r="E667" s="16">
        <v>14.5</v>
      </c>
      <c r="F667" s="16">
        <v>145.0</v>
      </c>
    </row>
    <row r="668">
      <c r="A668" s="16" t="s">
        <v>3266</v>
      </c>
      <c r="B668" s="16" t="s">
        <v>3267</v>
      </c>
      <c r="C668" s="16" t="s">
        <v>3268</v>
      </c>
      <c r="D668" s="16">
        <v>1.0</v>
      </c>
      <c r="E668" s="16">
        <v>1131.0</v>
      </c>
      <c r="F668" s="16">
        <v>1131.0</v>
      </c>
    </row>
    <row r="669">
      <c r="A669" s="16" t="s">
        <v>3269</v>
      </c>
      <c r="B669" s="16" t="s">
        <v>3271</v>
      </c>
      <c r="C669" s="16" t="s">
        <v>467</v>
      </c>
      <c r="D669" s="16">
        <v>1.0</v>
      </c>
      <c r="E669" s="16">
        <v>52.0</v>
      </c>
      <c r="F669" s="16">
        <v>52.0</v>
      </c>
    </row>
    <row r="670">
      <c r="A670" s="16" t="s">
        <v>3274</v>
      </c>
      <c r="B670" s="16" t="s">
        <v>3275</v>
      </c>
      <c r="C670" s="16" t="s">
        <v>3247</v>
      </c>
      <c r="D670" s="16">
        <v>1.0</v>
      </c>
      <c r="E670" s="16">
        <v>21.0</v>
      </c>
      <c r="F670" s="16">
        <v>21.0</v>
      </c>
    </row>
    <row r="671">
      <c r="A671" s="16" t="s">
        <v>3276</v>
      </c>
      <c r="B671" s="16" t="s">
        <v>3280</v>
      </c>
      <c r="C671" s="16" t="s">
        <v>3247</v>
      </c>
      <c r="D671" s="16">
        <v>1.0</v>
      </c>
      <c r="E671" s="16">
        <v>25.8</v>
      </c>
      <c r="F671" s="16">
        <v>25.8</v>
      </c>
    </row>
    <row r="672">
      <c r="A672" s="16" t="s">
        <v>3281</v>
      </c>
      <c r="B672" s="16" t="s">
        <v>3282</v>
      </c>
      <c r="C672" s="16" t="s">
        <v>3247</v>
      </c>
      <c r="D672" s="16">
        <v>1.0</v>
      </c>
      <c r="E672" s="16">
        <v>52.97</v>
      </c>
      <c r="F672" s="16">
        <v>52.97</v>
      </c>
    </row>
    <row r="673">
      <c r="A673" s="16" t="s">
        <v>3285</v>
      </c>
      <c r="B673" s="16" t="s">
        <v>3287</v>
      </c>
      <c r="C673" s="16" t="s">
        <v>1731</v>
      </c>
      <c r="D673" s="16">
        <v>7.0</v>
      </c>
      <c r="E673" s="16">
        <v>5.5</v>
      </c>
      <c r="F673" s="16">
        <v>38.5</v>
      </c>
    </row>
    <row r="674">
      <c r="A674" s="16" t="s">
        <v>3288</v>
      </c>
      <c r="B674" s="16" t="s">
        <v>3289</v>
      </c>
      <c r="C674" s="16" t="s">
        <v>3247</v>
      </c>
      <c r="D674" s="16">
        <v>1.0</v>
      </c>
      <c r="E674" s="16">
        <v>32.0</v>
      </c>
      <c r="F674" s="16">
        <v>32.0</v>
      </c>
    </row>
    <row r="675">
      <c r="A675" s="16" t="s">
        <v>3293</v>
      </c>
      <c r="B675" s="16" t="s">
        <v>3296</v>
      </c>
      <c r="C675" s="16" t="s">
        <v>3247</v>
      </c>
      <c r="D675" s="16">
        <v>1.0</v>
      </c>
      <c r="E675" s="16">
        <v>110.67</v>
      </c>
      <c r="F675" s="16">
        <v>110.67</v>
      </c>
    </row>
    <row r="676">
      <c r="A676" s="16" t="s">
        <v>3297</v>
      </c>
      <c r="B676" s="16" t="s">
        <v>3298</v>
      </c>
      <c r="C676" s="16" t="s">
        <v>3247</v>
      </c>
      <c r="D676" s="16">
        <v>1.0</v>
      </c>
      <c r="E676" s="16">
        <v>17.0</v>
      </c>
      <c r="F676" s="16">
        <v>17.0</v>
      </c>
    </row>
    <row r="677">
      <c r="A677" s="16" t="s">
        <v>3299</v>
      </c>
      <c r="B677" s="16" t="s">
        <v>3301</v>
      </c>
      <c r="C677" s="16" t="s">
        <v>3247</v>
      </c>
      <c r="D677" s="16">
        <v>1.0</v>
      </c>
      <c r="E677" s="16">
        <v>110.67</v>
      </c>
      <c r="F677" s="16">
        <v>110.67</v>
      </c>
    </row>
    <row r="678">
      <c r="A678" s="16" t="s">
        <v>3302</v>
      </c>
      <c r="B678" s="16" t="s">
        <v>3303</v>
      </c>
      <c r="C678" s="16" t="s">
        <v>1616</v>
      </c>
      <c r="D678" s="16">
        <v>1.0</v>
      </c>
      <c r="E678" s="16">
        <v>4862.56</v>
      </c>
      <c r="F678" s="16">
        <v>4862.56</v>
      </c>
    </row>
    <row r="679">
      <c r="A679" s="16" t="s">
        <v>3306</v>
      </c>
      <c r="B679" s="16" t="s">
        <v>3303</v>
      </c>
      <c r="C679" s="16" t="s">
        <v>1549</v>
      </c>
      <c r="D679" s="16">
        <v>1.0</v>
      </c>
      <c r="E679" s="16">
        <v>461.94</v>
      </c>
      <c r="F679" s="16">
        <v>461.94</v>
      </c>
    </row>
    <row r="680">
      <c r="A680" s="16" t="s">
        <v>3307</v>
      </c>
      <c r="B680" s="16" t="s">
        <v>3308</v>
      </c>
      <c r="C680" s="16" t="s">
        <v>3247</v>
      </c>
      <c r="D680" s="16">
        <v>1.0</v>
      </c>
      <c r="E680" s="16">
        <v>849.91</v>
      </c>
      <c r="F680" s="16">
        <v>849.91</v>
      </c>
    </row>
    <row r="681">
      <c r="A681" s="16" t="s">
        <v>3309</v>
      </c>
      <c r="B681" s="16" t="s">
        <v>3310</v>
      </c>
      <c r="C681" s="16" t="s">
        <v>3311</v>
      </c>
      <c r="D681" s="16">
        <v>1.0</v>
      </c>
      <c r="E681" s="16">
        <v>117.0</v>
      </c>
      <c r="F681" s="16">
        <v>117.0</v>
      </c>
    </row>
    <row r="682">
      <c r="A682" s="16" t="s">
        <v>3314</v>
      </c>
      <c r="B682" s="16" t="s">
        <v>3310</v>
      </c>
      <c r="C682" s="16" t="s">
        <v>3315</v>
      </c>
      <c r="D682" s="16">
        <v>4.0</v>
      </c>
      <c r="E682" s="16">
        <v>21.5</v>
      </c>
      <c r="F682" s="16">
        <v>86.0</v>
      </c>
    </row>
    <row r="683">
      <c r="A683" s="16" t="s">
        <v>3316</v>
      </c>
      <c r="B683" s="16" t="s">
        <v>3318</v>
      </c>
      <c r="C683" s="16" t="s">
        <v>3247</v>
      </c>
      <c r="D683" s="16">
        <v>1.0</v>
      </c>
      <c r="E683" s="16">
        <v>50.0</v>
      </c>
      <c r="F683" s="16">
        <v>50.0</v>
      </c>
    </row>
    <row r="684">
      <c r="A684" s="16" t="s">
        <v>3321</v>
      </c>
      <c r="B684" s="16" t="s">
        <v>3322</v>
      </c>
      <c r="C684" s="16" t="s">
        <v>1483</v>
      </c>
      <c r="D684" s="16">
        <v>9.07</v>
      </c>
      <c r="E684" s="16">
        <v>32.5</v>
      </c>
      <c r="F684" s="16">
        <v>294.77</v>
      </c>
    </row>
    <row r="685">
      <c r="A685" s="16" t="s">
        <v>3323</v>
      </c>
      <c r="B685" s="16" t="s">
        <v>3324</v>
      </c>
      <c r="C685" s="16" t="s">
        <v>210</v>
      </c>
      <c r="D685" s="16">
        <v>1.0</v>
      </c>
      <c r="E685" s="16">
        <v>2475.0</v>
      </c>
      <c r="F685" s="16">
        <v>2475.0</v>
      </c>
    </row>
    <row r="686">
      <c r="A686" s="16" t="s">
        <v>3325</v>
      </c>
      <c r="B686" s="16" t="s">
        <v>3324</v>
      </c>
      <c r="C686" s="16" t="s">
        <v>1551</v>
      </c>
      <c r="D686" s="16">
        <v>1.0</v>
      </c>
      <c r="E686" s="16">
        <v>167.06</v>
      </c>
      <c r="F686" s="16">
        <v>167.06</v>
      </c>
    </row>
    <row r="687">
      <c r="A687" s="16" t="s">
        <v>3327</v>
      </c>
      <c r="B687" s="16" t="s">
        <v>3328</v>
      </c>
      <c r="C687" s="16" t="s">
        <v>3329</v>
      </c>
      <c r="D687" s="16">
        <v>1.0</v>
      </c>
      <c r="E687" s="16">
        <v>31.07</v>
      </c>
      <c r="F687" s="16">
        <v>31.07</v>
      </c>
    </row>
    <row r="688">
      <c r="A688" s="16" t="s">
        <v>3331</v>
      </c>
      <c r="B688" s="16" t="s">
        <v>3333</v>
      </c>
      <c r="C688" s="23" t="s">
        <v>1475</v>
      </c>
      <c r="D688" s="16">
        <v>8.0</v>
      </c>
      <c r="E688" s="16">
        <v>23.0</v>
      </c>
      <c r="F688" s="16">
        <v>184.0</v>
      </c>
    </row>
    <row r="689">
      <c r="A689" s="16" t="s">
        <v>3335</v>
      </c>
      <c r="B689" s="16" t="s">
        <v>3336</v>
      </c>
      <c r="C689" s="16" t="s">
        <v>1539</v>
      </c>
      <c r="D689" s="16">
        <v>2.79</v>
      </c>
      <c r="E689" s="16">
        <v>6.99</v>
      </c>
      <c r="F689" s="16">
        <v>19.5</v>
      </c>
    </row>
    <row r="690">
      <c r="A690" s="16" t="s">
        <v>3337</v>
      </c>
      <c r="B690" s="16" t="s">
        <v>3336</v>
      </c>
      <c r="C690" s="16" t="s">
        <v>1565</v>
      </c>
      <c r="D690" s="16">
        <v>1.0</v>
      </c>
      <c r="E690" s="16">
        <v>13.99</v>
      </c>
      <c r="F690" s="16">
        <v>13.99</v>
      </c>
    </row>
    <row r="691">
      <c r="A691" s="16" t="s">
        <v>3338</v>
      </c>
      <c r="B691" s="16" t="s">
        <v>3336</v>
      </c>
      <c r="C691" s="16" t="s">
        <v>1580</v>
      </c>
      <c r="D691" s="16">
        <v>1.0</v>
      </c>
      <c r="E691" s="16">
        <v>4.99</v>
      </c>
      <c r="F691" s="16">
        <v>4.99</v>
      </c>
    </row>
    <row r="692">
      <c r="A692" s="16" t="s">
        <v>3340</v>
      </c>
      <c r="B692" s="16" t="s">
        <v>3336</v>
      </c>
      <c r="C692" s="16" t="s">
        <v>1583</v>
      </c>
      <c r="D692" s="16">
        <v>0.71</v>
      </c>
      <c r="E692" s="16">
        <v>7.99</v>
      </c>
      <c r="F692" s="16">
        <v>5.67</v>
      </c>
    </row>
    <row r="693">
      <c r="A693" s="16" t="s">
        <v>3343</v>
      </c>
      <c r="B693" s="16" t="s">
        <v>3336</v>
      </c>
      <c r="C693" s="16" t="s">
        <v>1492</v>
      </c>
      <c r="D693" s="16">
        <v>3.1</v>
      </c>
      <c r="E693" s="16">
        <v>4.49</v>
      </c>
      <c r="F693" s="16">
        <v>13.92</v>
      </c>
    </row>
    <row r="694">
      <c r="A694" s="16" t="s">
        <v>3345</v>
      </c>
      <c r="B694" s="16" t="s">
        <v>3336</v>
      </c>
      <c r="C694" s="16" t="s">
        <v>1489</v>
      </c>
      <c r="D694" s="16">
        <v>2.0</v>
      </c>
      <c r="E694" s="16">
        <v>9.99</v>
      </c>
      <c r="F694" s="16">
        <v>19.98</v>
      </c>
    </row>
    <row r="695">
      <c r="A695" s="16" t="s">
        <v>3346</v>
      </c>
      <c r="B695" s="16" t="s">
        <v>3347</v>
      </c>
      <c r="C695" s="16" t="s">
        <v>467</v>
      </c>
      <c r="D695" s="16">
        <v>1.0</v>
      </c>
      <c r="E695" s="16">
        <v>204.0</v>
      </c>
      <c r="F695" s="16">
        <v>204.0</v>
      </c>
    </row>
    <row r="696">
      <c r="A696" s="16" t="s">
        <v>3349</v>
      </c>
      <c r="B696" s="16" t="s">
        <v>3350</v>
      </c>
      <c r="C696" s="16" t="s">
        <v>467</v>
      </c>
      <c r="D696" s="16">
        <v>1.0</v>
      </c>
      <c r="E696" s="16">
        <v>110.0</v>
      </c>
      <c r="F696" s="16">
        <v>110.0</v>
      </c>
    </row>
    <row r="697">
      <c r="A697" s="16" t="s">
        <v>3351</v>
      </c>
      <c r="B697" s="16" t="s">
        <v>3353</v>
      </c>
      <c r="C697" s="16" t="s">
        <v>1726</v>
      </c>
      <c r="D697" s="16">
        <v>0.58</v>
      </c>
      <c r="E697" s="16">
        <v>12.99</v>
      </c>
      <c r="F697" s="16">
        <v>7.53</v>
      </c>
    </row>
    <row r="698">
      <c r="A698" s="16" t="s">
        <v>3356</v>
      </c>
      <c r="B698" s="16" t="s">
        <v>3353</v>
      </c>
      <c r="C698" s="16" t="s">
        <v>3357</v>
      </c>
      <c r="D698" s="16">
        <v>5.0</v>
      </c>
      <c r="E698" s="16">
        <v>5.99</v>
      </c>
      <c r="F698" s="16">
        <v>29.95</v>
      </c>
    </row>
    <row r="699">
      <c r="A699" s="23" t="s">
        <v>3358</v>
      </c>
      <c r="B699" s="16" t="s">
        <v>3359</v>
      </c>
      <c r="C699" s="16" t="s">
        <v>210</v>
      </c>
      <c r="D699" s="16">
        <v>350.0</v>
      </c>
      <c r="E699" s="16">
        <v>0.29</v>
      </c>
      <c r="F699" s="16">
        <v>101.5</v>
      </c>
    </row>
    <row r="700">
      <c r="A700" s="16" t="s">
        <v>3360</v>
      </c>
      <c r="B700" s="16" t="s">
        <v>3361</v>
      </c>
      <c r="C700" s="16" t="s">
        <v>1662</v>
      </c>
      <c r="D700" s="16">
        <v>3.0</v>
      </c>
      <c r="E700" s="16">
        <v>22.14</v>
      </c>
      <c r="F700" s="16">
        <v>66.42</v>
      </c>
    </row>
    <row r="701">
      <c r="A701" s="16" t="s">
        <v>3364</v>
      </c>
      <c r="B701" s="16" t="s">
        <v>3361</v>
      </c>
      <c r="C701" s="16" t="s">
        <v>1517</v>
      </c>
      <c r="D701" s="16">
        <v>10.0</v>
      </c>
      <c r="E701" s="16">
        <v>14.28</v>
      </c>
      <c r="F701" s="16">
        <v>142.8</v>
      </c>
    </row>
    <row r="702">
      <c r="A702" s="16" t="s">
        <v>3367</v>
      </c>
      <c r="B702" s="16" t="s">
        <v>3361</v>
      </c>
      <c r="C702" s="16" t="s">
        <v>1510</v>
      </c>
      <c r="D702" s="16">
        <v>15.0</v>
      </c>
      <c r="E702" s="16">
        <v>11.88</v>
      </c>
      <c r="F702" s="16">
        <v>178.2</v>
      </c>
    </row>
    <row r="703">
      <c r="A703" s="16" t="s">
        <v>3368</v>
      </c>
      <c r="B703" s="16" t="s">
        <v>3369</v>
      </c>
      <c r="C703" s="16" t="s">
        <v>1502</v>
      </c>
      <c r="D703" s="16">
        <v>3.0</v>
      </c>
      <c r="E703" s="16">
        <v>6.99</v>
      </c>
      <c r="F703" s="16">
        <v>20.97</v>
      </c>
    </row>
    <row r="704">
      <c r="A704" s="16" t="s">
        <v>3373</v>
      </c>
      <c r="B704" s="16" t="s">
        <v>3369</v>
      </c>
      <c r="C704" s="16" t="s">
        <v>2586</v>
      </c>
      <c r="D704" s="16">
        <v>1.0</v>
      </c>
      <c r="E704" s="16">
        <v>4.79</v>
      </c>
      <c r="F704" s="16">
        <v>4.79</v>
      </c>
    </row>
    <row r="705">
      <c r="A705" s="16" t="s">
        <v>3376</v>
      </c>
      <c r="B705" s="16" t="s">
        <v>3369</v>
      </c>
      <c r="C705" s="16" t="s">
        <v>1574</v>
      </c>
      <c r="D705" s="16">
        <v>3.0</v>
      </c>
      <c r="E705" s="16">
        <v>4.69</v>
      </c>
      <c r="F705" s="16">
        <v>14.07</v>
      </c>
    </row>
    <row r="706">
      <c r="A706" s="16" t="s">
        <v>3378</v>
      </c>
      <c r="B706" s="16">
        <v>1894.0</v>
      </c>
      <c r="C706" s="16" t="s">
        <v>401</v>
      </c>
      <c r="D706" s="20">
        <v>1.0</v>
      </c>
      <c r="E706" s="20">
        <v>7000.0</v>
      </c>
      <c r="F706" s="20">
        <v>7000.0</v>
      </c>
    </row>
    <row r="707">
      <c r="A707" s="16" t="s">
        <v>3382</v>
      </c>
      <c r="B707" s="16" t="s">
        <v>3383</v>
      </c>
      <c r="C707" s="16" t="s">
        <v>1510</v>
      </c>
      <c r="D707" s="16">
        <v>1.0</v>
      </c>
      <c r="E707" s="16">
        <v>11.88</v>
      </c>
      <c r="F707" s="16">
        <v>11.88</v>
      </c>
    </row>
    <row r="708">
      <c r="A708" s="16" t="s">
        <v>3385</v>
      </c>
      <c r="B708" s="16" t="s">
        <v>3386</v>
      </c>
      <c r="C708" s="16" t="s">
        <v>1496</v>
      </c>
      <c r="D708" s="16">
        <v>8.0</v>
      </c>
      <c r="E708" s="16">
        <v>7.99</v>
      </c>
      <c r="F708" s="16">
        <v>63.92</v>
      </c>
    </row>
    <row r="709">
      <c r="A709" s="16" t="s">
        <v>3389</v>
      </c>
      <c r="B709" s="16" t="s">
        <v>3386</v>
      </c>
      <c r="C709" s="16" t="s">
        <v>1754</v>
      </c>
      <c r="D709" s="16">
        <v>1.0</v>
      </c>
      <c r="E709" s="16">
        <v>8.49</v>
      </c>
      <c r="F709" s="16">
        <v>8.49</v>
      </c>
    </row>
    <row r="710">
      <c r="A710" s="16" t="s">
        <v>3394</v>
      </c>
      <c r="B710" s="16" t="s">
        <v>3386</v>
      </c>
      <c r="C710" s="16" t="s">
        <v>3396</v>
      </c>
      <c r="D710" s="16">
        <v>1.0</v>
      </c>
      <c r="E710" s="16">
        <v>16.99</v>
      </c>
      <c r="F710" s="16">
        <v>16.99</v>
      </c>
    </row>
    <row r="711">
      <c r="A711" s="16" t="s">
        <v>3398</v>
      </c>
      <c r="B711" s="16" t="s">
        <v>3399</v>
      </c>
      <c r="C711" s="16" t="s">
        <v>1578</v>
      </c>
      <c r="D711" s="16">
        <v>1.0</v>
      </c>
      <c r="E711" s="16">
        <v>29.99</v>
      </c>
      <c r="F711" s="16">
        <v>29.99</v>
      </c>
    </row>
    <row r="712">
      <c r="A712" s="16" t="s">
        <v>3402</v>
      </c>
      <c r="B712" s="23" t="s">
        <v>3403</v>
      </c>
      <c r="C712" s="23" t="s">
        <v>1475</v>
      </c>
      <c r="D712" s="16">
        <v>12.0</v>
      </c>
      <c r="E712" s="16">
        <v>13.0</v>
      </c>
      <c r="F712" s="16">
        <v>156.0</v>
      </c>
    </row>
    <row r="713">
      <c r="A713" s="16" t="s">
        <v>3406</v>
      </c>
      <c r="B713" s="16" t="s">
        <v>3408</v>
      </c>
      <c r="C713" s="16" t="s">
        <v>1492</v>
      </c>
      <c r="D713" s="16">
        <v>2.925</v>
      </c>
      <c r="E713" s="16">
        <v>2.99</v>
      </c>
      <c r="F713" s="16">
        <v>8.75</v>
      </c>
    </row>
    <row r="714">
      <c r="A714" s="16" t="s">
        <v>3411</v>
      </c>
      <c r="B714" s="16" t="s">
        <v>3412</v>
      </c>
      <c r="C714" s="16" t="s">
        <v>467</v>
      </c>
      <c r="D714" s="16">
        <v>1.0</v>
      </c>
      <c r="E714" s="16">
        <v>45.0</v>
      </c>
      <c r="F714" s="16">
        <v>45.0</v>
      </c>
    </row>
    <row r="715">
      <c r="A715" s="16" t="s">
        <v>3413</v>
      </c>
      <c r="B715" s="16" t="s">
        <v>3415</v>
      </c>
      <c r="C715" s="16" t="s">
        <v>3128</v>
      </c>
      <c r="D715" s="16">
        <v>1.0</v>
      </c>
      <c r="E715" s="16">
        <v>929.38</v>
      </c>
      <c r="F715" s="16">
        <v>929.38</v>
      </c>
    </row>
    <row r="716">
      <c r="A716" s="16" t="s">
        <v>3417</v>
      </c>
      <c r="B716" s="16" t="s">
        <v>3415</v>
      </c>
      <c r="C716" s="16" t="s">
        <v>1549</v>
      </c>
      <c r="D716" s="16">
        <v>1.0</v>
      </c>
      <c r="E716" s="16">
        <v>88.29</v>
      </c>
      <c r="F716" s="16">
        <v>88.29</v>
      </c>
    </row>
    <row r="717">
      <c r="A717" s="16" t="s">
        <v>3420</v>
      </c>
      <c r="B717" s="16" t="s">
        <v>3421</v>
      </c>
      <c r="C717" s="16" t="s">
        <v>1580</v>
      </c>
      <c r="D717" s="16">
        <v>1.0</v>
      </c>
      <c r="E717" s="16">
        <v>4.99</v>
      </c>
      <c r="F717" s="16">
        <v>4.99</v>
      </c>
    </row>
    <row r="718">
      <c r="A718" s="16" t="s">
        <v>3422</v>
      </c>
      <c r="B718" s="16" t="s">
        <v>3421</v>
      </c>
      <c r="C718" s="16" t="s">
        <v>1568</v>
      </c>
      <c r="D718" s="16">
        <v>1.0</v>
      </c>
      <c r="E718" s="16">
        <v>8.49</v>
      </c>
      <c r="F718" s="16">
        <v>8.49</v>
      </c>
    </row>
    <row r="719">
      <c r="A719" s="16" t="s">
        <v>3426</v>
      </c>
      <c r="B719" s="16" t="s">
        <v>3421</v>
      </c>
      <c r="C719" s="16" t="s">
        <v>1743</v>
      </c>
      <c r="D719" s="16">
        <v>1.0</v>
      </c>
      <c r="E719" s="16">
        <v>7.99</v>
      </c>
      <c r="F719" s="16">
        <v>7.99</v>
      </c>
    </row>
    <row r="720">
      <c r="A720" s="16" t="s">
        <v>3427</v>
      </c>
      <c r="B720" s="16" t="s">
        <v>3421</v>
      </c>
      <c r="C720" s="16" t="s">
        <v>1505</v>
      </c>
      <c r="D720" s="16">
        <v>1.0</v>
      </c>
      <c r="E720" s="16">
        <v>16.99</v>
      </c>
      <c r="F720" s="16">
        <v>16.99</v>
      </c>
    </row>
    <row r="721">
      <c r="A721" s="16" t="s">
        <v>3431</v>
      </c>
      <c r="B721" s="16" t="s">
        <v>3421</v>
      </c>
      <c r="C721" s="16" t="s">
        <v>3432</v>
      </c>
      <c r="D721" s="16">
        <v>1.0</v>
      </c>
      <c r="E721" s="16">
        <v>8.99</v>
      </c>
      <c r="F721" s="16">
        <v>8.99</v>
      </c>
    </row>
    <row r="722">
      <c r="A722" s="16" t="s">
        <v>3433</v>
      </c>
      <c r="B722" s="16" t="s">
        <v>3421</v>
      </c>
      <c r="C722" s="16" t="s">
        <v>1565</v>
      </c>
      <c r="D722" s="16">
        <v>2.0</v>
      </c>
      <c r="E722" s="16">
        <v>15.99</v>
      </c>
      <c r="F722" s="16">
        <v>31.98</v>
      </c>
    </row>
    <row r="723">
      <c r="A723" s="16" t="s">
        <v>3435</v>
      </c>
      <c r="B723" s="16" t="s">
        <v>3436</v>
      </c>
      <c r="C723" s="16" t="s">
        <v>1489</v>
      </c>
      <c r="D723" s="16">
        <v>1.0</v>
      </c>
      <c r="E723" s="16">
        <v>9.99</v>
      </c>
      <c r="F723" s="16">
        <v>9.99</v>
      </c>
    </row>
    <row r="724">
      <c r="A724" s="16" t="s">
        <v>3438</v>
      </c>
      <c r="B724" s="16" t="s">
        <v>3436</v>
      </c>
      <c r="C724" s="16" t="s">
        <v>1539</v>
      </c>
      <c r="D724" s="16">
        <v>3.56</v>
      </c>
      <c r="E724" s="16">
        <v>6.99</v>
      </c>
      <c r="F724" s="16">
        <v>24.88</v>
      </c>
    </row>
    <row r="725">
      <c r="A725" s="16" t="s">
        <v>3439</v>
      </c>
      <c r="B725" s="16" t="s">
        <v>3436</v>
      </c>
      <c r="C725" s="16" t="s">
        <v>1492</v>
      </c>
      <c r="D725" s="16">
        <v>1.95</v>
      </c>
      <c r="E725" s="16">
        <v>4.49</v>
      </c>
      <c r="F725" s="16">
        <v>8.76</v>
      </c>
    </row>
    <row r="726">
      <c r="A726" s="16" t="s">
        <v>3443</v>
      </c>
      <c r="B726" s="16" t="s">
        <v>3436</v>
      </c>
      <c r="C726" s="16" t="s">
        <v>1496</v>
      </c>
      <c r="D726" s="16">
        <v>12.0</v>
      </c>
      <c r="E726" s="16">
        <v>9.99</v>
      </c>
      <c r="F726" s="16">
        <v>119.88</v>
      </c>
    </row>
    <row r="727">
      <c r="A727" s="16" t="s">
        <v>3445</v>
      </c>
      <c r="B727" s="16" t="s">
        <v>3436</v>
      </c>
      <c r="C727" s="16" t="s">
        <v>1583</v>
      </c>
      <c r="D727" s="16">
        <v>0.2</v>
      </c>
      <c r="E727" s="16">
        <v>9.99</v>
      </c>
      <c r="F727" s="16">
        <v>2.0</v>
      </c>
    </row>
    <row r="728">
      <c r="A728" s="16" t="s">
        <v>3448</v>
      </c>
      <c r="B728" s="16" t="s">
        <v>3449</v>
      </c>
      <c r="C728" s="23" t="s">
        <v>1475</v>
      </c>
      <c r="D728" s="16">
        <v>13.0</v>
      </c>
      <c r="E728" s="16">
        <v>23.0</v>
      </c>
      <c r="F728" s="16">
        <v>299.0</v>
      </c>
    </row>
    <row r="729">
      <c r="A729" s="16" t="s">
        <v>3450</v>
      </c>
      <c r="B729" s="23" t="s">
        <v>3451</v>
      </c>
      <c r="C729" s="16" t="s">
        <v>467</v>
      </c>
      <c r="D729" s="16">
        <v>1.0</v>
      </c>
      <c r="E729" s="16">
        <v>170.0</v>
      </c>
      <c r="F729" s="16">
        <v>170.0</v>
      </c>
    </row>
    <row r="730">
      <c r="A730" s="16" t="s">
        <v>3452</v>
      </c>
      <c r="B730" s="16" t="s">
        <v>3453</v>
      </c>
      <c r="C730" s="16" t="s">
        <v>1502</v>
      </c>
      <c r="D730" s="16">
        <v>1.0</v>
      </c>
      <c r="E730" s="16">
        <v>7.99</v>
      </c>
      <c r="F730" s="16">
        <v>7.99</v>
      </c>
    </row>
    <row r="731">
      <c r="A731" s="16" t="s">
        <v>3454</v>
      </c>
      <c r="B731" s="16" t="s">
        <v>3453</v>
      </c>
      <c r="C731" s="16" t="s">
        <v>3456</v>
      </c>
      <c r="D731" s="16">
        <v>0.788</v>
      </c>
      <c r="E731" s="16">
        <v>16.99</v>
      </c>
      <c r="F731" s="16">
        <v>13.39</v>
      </c>
    </row>
    <row r="732">
      <c r="A732" s="16" t="s">
        <v>3457</v>
      </c>
      <c r="B732" s="16" t="s">
        <v>3453</v>
      </c>
      <c r="C732" s="16" t="s">
        <v>1743</v>
      </c>
      <c r="D732" s="16">
        <v>1.0</v>
      </c>
      <c r="E732" s="16">
        <v>9.99</v>
      </c>
      <c r="F732" s="16">
        <v>9.99</v>
      </c>
    </row>
    <row r="733">
      <c r="A733" s="16" t="s">
        <v>3460</v>
      </c>
      <c r="B733" s="16" t="s">
        <v>3453</v>
      </c>
      <c r="C733" s="16" t="s">
        <v>1565</v>
      </c>
      <c r="D733" s="16">
        <v>1.0</v>
      </c>
      <c r="E733" s="16">
        <v>6.99</v>
      </c>
      <c r="F733" s="16">
        <v>6.99</v>
      </c>
    </row>
    <row r="734">
      <c r="A734" s="16" t="s">
        <v>3462</v>
      </c>
      <c r="B734" s="16" t="s">
        <v>3463</v>
      </c>
      <c r="C734" s="16" t="s">
        <v>1483</v>
      </c>
      <c r="D734" s="16">
        <v>9.12</v>
      </c>
      <c r="E734" s="16">
        <v>32.5</v>
      </c>
      <c r="F734" s="16">
        <v>296.4</v>
      </c>
    </row>
    <row r="735">
      <c r="A735" s="16" t="s">
        <v>3464</v>
      </c>
      <c r="B735" s="16" t="s">
        <v>3465</v>
      </c>
      <c r="C735" s="16" t="s">
        <v>1496</v>
      </c>
      <c r="D735" s="16">
        <v>8.0</v>
      </c>
      <c r="E735" s="16">
        <v>12.99</v>
      </c>
      <c r="F735" s="16">
        <v>103.92</v>
      </c>
    </row>
    <row r="736">
      <c r="A736" s="16" t="s">
        <v>3467</v>
      </c>
      <c r="B736" s="16" t="s">
        <v>3468</v>
      </c>
      <c r="C736" s="16" t="s">
        <v>3469</v>
      </c>
      <c r="D736" s="16">
        <v>1.0</v>
      </c>
      <c r="E736" s="16">
        <v>378.29</v>
      </c>
      <c r="F736" s="16">
        <v>378.29</v>
      </c>
    </row>
    <row r="737">
      <c r="A737" s="16" t="s">
        <v>3470</v>
      </c>
      <c r="B737" s="16" t="s">
        <v>3472</v>
      </c>
      <c r="C737" s="16" t="s">
        <v>467</v>
      </c>
      <c r="D737" s="16">
        <v>1.0</v>
      </c>
      <c r="E737" s="16">
        <v>190.0</v>
      </c>
      <c r="F737" s="16">
        <v>190.0</v>
      </c>
    </row>
    <row r="738">
      <c r="A738" s="16" t="s">
        <v>3474</v>
      </c>
      <c r="B738" s="16" t="s">
        <v>3475</v>
      </c>
      <c r="C738" s="16" t="s">
        <v>467</v>
      </c>
      <c r="D738" s="16">
        <v>1.0</v>
      </c>
      <c r="E738" s="16">
        <v>210.0</v>
      </c>
      <c r="F738" s="16">
        <v>210.0</v>
      </c>
    </row>
    <row r="739">
      <c r="A739" s="16" t="s">
        <v>3476</v>
      </c>
      <c r="B739" s="16" t="s">
        <v>3477</v>
      </c>
      <c r="C739" s="16" t="s">
        <v>1502</v>
      </c>
      <c r="D739" s="16">
        <v>2.0</v>
      </c>
      <c r="E739" s="16">
        <v>7.49</v>
      </c>
      <c r="F739" s="16">
        <v>14.98</v>
      </c>
    </row>
    <row r="740">
      <c r="A740" s="16" t="s">
        <v>3478</v>
      </c>
      <c r="B740" s="16" t="s">
        <v>3479</v>
      </c>
      <c r="C740" s="23" t="s">
        <v>1475</v>
      </c>
      <c r="D740" s="16">
        <v>12.0</v>
      </c>
      <c r="E740" s="16">
        <v>23.0</v>
      </c>
      <c r="F740" s="16">
        <v>276.0</v>
      </c>
    </row>
    <row r="741">
      <c r="A741" s="16" t="s">
        <v>3481</v>
      </c>
      <c r="B741" s="16" t="s">
        <v>3482</v>
      </c>
      <c r="C741" s="16" t="s">
        <v>210</v>
      </c>
      <c r="D741" s="16">
        <v>1.0</v>
      </c>
      <c r="E741" s="16">
        <v>2635.0</v>
      </c>
      <c r="F741" s="16">
        <v>2635.0</v>
      </c>
    </row>
    <row r="742">
      <c r="A742" s="16" t="s">
        <v>3485</v>
      </c>
      <c r="B742" s="16" t="s">
        <v>3482</v>
      </c>
      <c r="C742" s="16" t="s">
        <v>1551</v>
      </c>
      <c r="D742" s="16">
        <v>1.0</v>
      </c>
      <c r="E742" s="16">
        <v>167.06</v>
      </c>
      <c r="F742" s="16">
        <v>167.06</v>
      </c>
    </row>
    <row r="743">
      <c r="A743" s="16" t="s">
        <v>3487</v>
      </c>
      <c r="B743" s="16" t="s">
        <v>3488</v>
      </c>
      <c r="C743" s="16" t="s">
        <v>1583</v>
      </c>
      <c r="D743" s="16">
        <v>0.47</v>
      </c>
      <c r="E743" s="16">
        <v>6.99</v>
      </c>
      <c r="F743" s="16">
        <v>3.29</v>
      </c>
    </row>
    <row r="744">
      <c r="A744" s="16" t="s">
        <v>3491</v>
      </c>
      <c r="B744" s="16" t="s">
        <v>3488</v>
      </c>
      <c r="C744" s="16" t="s">
        <v>1580</v>
      </c>
      <c r="D744" s="16">
        <v>1.0</v>
      </c>
      <c r="E744" s="16">
        <v>4.99</v>
      </c>
      <c r="F744" s="16">
        <v>4.99</v>
      </c>
    </row>
    <row r="745">
      <c r="A745" s="16" t="s">
        <v>3493</v>
      </c>
      <c r="B745" s="16" t="s">
        <v>3488</v>
      </c>
      <c r="C745" s="16" t="s">
        <v>1565</v>
      </c>
      <c r="D745" s="16">
        <v>2.0</v>
      </c>
      <c r="E745" s="16">
        <v>15.99</v>
      </c>
      <c r="F745" s="16">
        <v>31.98</v>
      </c>
    </row>
    <row r="746">
      <c r="A746" s="16" t="s">
        <v>3494</v>
      </c>
      <c r="B746" s="16" t="s">
        <v>3488</v>
      </c>
      <c r="C746" s="16" t="s">
        <v>1743</v>
      </c>
      <c r="D746" s="16">
        <v>2.0</v>
      </c>
      <c r="E746" s="16">
        <v>7.99</v>
      </c>
      <c r="F746" s="16">
        <v>15.98</v>
      </c>
    </row>
    <row r="747">
      <c r="A747" s="16" t="s">
        <v>3496</v>
      </c>
      <c r="B747" s="16" t="s">
        <v>3488</v>
      </c>
      <c r="C747" s="16" t="s">
        <v>1502</v>
      </c>
      <c r="D747" s="16">
        <v>2.0</v>
      </c>
      <c r="E747" s="16">
        <v>6.99</v>
      </c>
      <c r="F747" s="16">
        <v>13.98</v>
      </c>
    </row>
    <row r="748">
      <c r="A748" s="16" t="s">
        <v>3497</v>
      </c>
      <c r="B748" s="16" t="s">
        <v>3500</v>
      </c>
      <c r="C748" s="16" t="s">
        <v>1549</v>
      </c>
      <c r="D748" s="16">
        <v>1.0</v>
      </c>
      <c r="E748" s="16">
        <v>1730.88</v>
      </c>
      <c r="F748" s="16">
        <v>1730.88</v>
      </c>
    </row>
    <row r="749">
      <c r="A749" s="16" t="s">
        <v>3503</v>
      </c>
      <c r="B749" s="16" t="s">
        <v>3500</v>
      </c>
      <c r="C749" s="16" t="s">
        <v>1551</v>
      </c>
      <c r="D749" s="16">
        <v>1.0</v>
      </c>
      <c r="E749" s="16">
        <v>341.97</v>
      </c>
      <c r="F749" s="16">
        <v>341.97</v>
      </c>
    </row>
    <row r="750">
      <c r="A750" s="16" t="s">
        <v>3506</v>
      </c>
      <c r="B750" s="16" t="s">
        <v>3500</v>
      </c>
      <c r="C750" s="16" t="s">
        <v>1547</v>
      </c>
      <c r="D750" s="16">
        <v>1.0</v>
      </c>
      <c r="E750" s="16">
        <v>18219.75</v>
      </c>
      <c r="F750" s="16">
        <v>18219.75</v>
      </c>
    </row>
    <row r="751">
      <c r="A751" s="16" t="s">
        <v>3510</v>
      </c>
      <c r="B751" s="16" t="s">
        <v>3511</v>
      </c>
      <c r="C751" s="16" t="s">
        <v>1616</v>
      </c>
      <c r="D751" s="16">
        <v>1.0</v>
      </c>
      <c r="E751" s="16">
        <v>11163.29</v>
      </c>
      <c r="F751" s="16">
        <v>11163.29</v>
      </c>
    </row>
    <row r="752">
      <c r="A752" s="16" t="s">
        <v>3512</v>
      </c>
      <c r="B752" s="16" t="s">
        <v>3511</v>
      </c>
      <c r="C752" s="16" t="s">
        <v>1549</v>
      </c>
      <c r="D752" s="16">
        <v>1.0</v>
      </c>
      <c r="E752" s="16">
        <v>1060.51</v>
      </c>
      <c r="F752" s="16">
        <v>1060.51</v>
      </c>
    </row>
    <row r="753">
      <c r="A753" s="16" t="s">
        <v>3514</v>
      </c>
      <c r="B753" s="16" t="s">
        <v>3516</v>
      </c>
      <c r="C753" s="16" t="s">
        <v>3315</v>
      </c>
      <c r="D753" s="16">
        <v>1.0</v>
      </c>
      <c r="E753" s="16">
        <v>215.0</v>
      </c>
      <c r="F753" s="16">
        <v>215.0</v>
      </c>
    </row>
    <row r="754">
      <c r="A754" s="16" t="s">
        <v>3519</v>
      </c>
      <c r="B754" s="16" t="s">
        <v>3520</v>
      </c>
      <c r="C754" s="16" t="s">
        <v>3456</v>
      </c>
      <c r="D754" s="16">
        <v>0.52</v>
      </c>
      <c r="E754" s="16">
        <v>16.99</v>
      </c>
      <c r="F754" s="16">
        <v>8.83</v>
      </c>
    </row>
    <row r="755">
      <c r="A755" s="16" t="s">
        <v>3523</v>
      </c>
      <c r="B755" s="16" t="s">
        <v>3520</v>
      </c>
      <c r="C755" s="16" t="s">
        <v>1492</v>
      </c>
      <c r="D755" s="16">
        <v>2.425</v>
      </c>
      <c r="E755" s="16">
        <v>5.99</v>
      </c>
      <c r="F755" s="16">
        <v>14.53</v>
      </c>
    </row>
    <row r="756">
      <c r="A756" s="16" t="s">
        <v>3526</v>
      </c>
      <c r="B756" s="16" t="s">
        <v>3520</v>
      </c>
      <c r="C756" s="16" t="s">
        <v>1492</v>
      </c>
      <c r="D756" s="16">
        <v>2.56</v>
      </c>
      <c r="E756" s="16">
        <v>5.99</v>
      </c>
      <c r="F756" s="16">
        <v>15.33</v>
      </c>
    </row>
    <row r="757">
      <c r="A757" s="16" t="s">
        <v>3527</v>
      </c>
      <c r="B757" s="16" t="s">
        <v>3520</v>
      </c>
      <c r="C757" s="16" t="s">
        <v>1539</v>
      </c>
      <c r="D757" s="16">
        <v>1.525</v>
      </c>
      <c r="E757" s="16">
        <v>7.49</v>
      </c>
      <c r="F757" s="16">
        <v>11.42</v>
      </c>
    </row>
    <row r="758">
      <c r="A758" s="16" t="s">
        <v>3529</v>
      </c>
      <c r="B758" s="16" t="s">
        <v>3520</v>
      </c>
      <c r="C758" s="16" t="s">
        <v>1489</v>
      </c>
      <c r="D758" s="16">
        <v>3.0</v>
      </c>
      <c r="E758" s="16">
        <v>8.99</v>
      </c>
      <c r="F758" s="16">
        <v>26.97</v>
      </c>
    </row>
    <row r="759">
      <c r="A759" s="16" t="s">
        <v>3532</v>
      </c>
      <c r="B759" s="16" t="s">
        <v>3533</v>
      </c>
      <c r="C759" s="16" t="s">
        <v>1483</v>
      </c>
      <c r="D759" s="16">
        <v>9.05</v>
      </c>
      <c r="E759" s="16">
        <v>32.5</v>
      </c>
      <c r="F759" s="16">
        <v>294.13</v>
      </c>
    </row>
    <row r="760">
      <c r="A760" s="16" t="s">
        <v>3536</v>
      </c>
      <c r="B760" s="16" t="s">
        <v>3537</v>
      </c>
      <c r="C760" s="16" t="s">
        <v>1656</v>
      </c>
      <c r="D760" s="16">
        <v>2.0</v>
      </c>
      <c r="E760" s="16">
        <v>44.28</v>
      </c>
      <c r="F760" s="16">
        <v>88.56</v>
      </c>
    </row>
    <row r="761">
      <c r="A761" s="16" t="s">
        <v>3541</v>
      </c>
      <c r="B761" s="16" t="s">
        <v>3537</v>
      </c>
      <c r="C761" s="16" t="s">
        <v>1660</v>
      </c>
      <c r="D761" s="16">
        <v>2.0</v>
      </c>
      <c r="E761" s="16">
        <v>41.76</v>
      </c>
      <c r="F761" s="16">
        <v>83.52</v>
      </c>
    </row>
    <row r="762">
      <c r="A762" s="16" t="s">
        <v>3543</v>
      </c>
      <c r="B762" s="16" t="s">
        <v>3537</v>
      </c>
      <c r="C762" s="16" t="s">
        <v>1510</v>
      </c>
      <c r="D762" s="16">
        <v>10.0</v>
      </c>
      <c r="E762" s="16">
        <v>11.88</v>
      </c>
      <c r="F762" s="16">
        <v>118.8</v>
      </c>
    </row>
    <row r="763">
      <c r="A763" s="16" t="s">
        <v>3546</v>
      </c>
      <c r="B763" s="16" t="s">
        <v>3537</v>
      </c>
      <c r="C763" s="16" t="s">
        <v>1517</v>
      </c>
      <c r="D763" s="16">
        <v>15.0</v>
      </c>
      <c r="E763" s="16">
        <v>14.28</v>
      </c>
      <c r="F763" s="16">
        <v>214.2</v>
      </c>
    </row>
    <row r="764">
      <c r="A764" s="16" t="s">
        <v>3547</v>
      </c>
      <c r="B764" s="16" t="s">
        <v>3548</v>
      </c>
      <c r="C764" s="16" t="s">
        <v>3550</v>
      </c>
      <c r="D764" s="16">
        <v>1.0</v>
      </c>
      <c r="E764" s="16">
        <v>41.76</v>
      </c>
      <c r="F764" s="16">
        <v>41.76</v>
      </c>
    </row>
    <row r="765">
      <c r="A765" s="16" t="s">
        <v>3552</v>
      </c>
      <c r="B765" s="16" t="s">
        <v>3548</v>
      </c>
      <c r="C765" s="16" t="s">
        <v>1510</v>
      </c>
      <c r="D765" s="16">
        <v>7.0</v>
      </c>
      <c r="E765" s="16">
        <v>11.88</v>
      </c>
      <c r="F765" s="16">
        <v>83.16</v>
      </c>
    </row>
    <row r="766">
      <c r="A766" s="16" t="s">
        <v>3555</v>
      </c>
      <c r="B766" s="16" t="s">
        <v>3548</v>
      </c>
      <c r="C766" s="16" t="s">
        <v>3557</v>
      </c>
      <c r="D766" s="16">
        <v>6.0</v>
      </c>
      <c r="E766" s="16">
        <v>8.29</v>
      </c>
      <c r="F766" s="16">
        <v>49.74</v>
      </c>
    </row>
    <row r="767">
      <c r="A767" s="16" t="s">
        <v>3559</v>
      </c>
      <c r="B767" s="16" t="s">
        <v>3548</v>
      </c>
      <c r="C767" s="16" t="s">
        <v>3560</v>
      </c>
      <c r="D767" s="16">
        <v>3.0</v>
      </c>
      <c r="E767" s="16">
        <v>29.94</v>
      </c>
      <c r="F767" s="16">
        <v>89.82</v>
      </c>
    </row>
    <row r="768">
      <c r="A768" s="16" t="s">
        <v>3562</v>
      </c>
      <c r="B768" s="16" t="s">
        <v>3548</v>
      </c>
      <c r="C768" s="16" t="s">
        <v>3560</v>
      </c>
      <c r="D768" s="16">
        <v>6.0</v>
      </c>
      <c r="E768" s="16">
        <v>4.99</v>
      </c>
      <c r="F768" s="16">
        <v>29.94</v>
      </c>
    </row>
    <row r="769">
      <c r="A769" s="16" t="s">
        <v>3563</v>
      </c>
      <c r="B769" s="16" t="s">
        <v>3565</v>
      </c>
      <c r="C769" s="16" t="s">
        <v>210</v>
      </c>
      <c r="D769" s="16">
        <v>1.0</v>
      </c>
      <c r="E769" s="16">
        <v>1802.5</v>
      </c>
      <c r="F769" s="16">
        <v>1802.5</v>
      </c>
    </row>
    <row r="770">
      <c r="A770" s="16" t="s">
        <v>3569</v>
      </c>
      <c r="B770" s="16" t="s">
        <v>3565</v>
      </c>
      <c r="C770" s="16" t="s">
        <v>1551</v>
      </c>
      <c r="D770" s="16">
        <v>1.0</v>
      </c>
      <c r="E770" s="16">
        <v>107.95</v>
      </c>
      <c r="F770" s="16">
        <v>107.95</v>
      </c>
    </row>
    <row r="771">
      <c r="A771" s="16" t="s">
        <v>3571</v>
      </c>
      <c r="B771" s="16" t="s">
        <v>3572</v>
      </c>
      <c r="C771" s="16" t="s">
        <v>2659</v>
      </c>
      <c r="D771" s="16">
        <v>2.0</v>
      </c>
      <c r="E771" s="16">
        <v>12.9</v>
      </c>
      <c r="F771" s="16">
        <v>25.8</v>
      </c>
    </row>
    <row r="772">
      <c r="A772" s="16" t="s">
        <v>3573</v>
      </c>
      <c r="B772" s="16" t="s">
        <v>3574</v>
      </c>
      <c r="C772" s="23" t="s">
        <v>1475</v>
      </c>
      <c r="D772" s="16">
        <v>11.5</v>
      </c>
      <c r="E772" s="16">
        <v>23.0</v>
      </c>
      <c r="F772" s="16">
        <v>264.5</v>
      </c>
    </row>
    <row r="773">
      <c r="A773" s="16" t="s">
        <v>3576</v>
      </c>
      <c r="B773" s="16" t="s">
        <v>3577</v>
      </c>
      <c r="C773" s="16" t="s">
        <v>467</v>
      </c>
      <c r="D773" s="16">
        <v>1.0</v>
      </c>
      <c r="E773" s="16">
        <v>204.0</v>
      </c>
      <c r="F773" s="16">
        <v>204.0</v>
      </c>
    </row>
    <row r="774">
      <c r="A774" s="16" t="s">
        <v>3579</v>
      </c>
      <c r="B774" s="16" t="s">
        <v>3580</v>
      </c>
      <c r="C774" s="16" t="s">
        <v>467</v>
      </c>
      <c r="D774" s="16">
        <v>1.0</v>
      </c>
      <c r="E774" s="16">
        <v>53.0</v>
      </c>
      <c r="F774" s="16">
        <v>53.0</v>
      </c>
    </row>
    <row r="775">
      <c r="A775" s="16" t="s">
        <v>3583</v>
      </c>
      <c r="B775" s="16" t="s">
        <v>3584</v>
      </c>
      <c r="C775" s="16" t="s">
        <v>467</v>
      </c>
      <c r="D775" s="16">
        <v>1.0</v>
      </c>
      <c r="E775" s="16">
        <v>221.0</v>
      </c>
      <c r="F775" s="16">
        <v>221.0</v>
      </c>
    </row>
    <row r="776">
      <c r="A776" s="16" t="s">
        <v>3585</v>
      </c>
      <c r="B776" s="16" t="s">
        <v>3586</v>
      </c>
      <c r="C776" s="16" t="s">
        <v>1568</v>
      </c>
      <c r="D776" s="16">
        <v>1.0</v>
      </c>
      <c r="E776" s="16">
        <v>8.99</v>
      </c>
      <c r="F776" s="16">
        <v>8.99</v>
      </c>
    </row>
    <row r="777">
      <c r="A777" s="16" t="s">
        <v>3589</v>
      </c>
      <c r="B777" s="16" t="s">
        <v>3586</v>
      </c>
      <c r="C777" s="16" t="s">
        <v>1565</v>
      </c>
      <c r="D777" s="16">
        <v>2.0</v>
      </c>
      <c r="E777" s="16">
        <v>15.99</v>
      </c>
      <c r="F777" s="16">
        <v>31.98</v>
      </c>
    </row>
    <row r="778">
      <c r="A778" s="16" t="s">
        <v>3591</v>
      </c>
      <c r="B778" s="16" t="s">
        <v>3586</v>
      </c>
      <c r="C778" s="16" t="s">
        <v>1496</v>
      </c>
      <c r="D778" s="16">
        <v>1.0</v>
      </c>
      <c r="E778" s="16">
        <v>12.99</v>
      </c>
      <c r="F778" s="16">
        <v>12.99</v>
      </c>
    </row>
    <row r="779">
      <c r="A779" s="16" t="s">
        <v>3594</v>
      </c>
      <c r="B779" s="16" t="s">
        <v>3586</v>
      </c>
      <c r="C779" s="16" t="s">
        <v>1502</v>
      </c>
      <c r="D779" s="16">
        <v>1.0</v>
      </c>
      <c r="E779" s="16">
        <v>6.99</v>
      </c>
      <c r="F779" s="16">
        <v>6.99</v>
      </c>
    </row>
    <row r="780">
      <c r="A780" s="16" t="s">
        <v>3595</v>
      </c>
      <c r="B780" s="16" t="s">
        <v>3586</v>
      </c>
      <c r="C780" s="16" t="s">
        <v>1489</v>
      </c>
      <c r="D780" s="16">
        <v>1.0</v>
      </c>
      <c r="E780" s="16">
        <v>9.99</v>
      </c>
      <c r="F780" s="16">
        <v>9.99</v>
      </c>
    </row>
    <row r="781">
      <c r="A781" s="16" t="s">
        <v>3596</v>
      </c>
      <c r="B781" s="16" t="s">
        <v>3586</v>
      </c>
      <c r="C781" s="16" t="s">
        <v>1496</v>
      </c>
      <c r="D781" s="16">
        <v>10.0</v>
      </c>
      <c r="E781" s="16">
        <v>12.99</v>
      </c>
      <c r="F781" s="16">
        <v>129.9</v>
      </c>
    </row>
    <row r="782">
      <c r="A782" s="16" t="s">
        <v>3597</v>
      </c>
      <c r="B782" s="16" t="s">
        <v>3586</v>
      </c>
      <c r="C782" s="16" t="s">
        <v>1492</v>
      </c>
      <c r="D782" s="16">
        <v>3.33</v>
      </c>
      <c r="E782" s="16">
        <v>4.49</v>
      </c>
      <c r="F782" s="16">
        <v>14.95</v>
      </c>
    </row>
    <row r="783">
      <c r="A783" s="16" t="s">
        <v>3599</v>
      </c>
      <c r="B783" s="16" t="s">
        <v>3586</v>
      </c>
      <c r="C783" s="16" t="s">
        <v>1539</v>
      </c>
      <c r="D783" s="16">
        <v>2.4</v>
      </c>
      <c r="E783" s="16">
        <v>6.99</v>
      </c>
      <c r="F783" s="16">
        <v>16.78</v>
      </c>
    </row>
    <row r="784">
      <c r="A784" s="16" t="s">
        <v>3602</v>
      </c>
      <c r="B784" s="16" t="s">
        <v>3586</v>
      </c>
      <c r="C784" s="16" t="s">
        <v>1483</v>
      </c>
      <c r="D784" s="16">
        <v>0.94</v>
      </c>
      <c r="E784" s="16">
        <v>21.99</v>
      </c>
      <c r="F784" s="16">
        <v>20.67</v>
      </c>
    </row>
    <row r="785">
      <c r="A785" s="16" t="s">
        <v>3604</v>
      </c>
      <c r="B785" s="16" t="s">
        <v>3586</v>
      </c>
      <c r="C785" s="16" t="s">
        <v>1568</v>
      </c>
      <c r="D785" s="16">
        <v>1.0</v>
      </c>
      <c r="E785" s="16">
        <v>8.99</v>
      </c>
      <c r="F785" s="16">
        <v>8.99</v>
      </c>
    </row>
    <row r="786">
      <c r="A786" s="16" t="s">
        <v>3605</v>
      </c>
      <c r="B786" s="16" t="s">
        <v>3606</v>
      </c>
      <c r="C786" s="16" t="s">
        <v>3607</v>
      </c>
      <c r="D786" s="16">
        <v>4.0</v>
      </c>
      <c r="E786" s="16">
        <v>5.5</v>
      </c>
      <c r="F786" s="16">
        <v>22.0</v>
      </c>
    </row>
    <row r="787">
      <c r="A787" s="16" t="s">
        <v>3609</v>
      </c>
      <c r="B787" s="16" t="s">
        <v>3606</v>
      </c>
      <c r="C787" s="16" t="s">
        <v>3610</v>
      </c>
      <c r="D787" s="16">
        <v>1.0</v>
      </c>
      <c r="E787" s="16">
        <v>55.0</v>
      </c>
      <c r="F787" s="16">
        <v>55.0</v>
      </c>
    </row>
    <row r="788">
      <c r="A788" s="16" t="s">
        <v>3613</v>
      </c>
      <c r="B788" s="16" t="s">
        <v>3606</v>
      </c>
      <c r="C788" s="16" t="s">
        <v>3614</v>
      </c>
      <c r="D788" s="16">
        <v>1.0</v>
      </c>
      <c r="E788" s="16">
        <v>22.9</v>
      </c>
      <c r="F788" s="16">
        <v>22.9</v>
      </c>
    </row>
    <row r="789">
      <c r="A789" s="16" t="s">
        <v>3615</v>
      </c>
      <c r="B789" s="16" t="s">
        <v>3606</v>
      </c>
      <c r="C789" s="16" t="s">
        <v>3617</v>
      </c>
      <c r="D789" s="16">
        <v>3.0</v>
      </c>
      <c r="E789" s="16">
        <v>20.0</v>
      </c>
      <c r="F789" s="16">
        <v>60.0</v>
      </c>
    </row>
    <row r="790">
      <c r="A790" s="16" t="s">
        <v>3620</v>
      </c>
      <c r="B790" s="16" t="s">
        <v>3621</v>
      </c>
      <c r="C790" s="16" t="s">
        <v>3622</v>
      </c>
      <c r="D790" s="16">
        <v>6.0</v>
      </c>
      <c r="E790" s="16">
        <v>4.34</v>
      </c>
      <c r="F790" s="16">
        <v>26.04</v>
      </c>
    </row>
    <row r="791">
      <c r="A791" s="16" t="s">
        <v>3624</v>
      </c>
      <c r="B791" s="16" t="s">
        <v>3621</v>
      </c>
      <c r="C791" s="16" t="s">
        <v>3625</v>
      </c>
      <c r="D791" s="16">
        <v>4.0</v>
      </c>
      <c r="E791" s="16">
        <v>0.98</v>
      </c>
      <c r="F791" s="16">
        <v>3.92</v>
      </c>
    </row>
    <row r="792">
      <c r="A792" s="16" t="s">
        <v>3627</v>
      </c>
      <c r="B792" s="16" t="s">
        <v>3628</v>
      </c>
      <c r="C792" s="16" t="s">
        <v>1750</v>
      </c>
      <c r="D792" s="16">
        <v>2.0</v>
      </c>
      <c r="E792" s="16">
        <v>5.99</v>
      </c>
      <c r="F792" s="16">
        <v>11.98</v>
      </c>
    </row>
    <row r="793">
      <c r="A793" s="16" t="s">
        <v>3629</v>
      </c>
      <c r="B793" s="16" t="s">
        <v>3630</v>
      </c>
      <c r="C793" s="16" t="s">
        <v>1837</v>
      </c>
      <c r="D793" s="16">
        <v>6.0</v>
      </c>
      <c r="E793" s="16">
        <v>16.99</v>
      </c>
      <c r="F793" s="16">
        <v>101.94</v>
      </c>
    </row>
    <row r="794">
      <c r="A794" s="16" t="s">
        <v>3631</v>
      </c>
      <c r="B794" s="16" t="s">
        <v>3630</v>
      </c>
      <c r="C794" s="16" t="s">
        <v>1824</v>
      </c>
      <c r="D794" s="16">
        <v>1.0</v>
      </c>
      <c r="E794" s="16">
        <v>22.99</v>
      </c>
      <c r="F794" s="16">
        <v>22.99</v>
      </c>
    </row>
    <row r="795">
      <c r="A795" s="16" t="s">
        <v>3633</v>
      </c>
      <c r="B795" s="16" t="s">
        <v>3630</v>
      </c>
      <c r="C795" s="16" t="s">
        <v>2768</v>
      </c>
      <c r="D795" s="16">
        <v>1.0</v>
      </c>
      <c r="E795" s="16">
        <v>64.99</v>
      </c>
      <c r="F795" s="16">
        <v>64.99</v>
      </c>
    </row>
    <row r="796">
      <c r="A796" s="16" t="s">
        <v>3635</v>
      </c>
      <c r="B796" s="16" t="s">
        <v>3630</v>
      </c>
      <c r="C796" s="16" t="s">
        <v>1834</v>
      </c>
      <c r="D796" s="16">
        <v>2.0</v>
      </c>
      <c r="E796" s="16">
        <v>18.99</v>
      </c>
      <c r="F796" s="16">
        <v>37.98</v>
      </c>
    </row>
    <row r="797">
      <c r="A797" s="16" t="s">
        <v>3637</v>
      </c>
      <c r="B797" s="16" t="s">
        <v>3638</v>
      </c>
      <c r="C797" s="23" t="s">
        <v>1475</v>
      </c>
      <c r="D797" s="16">
        <v>5.0</v>
      </c>
      <c r="E797" s="16">
        <v>23.0</v>
      </c>
      <c r="F797" s="16">
        <v>115.0</v>
      </c>
    </row>
    <row r="798">
      <c r="A798" s="16" t="s">
        <v>3640</v>
      </c>
      <c r="B798" s="16" t="s">
        <v>3641</v>
      </c>
      <c r="C798" s="16" t="s">
        <v>1489</v>
      </c>
      <c r="D798" s="16">
        <v>1.0</v>
      </c>
      <c r="E798" s="16">
        <v>4.49</v>
      </c>
      <c r="F798" s="16">
        <v>4.49</v>
      </c>
    </row>
    <row r="799">
      <c r="A799" s="16" t="s">
        <v>3643</v>
      </c>
      <c r="B799" s="16" t="s">
        <v>3641</v>
      </c>
      <c r="C799" s="16" t="s">
        <v>1502</v>
      </c>
      <c r="D799" s="16">
        <v>1.0</v>
      </c>
      <c r="E799" s="16">
        <v>6.99</v>
      </c>
      <c r="F799" s="16">
        <v>6.99</v>
      </c>
    </row>
    <row r="800">
      <c r="A800" s="16" t="s">
        <v>3645</v>
      </c>
      <c r="B800" s="16" t="s">
        <v>3641</v>
      </c>
      <c r="C800" s="16" t="s">
        <v>1574</v>
      </c>
      <c r="D800" s="16">
        <v>2.0</v>
      </c>
      <c r="E800" s="16">
        <v>5.99</v>
      </c>
      <c r="F800" s="16">
        <v>11.98</v>
      </c>
    </row>
    <row r="801">
      <c r="A801" s="16" t="s">
        <v>3647</v>
      </c>
      <c r="B801" s="16" t="s">
        <v>3641</v>
      </c>
      <c r="C801" s="16" t="s">
        <v>2982</v>
      </c>
      <c r="D801" s="16">
        <v>1.0</v>
      </c>
      <c r="E801" s="16">
        <v>5.99</v>
      </c>
      <c r="F801" s="16">
        <v>5.99</v>
      </c>
    </row>
    <row r="802">
      <c r="A802" s="16" t="s">
        <v>3649</v>
      </c>
      <c r="B802" s="16" t="s">
        <v>3641</v>
      </c>
      <c r="C802" s="16" t="s">
        <v>1565</v>
      </c>
      <c r="D802" s="16">
        <v>1.0</v>
      </c>
      <c r="E802" s="16">
        <v>16.99</v>
      </c>
      <c r="F802" s="16">
        <v>16.99</v>
      </c>
    </row>
    <row r="803">
      <c r="A803" s="16" t="s">
        <v>3651</v>
      </c>
      <c r="B803" s="16" t="s">
        <v>3641</v>
      </c>
      <c r="C803" s="16" t="s">
        <v>1492</v>
      </c>
      <c r="D803" s="16">
        <v>1.164</v>
      </c>
      <c r="E803" s="16">
        <v>4.49</v>
      </c>
      <c r="F803" s="16">
        <v>5.23</v>
      </c>
    </row>
    <row r="804">
      <c r="A804" s="16" t="s">
        <v>3653</v>
      </c>
      <c r="B804" s="16" t="s">
        <v>3641</v>
      </c>
      <c r="C804" s="16" t="s">
        <v>3103</v>
      </c>
      <c r="D804" s="16">
        <v>1.0</v>
      </c>
      <c r="E804" s="16">
        <v>18.99</v>
      </c>
      <c r="F804" s="16">
        <v>18.99</v>
      </c>
    </row>
    <row r="805">
      <c r="A805" s="16" t="s">
        <v>3654</v>
      </c>
      <c r="B805" s="16" t="s">
        <v>3641</v>
      </c>
      <c r="C805" s="16" t="s">
        <v>1539</v>
      </c>
      <c r="D805" s="16">
        <v>1.89</v>
      </c>
      <c r="E805" s="16">
        <v>6.99</v>
      </c>
      <c r="F805" s="16">
        <v>13.21</v>
      </c>
    </row>
    <row r="806">
      <c r="A806" s="16" t="s">
        <v>3657</v>
      </c>
      <c r="B806" s="16" t="s">
        <v>3658</v>
      </c>
      <c r="C806" s="16" t="s">
        <v>3660</v>
      </c>
      <c r="D806" s="16">
        <v>2.0</v>
      </c>
      <c r="E806" s="16">
        <v>3.0</v>
      </c>
      <c r="F806" s="16">
        <v>6.0</v>
      </c>
    </row>
    <row r="807">
      <c r="A807" s="16" t="s">
        <v>3662</v>
      </c>
      <c r="B807" s="16" t="s">
        <v>3664</v>
      </c>
      <c r="C807" s="16" t="s">
        <v>3665</v>
      </c>
      <c r="D807" s="16">
        <v>1.0</v>
      </c>
      <c r="E807" s="16">
        <v>14.99</v>
      </c>
      <c r="F807" s="16">
        <v>14.99</v>
      </c>
    </row>
    <row r="808">
      <c r="A808" s="16" t="s">
        <v>3666</v>
      </c>
      <c r="B808" s="16" t="s">
        <v>3664</v>
      </c>
      <c r="C808" s="16" t="s">
        <v>3667</v>
      </c>
      <c r="D808" s="16">
        <v>3.0</v>
      </c>
      <c r="E808" s="16">
        <v>8.49</v>
      </c>
      <c r="F808" s="16">
        <v>25.47</v>
      </c>
    </row>
    <row r="809">
      <c r="A809" s="16" t="s">
        <v>3668</v>
      </c>
      <c r="B809" s="16" t="s">
        <v>3669</v>
      </c>
      <c r="C809" s="16" t="s">
        <v>1568</v>
      </c>
      <c r="D809" s="16">
        <v>1.0</v>
      </c>
      <c r="E809" s="16">
        <v>10.99</v>
      </c>
      <c r="F809" s="16">
        <v>10.99</v>
      </c>
    </row>
    <row r="810">
      <c r="A810" s="16" t="s">
        <v>3671</v>
      </c>
      <c r="B810" s="16" t="s">
        <v>3669</v>
      </c>
      <c r="C810" s="16" t="s">
        <v>1580</v>
      </c>
      <c r="D810" s="16">
        <v>1.0</v>
      </c>
      <c r="E810" s="16">
        <v>4.99</v>
      </c>
      <c r="F810" s="16">
        <v>4.99</v>
      </c>
    </row>
    <row r="811">
      <c r="A811" s="16" t="s">
        <v>3672</v>
      </c>
      <c r="B811" s="16" t="s">
        <v>3669</v>
      </c>
      <c r="C811" s="16" t="s">
        <v>1502</v>
      </c>
      <c r="D811" s="16">
        <v>5.0</v>
      </c>
      <c r="E811" s="16">
        <v>6.99</v>
      </c>
      <c r="F811" s="16">
        <v>34.95</v>
      </c>
    </row>
    <row r="812">
      <c r="A812" s="16" t="s">
        <v>3675</v>
      </c>
      <c r="B812" s="16" t="s">
        <v>3669</v>
      </c>
      <c r="C812" s="16" t="s">
        <v>1565</v>
      </c>
      <c r="D812" s="16">
        <v>1.0</v>
      </c>
      <c r="E812" s="16">
        <v>13.99</v>
      </c>
      <c r="F812" s="16">
        <v>13.99</v>
      </c>
    </row>
    <row r="813">
      <c r="A813" s="16" t="s">
        <v>3676</v>
      </c>
      <c r="B813" s="16" t="s">
        <v>3669</v>
      </c>
      <c r="C813" s="16" t="s">
        <v>1583</v>
      </c>
      <c r="D813" s="16">
        <v>0.3</v>
      </c>
      <c r="E813" s="16">
        <v>3.99</v>
      </c>
      <c r="F813" s="16">
        <v>1.2</v>
      </c>
    </row>
    <row r="814">
      <c r="A814" s="16" t="s">
        <v>3677</v>
      </c>
      <c r="B814" s="16" t="s">
        <v>3678</v>
      </c>
      <c r="C814" s="16" t="s">
        <v>1656</v>
      </c>
      <c r="D814" s="16">
        <v>2.0</v>
      </c>
      <c r="E814" s="16">
        <v>44.28</v>
      </c>
      <c r="F814" s="16">
        <v>88.56</v>
      </c>
    </row>
    <row r="815">
      <c r="A815" s="16" t="s">
        <v>3680</v>
      </c>
      <c r="B815" s="16" t="s">
        <v>3678</v>
      </c>
      <c r="C815" s="23" t="s">
        <v>1653</v>
      </c>
      <c r="D815" s="16">
        <v>2.0</v>
      </c>
      <c r="E815" s="16">
        <v>20.34</v>
      </c>
      <c r="F815" s="16">
        <v>40.68</v>
      </c>
    </row>
    <row r="816">
      <c r="A816" s="16" t="s">
        <v>3681</v>
      </c>
      <c r="B816" s="16" t="s">
        <v>3678</v>
      </c>
      <c r="C816" s="16" t="s">
        <v>3550</v>
      </c>
      <c r="D816" s="16">
        <v>1.0</v>
      </c>
      <c r="E816" s="16">
        <v>41.76</v>
      </c>
      <c r="F816" s="16">
        <v>41.76</v>
      </c>
    </row>
    <row r="817">
      <c r="A817" s="16" t="s">
        <v>3684</v>
      </c>
      <c r="B817" s="16" t="s">
        <v>3678</v>
      </c>
      <c r="C817" s="16" t="s">
        <v>3560</v>
      </c>
      <c r="D817" s="16">
        <v>2.0</v>
      </c>
      <c r="E817" s="16">
        <v>29.94</v>
      </c>
      <c r="F817" s="16">
        <v>59.88</v>
      </c>
    </row>
    <row r="818">
      <c r="A818" s="16" t="s">
        <v>3685</v>
      </c>
      <c r="B818" s="16" t="s">
        <v>3686</v>
      </c>
      <c r="C818" s="16" t="s">
        <v>1656</v>
      </c>
      <c r="D818" s="16">
        <v>2.0</v>
      </c>
      <c r="E818" s="16">
        <v>44.28</v>
      </c>
      <c r="F818" s="16">
        <v>88.56</v>
      </c>
    </row>
    <row r="819">
      <c r="A819" s="16" t="s">
        <v>3687</v>
      </c>
      <c r="B819" s="16" t="s">
        <v>3686</v>
      </c>
      <c r="C819" s="16" t="s">
        <v>1510</v>
      </c>
      <c r="D819" s="16">
        <v>10.0</v>
      </c>
      <c r="E819" s="16">
        <v>11.88</v>
      </c>
      <c r="F819" s="16">
        <v>118.8</v>
      </c>
    </row>
    <row r="820">
      <c r="A820" s="16" t="s">
        <v>3688</v>
      </c>
      <c r="B820" s="16" t="s">
        <v>3689</v>
      </c>
      <c r="C820" s="16" t="s">
        <v>1483</v>
      </c>
      <c r="D820" s="16">
        <v>5.67</v>
      </c>
      <c r="E820" s="16">
        <v>24.9</v>
      </c>
      <c r="F820" s="16">
        <v>141.18</v>
      </c>
    </row>
    <row r="821">
      <c r="A821" s="16" t="s">
        <v>3691</v>
      </c>
      <c r="B821" s="16" t="s">
        <v>3689</v>
      </c>
      <c r="C821" s="16" t="s">
        <v>1489</v>
      </c>
      <c r="D821" s="16">
        <v>2.0</v>
      </c>
      <c r="E821" s="16">
        <v>8.99</v>
      </c>
      <c r="F821" s="16">
        <v>17.98</v>
      </c>
    </row>
    <row r="822">
      <c r="A822" s="16" t="s">
        <v>3694</v>
      </c>
      <c r="B822" s="16" t="s">
        <v>3695</v>
      </c>
      <c r="C822" s="16" t="s">
        <v>1489</v>
      </c>
      <c r="D822" s="16">
        <v>1.0</v>
      </c>
      <c r="E822" s="16">
        <v>8.99</v>
      </c>
      <c r="F822" s="16">
        <v>8.99</v>
      </c>
    </row>
    <row r="823">
      <c r="A823" s="16" t="s">
        <v>3696</v>
      </c>
      <c r="B823" s="16" t="s">
        <v>3697</v>
      </c>
      <c r="C823" s="16" t="s">
        <v>1492</v>
      </c>
      <c r="D823" s="16">
        <v>3.5</v>
      </c>
      <c r="E823" s="16">
        <v>4.49</v>
      </c>
      <c r="F823" s="16">
        <v>15.72</v>
      </c>
    </row>
    <row r="824">
      <c r="A824" s="16" t="s">
        <v>3698</v>
      </c>
      <c r="B824" s="16" t="s">
        <v>3697</v>
      </c>
      <c r="C824" s="16" t="s">
        <v>1539</v>
      </c>
      <c r="D824" s="16">
        <v>3.21</v>
      </c>
      <c r="E824" s="16">
        <v>6.99</v>
      </c>
      <c r="F824" s="16">
        <v>22.44</v>
      </c>
    </row>
    <row r="825">
      <c r="A825" s="16" t="s">
        <v>3700</v>
      </c>
      <c r="B825" s="16" t="s">
        <v>3697</v>
      </c>
      <c r="C825" s="16" t="s">
        <v>1496</v>
      </c>
      <c r="D825" s="16">
        <v>10.0</v>
      </c>
      <c r="E825" s="16">
        <v>12.99</v>
      </c>
      <c r="F825" s="16">
        <v>129.9</v>
      </c>
    </row>
    <row r="826">
      <c r="A826" s="16" t="s">
        <v>3704</v>
      </c>
      <c r="B826" s="16" t="s">
        <v>3705</v>
      </c>
      <c r="C826" s="23" t="s">
        <v>1475</v>
      </c>
      <c r="D826" s="16">
        <v>14.75</v>
      </c>
      <c r="E826" s="16">
        <v>23.0</v>
      </c>
      <c r="F826" s="16">
        <v>339.25</v>
      </c>
    </row>
    <row r="827">
      <c r="A827" s="16" t="s">
        <v>3706</v>
      </c>
      <c r="B827" s="16" t="s">
        <v>3707</v>
      </c>
      <c r="C827" s="16" t="s">
        <v>467</v>
      </c>
      <c r="D827" s="16">
        <v>1.0</v>
      </c>
      <c r="E827" s="16">
        <v>207.0</v>
      </c>
      <c r="F827" s="16">
        <v>207.0</v>
      </c>
    </row>
    <row r="828">
      <c r="A828" s="16" t="s">
        <v>3708</v>
      </c>
      <c r="B828" s="16" t="s">
        <v>3709</v>
      </c>
      <c r="C828" s="16" t="s">
        <v>467</v>
      </c>
      <c r="D828" s="16">
        <v>1.0</v>
      </c>
      <c r="E828" s="16">
        <v>264.0</v>
      </c>
      <c r="F828" s="16">
        <v>264.0</v>
      </c>
    </row>
    <row r="829">
      <c r="A829" s="16" t="s">
        <v>3711</v>
      </c>
      <c r="B829" s="16" t="s">
        <v>3712</v>
      </c>
      <c r="C829" s="16" t="s">
        <v>467</v>
      </c>
      <c r="D829" s="16">
        <v>1.0</v>
      </c>
      <c r="E829" s="16">
        <v>191.0</v>
      </c>
      <c r="F829" s="16">
        <v>191.0</v>
      </c>
    </row>
    <row r="830">
      <c r="A830" s="16" t="s">
        <v>3713</v>
      </c>
      <c r="B830" s="16" t="s">
        <v>3715</v>
      </c>
      <c r="C830" s="16" t="s">
        <v>1743</v>
      </c>
      <c r="D830" s="16">
        <v>2.0</v>
      </c>
      <c r="E830" s="16">
        <v>7.99</v>
      </c>
      <c r="F830" s="16">
        <v>15.98</v>
      </c>
    </row>
    <row r="831">
      <c r="A831" s="16" t="s">
        <v>3717</v>
      </c>
      <c r="B831" s="16" t="s">
        <v>3715</v>
      </c>
      <c r="C831" s="16" t="s">
        <v>1568</v>
      </c>
      <c r="D831" s="16">
        <v>2.0</v>
      </c>
      <c r="E831" s="16">
        <v>8.99</v>
      </c>
      <c r="F831" s="16">
        <v>17.98</v>
      </c>
    </row>
    <row r="832">
      <c r="A832" s="16" t="s">
        <v>3718</v>
      </c>
      <c r="B832" s="16" t="s">
        <v>3715</v>
      </c>
      <c r="C832" s="16" t="s">
        <v>2671</v>
      </c>
      <c r="D832" s="16">
        <v>1.0</v>
      </c>
      <c r="E832" s="16">
        <v>6.99</v>
      </c>
      <c r="F832" s="16">
        <v>6.99</v>
      </c>
    </row>
    <row r="833">
      <c r="A833" s="16" t="s">
        <v>3719</v>
      </c>
      <c r="B833" s="16" t="s">
        <v>3715</v>
      </c>
      <c r="C833" s="16" t="s">
        <v>1539</v>
      </c>
      <c r="D833" s="16">
        <v>3.87</v>
      </c>
      <c r="E833" s="16">
        <v>5.99</v>
      </c>
      <c r="F833" s="16">
        <v>23.18</v>
      </c>
    </row>
    <row r="834">
      <c r="A834" s="16" t="s">
        <v>3721</v>
      </c>
      <c r="B834" s="16" t="s">
        <v>3715</v>
      </c>
      <c r="C834" s="16" t="s">
        <v>1496</v>
      </c>
      <c r="D834" s="16">
        <v>12.0</v>
      </c>
      <c r="E834" s="16">
        <v>7.99</v>
      </c>
      <c r="F834" s="16">
        <v>95.88</v>
      </c>
    </row>
    <row r="835">
      <c r="A835" s="16" t="s">
        <v>3723</v>
      </c>
      <c r="B835" s="16" t="s">
        <v>3724</v>
      </c>
      <c r="C835" s="16" t="s">
        <v>1489</v>
      </c>
      <c r="D835" s="16">
        <v>2.0</v>
      </c>
      <c r="E835" s="16">
        <v>8.99</v>
      </c>
      <c r="F835" s="16">
        <v>17.98</v>
      </c>
    </row>
    <row r="836">
      <c r="A836" s="16" t="s">
        <v>3726</v>
      </c>
      <c r="B836" s="16" t="s">
        <v>3724</v>
      </c>
      <c r="C836" s="16" t="s">
        <v>1587</v>
      </c>
      <c r="D836" s="16">
        <v>1.0</v>
      </c>
      <c r="E836" s="16">
        <v>4.49</v>
      </c>
      <c r="F836" s="16">
        <v>4.49</v>
      </c>
    </row>
    <row r="837">
      <c r="A837" s="16" t="s">
        <v>3727</v>
      </c>
      <c r="B837" s="16" t="s">
        <v>3724</v>
      </c>
      <c r="C837" s="16" t="s">
        <v>1578</v>
      </c>
      <c r="D837" s="16">
        <v>1.0</v>
      </c>
      <c r="E837" s="16">
        <v>25.99</v>
      </c>
      <c r="F837" s="16">
        <v>25.99</v>
      </c>
    </row>
    <row r="838">
      <c r="A838" s="16" t="s">
        <v>3728</v>
      </c>
      <c r="B838" s="16" t="s">
        <v>3724</v>
      </c>
      <c r="C838" s="16" t="s">
        <v>1483</v>
      </c>
      <c r="D838" s="16">
        <v>4.91</v>
      </c>
      <c r="E838" s="16">
        <v>32.99</v>
      </c>
      <c r="F838" s="16">
        <v>161.98</v>
      </c>
    </row>
    <row r="839">
      <c r="A839" s="16" t="s">
        <v>3731</v>
      </c>
      <c r="B839" s="16" t="s">
        <v>3724</v>
      </c>
      <c r="C839" s="16" t="s">
        <v>1574</v>
      </c>
      <c r="D839" s="16">
        <v>1.0</v>
      </c>
      <c r="E839" s="16">
        <v>5.29</v>
      </c>
      <c r="F839" s="16">
        <v>5.29</v>
      </c>
    </row>
    <row r="840">
      <c r="A840" s="16" t="s">
        <v>3734</v>
      </c>
      <c r="B840" s="16" t="s">
        <v>3724</v>
      </c>
      <c r="C840" s="16" t="s">
        <v>1565</v>
      </c>
      <c r="D840" s="16">
        <v>4.0</v>
      </c>
      <c r="E840" s="16">
        <v>9.98</v>
      </c>
      <c r="F840" s="16">
        <v>39.92</v>
      </c>
    </row>
    <row r="841">
      <c r="A841" s="16" t="s">
        <v>3736</v>
      </c>
      <c r="B841" s="16" t="s">
        <v>3737</v>
      </c>
      <c r="C841" s="16" t="s">
        <v>467</v>
      </c>
      <c r="D841" s="16">
        <v>1.0</v>
      </c>
      <c r="E841" s="16">
        <v>106.0</v>
      </c>
      <c r="F841" s="16">
        <v>106.0</v>
      </c>
    </row>
    <row r="842">
      <c r="A842" s="16" t="s">
        <v>3738</v>
      </c>
      <c r="B842" s="16" t="s">
        <v>3739</v>
      </c>
      <c r="C842" s="16" t="s">
        <v>467</v>
      </c>
      <c r="D842" s="16">
        <v>1.0</v>
      </c>
      <c r="E842" s="16">
        <v>106.0</v>
      </c>
      <c r="F842" s="16">
        <v>106.0</v>
      </c>
    </row>
    <row r="843">
      <c r="A843" s="16" t="s">
        <v>3740</v>
      </c>
      <c r="B843" s="16" t="s">
        <v>3741</v>
      </c>
      <c r="C843" s="16" t="s">
        <v>467</v>
      </c>
      <c r="D843" s="16">
        <v>1.0</v>
      </c>
      <c r="E843" s="16">
        <v>108.0</v>
      </c>
      <c r="F843" s="16">
        <v>108.0</v>
      </c>
    </row>
    <row r="844">
      <c r="A844" s="16" t="s">
        <v>3743</v>
      </c>
      <c r="B844" s="16" t="s">
        <v>3744</v>
      </c>
      <c r="C844" s="16" t="s">
        <v>1726</v>
      </c>
      <c r="D844" s="16">
        <v>0.254</v>
      </c>
      <c r="E844" s="16">
        <v>14.95</v>
      </c>
      <c r="F844" s="16">
        <v>3.8</v>
      </c>
    </row>
    <row r="845">
      <c r="A845" s="16" t="s">
        <v>3745</v>
      </c>
      <c r="B845" s="16" t="s">
        <v>3747</v>
      </c>
      <c r="C845" s="16" t="s">
        <v>467</v>
      </c>
      <c r="D845" s="16">
        <v>1.0</v>
      </c>
      <c r="E845" s="16">
        <v>49.0</v>
      </c>
      <c r="F845" s="16">
        <v>49.0</v>
      </c>
    </row>
    <row r="846">
      <c r="A846" s="16" t="s">
        <v>3750</v>
      </c>
      <c r="B846" s="16" t="s">
        <v>3751</v>
      </c>
      <c r="C846" s="23" t="s">
        <v>1475</v>
      </c>
      <c r="D846" s="16">
        <v>7.75</v>
      </c>
      <c r="E846" s="16">
        <v>23.0</v>
      </c>
      <c r="F846" s="16">
        <v>178.25</v>
      </c>
    </row>
    <row r="847">
      <c r="A847" s="16" t="s">
        <v>3753</v>
      </c>
      <c r="B847" s="16" t="s">
        <v>3754</v>
      </c>
      <c r="C847" s="16" t="s">
        <v>2345</v>
      </c>
      <c r="D847" s="16">
        <v>1.0</v>
      </c>
      <c r="E847" s="16">
        <v>1118.8</v>
      </c>
      <c r="F847" s="16">
        <v>1118.8</v>
      </c>
    </row>
    <row r="848">
      <c r="A848" s="16" t="s">
        <v>3755</v>
      </c>
      <c r="B848" s="16" t="s">
        <v>3754</v>
      </c>
      <c r="C848" s="16" t="s">
        <v>1549</v>
      </c>
      <c r="D848" s="16">
        <v>1.0</v>
      </c>
      <c r="E848" s="16">
        <v>106.29</v>
      </c>
      <c r="F848" s="16">
        <v>106.29</v>
      </c>
    </row>
    <row r="849">
      <c r="A849" s="16" t="s">
        <v>3757</v>
      </c>
      <c r="B849" s="16" t="s">
        <v>3758</v>
      </c>
      <c r="C849" s="16" t="s">
        <v>1549</v>
      </c>
      <c r="D849" s="16">
        <v>1.0</v>
      </c>
      <c r="E849" s="16">
        <v>2520.61</v>
      </c>
      <c r="F849" s="16">
        <v>2520.61</v>
      </c>
    </row>
    <row r="850">
      <c r="A850" s="16" t="s">
        <v>3760</v>
      </c>
      <c r="B850" s="16" t="s">
        <v>3758</v>
      </c>
      <c r="C850" s="16" t="s">
        <v>1551</v>
      </c>
      <c r="D850" s="16">
        <v>1.0</v>
      </c>
      <c r="E850" s="16">
        <v>449.35</v>
      </c>
      <c r="F850" s="16">
        <v>449.35</v>
      </c>
    </row>
    <row r="851">
      <c r="A851" s="16" t="s">
        <v>3762</v>
      </c>
      <c r="B851" s="16" t="s">
        <v>3758</v>
      </c>
      <c r="C851" s="16" t="s">
        <v>1547</v>
      </c>
      <c r="D851" s="16">
        <v>1.0</v>
      </c>
      <c r="E851" s="16">
        <v>26532.75</v>
      </c>
      <c r="F851" s="16">
        <v>26532.75</v>
      </c>
    </row>
    <row r="852">
      <c r="A852" s="16" t="s">
        <v>3763</v>
      </c>
      <c r="B852" s="16" t="s">
        <v>3764</v>
      </c>
      <c r="C852" s="16" t="s">
        <v>1616</v>
      </c>
      <c r="D852" s="16">
        <v>1.0</v>
      </c>
      <c r="E852" s="16">
        <v>12629.25</v>
      </c>
      <c r="F852" s="16">
        <v>12629.25</v>
      </c>
    </row>
    <row r="853">
      <c r="A853" s="16" t="s">
        <v>3766</v>
      </c>
      <c r="B853" s="16" t="s">
        <v>3764</v>
      </c>
      <c r="C853" s="16" t="s">
        <v>1549</v>
      </c>
      <c r="D853" s="16">
        <v>1.0</v>
      </c>
      <c r="E853" s="16">
        <v>1199.78</v>
      </c>
      <c r="F853" s="16">
        <v>1199.78</v>
      </c>
    </row>
    <row r="854">
      <c r="A854" s="16" t="s">
        <v>3769</v>
      </c>
      <c r="B854" s="16" t="s">
        <v>3770</v>
      </c>
      <c r="C854" s="16" t="s">
        <v>1726</v>
      </c>
      <c r="D854" s="16">
        <v>1.028</v>
      </c>
      <c r="E854" s="16">
        <v>14.95</v>
      </c>
      <c r="F854" s="16">
        <v>15.37</v>
      </c>
    </row>
    <row r="855">
      <c r="A855" s="16" t="s">
        <v>3772</v>
      </c>
      <c r="B855" s="16" t="s">
        <v>3773</v>
      </c>
      <c r="C855" s="16" t="s">
        <v>1471</v>
      </c>
      <c r="D855" s="16">
        <v>1.0</v>
      </c>
      <c r="E855" s="16">
        <v>410.22</v>
      </c>
      <c r="F855" s="16">
        <v>410.22</v>
      </c>
    </row>
    <row r="856">
      <c r="A856" s="23" t="s">
        <v>3776</v>
      </c>
      <c r="B856" s="16" t="s">
        <v>3777</v>
      </c>
      <c r="C856" s="16" t="s">
        <v>1510</v>
      </c>
      <c r="D856" s="16">
        <v>15.0</v>
      </c>
      <c r="E856" s="16">
        <v>11.88</v>
      </c>
      <c r="F856" s="16">
        <v>178.2</v>
      </c>
    </row>
    <row r="857">
      <c r="A857" s="16" t="s">
        <v>3778</v>
      </c>
      <c r="B857" s="16" t="s">
        <v>3777</v>
      </c>
      <c r="C857" s="16" t="s">
        <v>1517</v>
      </c>
      <c r="D857" s="16">
        <v>15.0</v>
      </c>
      <c r="E857" s="16">
        <v>14.28</v>
      </c>
      <c r="F857" s="16">
        <v>214.2</v>
      </c>
    </row>
    <row r="858">
      <c r="A858" s="16" t="s">
        <v>3780</v>
      </c>
      <c r="B858" s="16" t="s">
        <v>3781</v>
      </c>
      <c r="C858" s="16" t="s">
        <v>210</v>
      </c>
      <c r="D858" s="16">
        <v>1.0</v>
      </c>
      <c r="E858" s="16">
        <v>2242.5</v>
      </c>
      <c r="F858" s="16">
        <v>2242.5</v>
      </c>
    </row>
    <row r="859">
      <c r="A859" s="16" t="s">
        <v>3784</v>
      </c>
      <c r="B859" s="16" t="s">
        <v>3781</v>
      </c>
      <c r="C859" s="16" t="s">
        <v>1551</v>
      </c>
      <c r="D859" s="16">
        <v>1.0</v>
      </c>
      <c r="E859" s="16">
        <v>107.08</v>
      </c>
      <c r="F859" s="16">
        <v>107.08</v>
      </c>
    </row>
    <row r="860">
      <c r="A860" s="16" t="s">
        <v>3787</v>
      </c>
      <c r="B860" s="16" t="s">
        <v>3788</v>
      </c>
      <c r="C860" s="23" t="s">
        <v>1533</v>
      </c>
      <c r="D860" s="16">
        <v>5.0</v>
      </c>
      <c r="E860" s="16">
        <v>7.99</v>
      </c>
      <c r="F860" s="16">
        <v>39.95</v>
      </c>
    </row>
    <row r="861">
      <c r="A861" s="16" t="s">
        <v>3789</v>
      </c>
      <c r="B861" s="16" t="s">
        <v>3788</v>
      </c>
      <c r="C861" s="16" t="s">
        <v>3790</v>
      </c>
      <c r="D861" s="16">
        <v>1.0</v>
      </c>
      <c r="E861" s="16">
        <v>2.99</v>
      </c>
      <c r="F861" s="16">
        <v>2.99</v>
      </c>
    </row>
    <row r="862">
      <c r="A862" s="16" t="s">
        <v>3792</v>
      </c>
      <c r="B862" s="16" t="s">
        <v>3788</v>
      </c>
      <c r="C862" s="16" t="s">
        <v>3793</v>
      </c>
      <c r="D862" s="16">
        <v>1.0</v>
      </c>
      <c r="E862" s="16">
        <v>14.99</v>
      </c>
      <c r="F862" s="16">
        <v>14.99</v>
      </c>
    </row>
    <row r="863">
      <c r="A863" s="16" t="s">
        <v>3794</v>
      </c>
      <c r="B863" s="16" t="s">
        <v>3788</v>
      </c>
      <c r="C863" s="16" t="s">
        <v>3796</v>
      </c>
      <c r="D863" s="16">
        <v>2.0</v>
      </c>
      <c r="E863" s="16">
        <v>9.99</v>
      </c>
      <c r="F863" s="16">
        <v>19.98</v>
      </c>
    </row>
    <row r="864">
      <c r="A864" s="16" t="s">
        <v>3798</v>
      </c>
      <c r="B864" s="16" t="s">
        <v>3800</v>
      </c>
      <c r="C864" s="16" t="s">
        <v>3801</v>
      </c>
      <c r="D864" s="16">
        <v>5.0</v>
      </c>
      <c r="E864" s="16">
        <v>3.99</v>
      </c>
      <c r="F864" s="16">
        <v>19.95</v>
      </c>
    </row>
    <row r="865">
      <c r="A865" s="16" t="s">
        <v>3802</v>
      </c>
      <c r="B865" s="16" t="s">
        <v>3803</v>
      </c>
      <c r="C865" s="16" t="s">
        <v>1502</v>
      </c>
      <c r="D865" s="16">
        <v>4.0</v>
      </c>
      <c r="E865" s="16">
        <v>8.99</v>
      </c>
      <c r="F865" s="16">
        <v>35.96</v>
      </c>
    </row>
    <row r="866">
      <c r="A866" s="16" t="s">
        <v>3804</v>
      </c>
      <c r="B866" s="16" t="s">
        <v>3803</v>
      </c>
      <c r="C866" s="16" t="s">
        <v>1492</v>
      </c>
      <c r="D866" s="16">
        <v>2.08</v>
      </c>
      <c r="E866" s="16">
        <v>5.99</v>
      </c>
      <c r="F866" s="16">
        <v>12.46</v>
      </c>
    </row>
    <row r="867">
      <c r="A867" s="16" t="s">
        <v>3806</v>
      </c>
      <c r="B867" s="16" t="s">
        <v>3803</v>
      </c>
      <c r="C867" s="16" t="s">
        <v>1492</v>
      </c>
      <c r="D867" s="16">
        <v>2.67</v>
      </c>
      <c r="E867" s="16">
        <v>5.99</v>
      </c>
      <c r="F867" s="16">
        <v>15.99</v>
      </c>
    </row>
    <row r="868">
      <c r="A868" s="16" t="s">
        <v>3810</v>
      </c>
      <c r="B868" s="16" t="s">
        <v>3803</v>
      </c>
      <c r="C868" s="16" t="s">
        <v>1489</v>
      </c>
      <c r="D868" s="16">
        <v>1.0</v>
      </c>
      <c r="E868" s="16">
        <v>8.99</v>
      </c>
      <c r="F868" s="16">
        <v>8.99</v>
      </c>
    </row>
    <row r="869">
      <c r="A869" s="16" t="s">
        <v>3814</v>
      </c>
      <c r="B869" s="16" t="s">
        <v>3803</v>
      </c>
      <c r="C869" s="16" t="s">
        <v>1568</v>
      </c>
      <c r="D869" s="16">
        <v>1.0</v>
      </c>
      <c r="E869" s="16">
        <v>13.99</v>
      </c>
      <c r="F869" s="16">
        <v>13.99</v>
      </c>
    </row>
    <row r="870">
      <c r="A870" s="16" t="s">
        <v>3816</v>
      </c>
      <c r="B870" s="16" t="s">
        <v>3803</v>
      </c>
      <c r="C870" s="16" t="s">
        <v>1565</v>
      </c>
      <c r="D870" s="16">
        <v>3.0</v>
      </c>
      <c r="E870" s="16">
        <v>11.99</v>
      </c>
      <c r="F870" s="16">
        <v>35.97</v>
      </c>
    </row>
    <row r="871">
      <c r="A871" s="16" t="s">
        <v>3820</v>
      </c>
      <c r="B871" s="16" t="s">
        <v>3803</v>
      </c>
      <c r="C871" s="16" t="s">
        <v>1571</v>
      </c>
      <c r="D871" s="16">
        <v>4.0</v>
      </c>
      <c r="E871" s="16">
        <v>1.19</v>
      </c>
      <c r="F871" s="16">
        <v>4.76</v>
      </c>
    </row>
    <row r="872">
      <c r="A872" s="16" t="s">
        <v>3822</v>
      </c>
      <c r="B872" s="16" t="s">
        <v>3803</v>
      </c>
      <c r="C872" s="16" t="s">
        <v>2586</v>
      </c>
      <c r="D872" s="16">
        <v>1.0</v>
      </c>
      <c r="E872" s="16">
        <v>4.49</v>
      </c>
      <c r="F872" s="16">
        <v>4.49</v>
      </c>
    </row>
    <row r="873">
      <c r="A873" s="16" t="s">
        <v>3825</v>
      </c>
      <c r="B873" s="16" t="s">
        <v>3826</v>
      </c>
      <c r="C873" s="16" t="s">
        <v>3801</v>
      </c>
      <c r="D873" s="16">
        <v>1.0</v>
      </c>
      <c r="E873" s="16">
        <v>44.61</v>
      </c>
      <c r="F873" s="16">
        <v>44.61</v>
      </c>
    </row>
    <row r="874">
      <c r="A874" s="16" t="s">
        <v>3827</v>
      </c>
      <c r="B874" s="16" t="s">
        <v>3829</v>
      </c>
      <c r="C874" s="23" t="s">
        <v>1475</v>
      </c>
      <c r="D874" s="16">
        <v>9.0</v>
      </c>
      <c r="E874" s="16">
        <v>23.0</v>
      </c>
      <c r="F874" s="16">
        <v>207.0</v>
      </c>
    </row>
    <row r="875">
      <c r="A875" s="16" t="s">
        <v>3833</v>
      </c>
      <c r="B875" s="23" t="s">
        <v>3835</v>
      </c>
      <c r="C875" s="16" t="s">
        <v>467</v>
      </c>
      <c r="D875" s="16">
        <v>1.0</v>
      </c>
      <c r="E875" s="16">
        <v>411.0</v>
      </c>
      <c r="F875" s="16">
        <v>411.0</v>
      </c>
    </row>
    <row r="876">
      <c r="A876" s="16" t="s">
        <v>3836</v>
      </c>
      <c r="B876" s="16" t="s">
        <v>3837</v>
      </c>
      <c r="C876" s="16" t="s">
        <v>467</v>
      </c>
      <c r="D876" s="16">
        <v>1.0</v>
      </c>
      <c r="E876" s="16">
        <v>246.0</v>
      </c>
      <c r="F876" s="16">
        <v>246.0</v>
      </c>
    </row>
    <row r="877">
      <c r="A877" s="16" t="s">
        <v>3839</v>
      </c>
      <c r="B877" s="16" t="s">
        <v>3840</v>
      </c>
      <c r="C877" s="16" t="s">
        <v>467</v>
      </c>
      <c r="D877" s="16">
        <v>1.0</v>
      </c>
      <c r="E877" s="16">
        <v>313.0</v>
      </c>
      <c r="F877" s="16">
        <v>313.0</v>
      </c>
    </row>
    <row r="878">
      <c r="A878" s="16" t="s">
        <v>3843</v>
      </c>
      <c r="B878" s="16" t="s">
        <v>3844</v>
      </c>
      <c r="C878" s="16" t="s">
        <v>467</v>
      </c>
      <c r="D878" s="16">
        <v>1.0</v>
      </c>
      <c r="E878" s="16">
        <v>103.0</v>
      </c>
      <c r="F878" s="16">
        <v>103.0</v>
      </c>
    </row>
    <row r="879">
      <c r="A879" s="16" t="s">
        <v>3847</v>
      </c>
      <c r="B879" s="16" t="s">
        <v>3849</v>
      </c>
      <c r="C879" s="16" t="s">
        <v>3850</v>
      </c>
      <c r="D879" s="16">
        <v>1.0</v>
      </c>
      <c r="E879" s="16">
        <v>79.99</v>
      </c>
      <c r="F879" s="16">
        <v>79.99</v>
      </c>
    </row>
    <row r="880">
      <c r="A880" s="16" t="s">
        <v>3852</v>
      </c>
      <c r="B880" s="16" t="s">
        <v>3853</v>
      </c>
      <c r="C880" s="16" t="s">
        <v>1502</v>
      </c>
      <c r="D880" s="16">
        <v>3.0</v>
      </c>
      <c r="E880" s="16">
        <v>6.99</v>
      </c>
      <c r="F880" s="16">
        <v>20.97</v>
      </c>
    </row>
    <row r="881">
      <c r="A881" s="16" t="s">
        <v>3854</v>
      </c>
      <c r="B881" s="16" t="s">
        <v>3853</v>
      </c>
      <c r="C881" s="16" t="s">
        <v>1539</v>
      </c>
      <c r="D881" s="16">
        <v>1.71</v>
      </c>
      <c r="E881" s="16">
        <v>7.49</v>
      </c>
      <c r="F881" s="16">
        <v>12.81</v>
      </c>
    </row>
    <row r="882">
      <c r="A882" s="16" t="s">
        <v>3855</v>
      </c>
      <c r="B882" s="16" t="s">
        <v>3856</v>
      </c>
      <c r="C882" s="23" t="s">
        <v>1475</v>
      </c>
      <c r="D882" s="16">
        <v>12.5</v>
      </c>
      <c r="E882" s="16">
        <v>23.0</v>
      </c>
      <c r="F882" s="16">
        <v>287.5</v>
      </c>
    </row>
    <row r="883">
      <c r="A883" s="16" t="s">
        <v>3858</v>
      </c>
      <c r="B883" s="16" t="s">
        <v>3859</v>
      </c>
      <c r="C883" s="16" t="s">
        <v>1483</v>
      </c>
      <c r="D883" s="16">
        <v>3.652</v>
      </c>
      <c r="E883" s="16">
        <v>37.5</v>
      </c>
      <c r="F883" s="16">
        <v>136.95</v>
      </c>
    </row>
    <row r="884">
      <c r="A884" s="16" t="s">
        <v>3862</v>
      </c>
      <c r="B884" s="16" t="s">
        <v>3859</v>
      </c>
      <c r="C884" s="16" t="s">
        <v>1492</v>
      </c>
      <c r="D884" s="16">
        <v>3.214</v>
      </c>
      <c r="E884" s="16">
        <v>5.99</v>
      </c>
      <c r="F884" s="16">
        <v>19.25</v>
      </c>
    </row>
    <row r="885">
      <c r="A885" s="16" t="s">
        <v>3863</v>
      </c>
      <c r="B885" s="16" t="s">
        <v>3859</v>
      </c>
      <c r="C885" s="16" t="s">
        <v>1496</v>
      </c>
      <c r="D885" s="16">
        <v>10.0</v>
      </c>
      <c r="E885" s="16">
        <v>14.5</v>
      </c>
      <c r="F885" s="16">
        <v>145.0</v>
      </c>
    </row>
    <row r="886">
      <c r="A886" s="16" t="s">
        <v>3864</v>
      </c>
      <c r="B886" s="16" t="s">
        <v>3865</v>
      </c>
      <c r="C886" s="16" t="s">
        <v>1483</v>
      </c>
      <c r="D886" s="16">
        <v>3.95</v>
      </c>
      <c r="E886" s="16">
        <v>32.99</v>
      </c>
      <c r="F886" s="16">
        <v>130.31</v>
      </c>
    </row>
    <row r="887">
      <c r="A887" s="16" t="s">
        <v>3866</v>
      </c>
      <c r="B887" s="16" t="s">
        <v>3865</v>
      </c>
      <c r="C887" s="16" t="s">
        <v>1492</v>
      </c>
      <c r="D887" s="16">
        <v>4.285</v>
      </c>
      <c r="E887" s="16">
        <v>5.99</v>
      </c>
      <c r="F887" s="16">
        <v>25.67</v>
      </c>
    </row>
    <row r="888">
      <c r="A888" s="16" t="s">
        <v>3868</v>
      </c>
      <c r="B888" s="16" t="s">
        <v>3865</v>
      </c>
      <c r="C888" s="16" t="s">
        <v>1565</v>
      </c>
      <c r="D888" s="16">
        <v>2.0</v>
      </c>
      <c r="E888" s="16">
        <v>14.99</v>
      </c>
      <c r="F888" s="16">
        <v>29.98</v>
      </c>
    </row>
    <row r="889">
      <c r="A889" s="16" t="s">
        <v>3870</v>
      </c>
      <c r="B889" s="16" t="s">
        <v>3865</v>
      </c>
      <c r="C889" s="16" t="s">
        <v>1496</v>
      </c>
      <c r="D889" s="16">
        <v>10.0</v>
      </c>
      <c r="E889" s="16">
        <v>11.9</v>
      </c>
      <c r="F889" s="16">
        <v>119.0</v>
      </c>
    </row>
    <row r="890">
      <c r="A890" s="16" t="s">
        <v>3871</v>
      </c>
      <c r="B890" s="16" t="s">
        <v>3865</v>
      </c>
      <c r="C890" s="16" t="s">
        <v>1489</v>
      </c>
      <c r="D890" s="16">
        <v>4.0</v>
      </c>
      <c r="E890" s="16">
        <v>8.99</v>
      </c>
      <c r="F890" s="16">
        <v>35.96</v>
      </c>
    </row>
    <row r="891">
      <c r="A891" s="16" t="s">
        <v>3873</v>
      </c>
      <c r="B891" s="16" t="s">
        <v>3874</v>
      </c>
      <c r="C891" s="23" t="s">
        <v>1475</v>
      </c>
      <c r="D891" s="16">
        <v>8.0</v>
      </c>
      <c r="E891" s="16">
        <v>23.0</v>
      </c>
      <c r="F891" s="16">
        <v>184.0</v>
      </c>
    </row>
    <row r="892">
      <c r="A892" s="16" t="s">
        <v>3875</v>
      </c>
      <c r="B892" s="16" t="s">
        <v>3877</v>
      </c>
      <c r="C892" s="16" t="s">
        <v>1828</v>
      </c>
      <c r="D892" s="16">
        <v>1.0</v>
      </c>
      <c r="E892" s="16">
        <v>14.99</v>
      </c>
      <c r="F892" s="16">
        <v>14.99</v>
      </c>
    </row>
    <row r="893">
      <c r="A893" s="16" t="s">
        <v>3879</v>
      </c>
      <c r="B893" s="16" t="s">
        <v>3877</v>
      </c>
      <c r="C893" s="16" t="s">
        <v>1606</v>
      </c>
      <c r="D893" s="16">
        <v>4.0</v>
      </c>
      <c r="E893" s="16">
        <v>16.99</v>
      </c>
      <c r="F893" s="16">
        <v>67.96</v>
      </c>
    </row>
    <row r="894">
      <c r="A894" s="16" t="s">
        <v>3882</v>
      </c>
      <c r="B894" s="16" t="s">
        <v>3877</v>
      </c>
      <c r="C894" s="16" t="s">
        <v>1606</v>
      </c>
      <c r="D894" s="16">
        <v>1.0</v>
      </c>
      <c r="E894" s="16">
        <v>19.9</v>
      </c>
      <c r="F894" s="16">
        <v>19.9</v>
      </c>
    </row>
    <row r="895">
      <c r="A895" s="16" t="s">
        <v>3884</v>
      </c>
      <c r="B895" s="16" t="s">
        <v>3877</v>
      </c>
      <c r="C895" s="16" t="s">
        <v>1642</v>
      </c>
      <c r="D895" s="16">
        <v>2.0</v>
      </c>
      <c r="E895" s="16">
        <v>32.99</v>
      </c>
      <c r="F895" s="16">
        <v>65.98</v>
      </c>
    </row>
    <row r="896">
      <c r="A896" s="16" t="s">
        <v>3886</v>
      </c>
      <c r="B896" s="16" t="s">
        <v>3877</v>
      </c>
      <c r="C896" s="16" t="s">
        <v>3887</v>
      </c>
      <c r="D896" s="16">
        <v>1.0</v>
      </c>
      <c r="E896" s="16">
        <v>29.99</v>
      </c>
      <c r="F896" s="16">
        <v>29.99</v>
      </c>
    </row>
    <row r="897">
      <c r="A897" s="16" t="s">
        <v>3888</v>
      </c>
      <c r="B897" s="16" t="s">
        <v>3877</v>
      </c>
      <c r="C897" s="16" t="s">
        <v>1837</v>
      </c>
      <c r="D897" s="16">
        <v>10.0</v>
      </c>
      <c r="E897" s="16">
        <v>19.99</v>
      </c>
      <c r="F897" s="16">
        <v>199.9</v>
      </c>
    </row>
    <row r="898">
      <c r="A898" s="16" t="s">
        <v>3890</v>
      </c>
      <c r="B898" s="16" t="s">
        <v>3877</v>
      </c>
      <c r="C898" s="16" t="s">
        <v>1642</v>
      </c>
      <c r="D898" s="16">
        <v>1.0</v>
      </c>
      <c r="E898" s="16">
        <v>2.69</v>
      </c>
      <c r="F898" s="16">
        <v>2.69</v>
      </c>
    </row>
    <row r="899">
      <c r="A899" s="16" t="s">
        <v>3894</v>
      </c>
      <c r="B899" s="16" t="s">
        <v>3877</v>
      </c>
      <c r="C899" s="16" t="s">
        <v>1824</v>
      </c>
      <c r="D899" s="16">
        <v>1.0</v>
      </c>
      <c r="E899" s="16">
        <v>22.99</v>
      </c>
      <c r="F899" s="16">
        <v>22.99</v>
      </c>
    </row>
    <row r="900">
      <c r="A900" s="16" t="s">
        <v>3895</v>
      </c>
      <c r="B900" s="16" t="s">
        <v>3877</v>
      </c>
      <c r="C900" s="16" t="s">
        <v>1646</v>
      </c>
      <c r="D900" s="16">
        <v>20.0</v>
      </c>
      <c r="E900" s="16">
        <v>14.99</v>
      </c>
      <c r="F900" s="16">
        <v>299.8</v>
      </c>
    </row>
    <row r="901">
      <c r="A901" s="16" t="s">
        <v>3897</v>
      </c>
      <c r="B901" s="16" t="s">
        <v>3877</v>
      </c>
      <c r="C901" s="16" t="s">
        <v>1593</v>
      </c>
      <c r="D901" s="16">
        <v>12.0</v>
      </c>
      <c r="E901" s="16">
        <v>11.99</v>
      </c>
      <c r="F901" s="16">
        <v>143.88</v>
      </c>
    </row>
    <row r="902">
      <c r="A902" s="16" t="s">
        <v>3898</v>
      </c>
      <c r="B902" s="16" t="s">
        <v>3877</v>
      </c>
      <c r="C902" s="16" t="s">
        <v>1587</v>
      </c>
      <c r="D902" s="16">
        <v>1.0</v>
      </c>
      <c r="E902" s="16">
        <v>5.99</v>
      </c>
      <c r="F902" s="16">
        <v>5.99</v>
      </c>
    </row>
    <row r="903">
      <c r="A903" s="16" t="s">
        <v>3902</v>
      </c>
      <c r="B903" s="16" t="s">
        <v>3877</v>
      </c>
      <c r="C903" s="16" t="s">
        <v>3796</v>
      </c>
      <c r="D903" s="16">
        <v>1.0</v>
      </c>
      <c r="E903" s="16">
        <v>45.99</v>
      </c>
      <c r="F903" s="16">
        <v>45.99</v>
      </c>
    </row>
    <row r="904">
      <c r="A904" s="16" t="s">
        <v>3903</v>
      </c>
      <c r="B904" s="16" t="s">
        <v>3904</v>
      </c>
      <c r="C904" s="16" t="s">
        <v>210</v>
      </c>
      <c r="D904" s="16">
        <v>1.0</v>
      </c>
      <c r="E904" s="16">
        <v>3300.0</v>
      </c>
      <c r="F904" s="16">
        <v>3300.0</v>
      </c>
    </row>
    <row r="905">
      <c r="A905" s="16" t="s">
        <v>3909</v>
      </c>
      <c r="B905" s="16" t="s">
        <v>3904</v>
      </c>
      <c r="C905" s="16" t="s">
        <v>1551</v>
      </c>
      <c r="D905" s="16">
        <v>1.0</v>
      </c>
      <c r="E905" s="16">
        <v>222.75</v>
      </c>
      <c r="F905" s="16">
        <v>222.75</v>
      </c>
    </row>
    <row r="906">
      <c r="A906" s="16" t="s">
        <v>3912</v>
      </c>
      <c r="B906" s="16" t="s">
        <v>3913</v>
      </c>
      <c r="C906" s="16" t="s">
        <v>467</v>
      </c>
      <c r="D906" s="16">
        <v>1.0</v>
      </c>
      <c r="E906" s="16">
        <v>111.0</v>
      </c>
      <c r="F906" s="16">
        <v>111.0</v>
      </c>
    </row>
    <row r="907">
      <c r="A907" s="16" t="s">
        <v>3915</v>
      </c>
      <c r="B907" s="16" t="s">
        <v>3916</v>
      </c>
      <c r="C907" s="16" t="s">
        <v>467</v>
      </c>
      <c r="D907" s="16">
        <v>1.0</v>
      </c>
      <c r="E907" s="16">
        <v>267.0</v>
      </c>
      <c r="F907" s="16">
        <v>267.0</v>
      </c>
    </row>
    <row r="908">
      <c r="A908" s="16" t="s">
        <v>3919</v>
      </c>
      <c r="B908" s="16" t="s">
        <v>3920</v>
      </c>
      <c r="C908" s="16" t="s">
        <v>467</v>
      </c>
      <c r="D908" s="16">
        <v>1.0</v>
      </c>
      <c r="E908" s="16">
        <v>40.0</v>
      </c>
      <c r="F908" s="16">
        <v>40.0</v>
      </c>
    </row>
    <row r="909">
      <c r="A909" s="16" t="s">
        <v>3922</v>
      </c>
      <c r="B909" s="16" t="s">
        <v>3923</v>
      </c>
      <c r="C909" s="16" t="s">
        <v>467</v>
      </c>
      <c r="D909" s="16">
        <v>1.0</v>
      </c>
      <c r="E909" s="16">
        <v>227.0</v>
      </c>
      <c r="F909" s="16">
        <v>227.0</v>
      </c>
    </row>
    <row r="910">
      <c r="A910" s="16" t="s">
        <v>3927</v>
      </c>
      <c r="B910" s="16" t="s">
        <v>3928</v>
      </c>
      <c r="C910" s="16" t="s">
        <v>1502</v>
      </c>
      <c r="D910" s="16">
        <v>1.0</v>
      </c>
      <c r="E910" s="16">
        <v>6.99</v>
      </c>
      <c r="F910" s="16">
        <v>6.99</v>
      </c>
    </row>
    <row r="911">
      <c r="A911" s="16" t="s">
        <v>3929</v>
      </c>
      <c r="B911" s="16" t="s">
        <v>3928</v>
      </c>
      <c r="C911" s="16" t="s">
        <v>1565</v>
      </c>
      <c r="D911" s="16">
        <v>1.0</v>
      </c>
      <c r="E911" s="16">
        <v>18.99</v>
      </c>
      <c r="F911" s="16">
        <v>18.99</v>
      </c>
    </row>
    <row r="912">
      <c r="A912" s="16" t="s">
        <v>3932</v>
      </c>
      <c r="B912" s="16" t="s">
        <v>3928</v>
      </c>
      <c r="C912" s="16" t="s">
        <v>2671</v>
      </c>
      <c r="D912" s="16">
        <v>1.0</v>
      </c>
      <c r="E912" s="16">
        <v>5.99</v>
      </c>
      <c r="F912" s="16">
        <v>5.99</v>
      </c>
    </row>
    <row r="913">
      <c r="A913" s="16" t="s">
        <v>3936</v>
      </c>
      <c r="B913" s="16" t="s">
        <v>3937</v>
      </c>
      <c r="C913" s="16" t="s">
        <v>467</v>
      </c>
      <c r="D913" s="16">
        <v>1.0</v>
      </c>
      <c r="E913" s="16">
        <v>60.0</v>
      </c>
      <c r="F913" s="16">
        <v>60.0</v>
      </c>
    </row>
    <row r="914">
      <c r="A914" s="16" t="s">
        <v>3939</v>
      </c>
      <c r="B914" s="16" t="s">
        <v>3940</v>
      </c>
      <c r="C914" s="23" t="s">
        <v>1475</v>
      </c>
      <c r="D914" s="16">
        <v>7.0</v>
      </c>
      <c r="E914" s="16">
        <v>23.0</v>
      </c>
      <c r="F914" s="16">
        <v>161.0</v>
      </c>
    </row>
    <row r="915">
      <c r="A915" s="16" t="s">
        <v>3944</v>
      </c>
      <c r="B915" s="16" t="s">
        <v>3945</v>
      </c>
      <c r="C915" s="16" t="s">
        <v>1502</v>
      </c>
      <c r="D915" s="16">
        <v>2.0</v>
      </c>
      <c r="E915" s="16">
        <v>6.99</v>
      </c>
      <c r="F915" s="16">
        <v>13.98</v>
      </c>
    </row>
    <row r="916">
      <c r="A916" s="16" t="s">
        <v>3946</v>
      </c>
      <c r="B916" s="16" t="s">
        <v>3945</v>
      </c>
      <c r="C916" s="16" t="s">
        <v>1539</v>
      </c>
      <c r="D916" s="16">
        <v>1.52</v>
      </c>
      <c r="E916" s="16">
        <v>7.49</v>
      </c>
      <c r="F916" s="16">
        <v>11.38</v>
      </c>
    </row>
    <row r="917">
      <c r="A917" s="16" t="s">
        <v>3948</v>
      </c>
      <c r="B917" s="16" t="s">
        <v>3945</v>
      </c>
      <c r="C917" s="16" t="s">
        <v>1574</v>
      </c>
      <c r="D917" s="16">
        <v>2.0</v>
      </c>
      <c r="E917" s="16">
        <v>4.99</v>
      </c>
      <c r="F917" s="16">
        <v>9.98</v>
      </c>
    </row>
    <row r="918">
      <c r="A918" s="16" t="s">
        <v>3952</v>
      </c>
      <c r="B918" s="16" t="s">
        <v>3953</v>
      </c>
      <c r="C918" s="16" t="s">
        <v>1547</v>
      </c>
      <c r="D918" s="16">
        <v>1.0</v>
      </c>
      <c r="E918" s="16">
        <v>9770.75</v>
      </c>
      <c r="F918" s="16">
        <v>9770.75</v>
      </c>
    </row>
    <row r="919">
      <c r="A919" s="16" t="s">
        <v>3954</v>
      </c>
      <c r="B919" s="16" t="s">
        <v>3953</v>
      </c>
      <c r="C919" s="16" t="s">
        <v>1549</v>
      </c>
      <c r="D919" s="16">
        <v>1.0</v>
      </c>
      <c r="E919" s="16">
        <v>916.8</v>
      </c>
      <c r="F919" s="16">
        <v>916.8</v>
      </c>
    </row>
    <row r="920">
      <c r="A920" s="16" t="s">
        <v>3957</v>
      </c>
      <c r="B920" s="16" t="s">
        <v>3953</v>
      </c>
      <c r="C920" s="16" t="s">
        <v>1551</v>
      </c>
      <c r="D920" s="16">
        <v>1.0</v>
      </c>
      <c r="E920" s="16">
        <v>121.62</v>
      </c>
      <c r="F920" s="16">
        <v>121.62</v>
      </c>
    </row>
    <row r="921">
      <c r="A921" s="16" t="s">
        <v>3959</v>
      </c>
      <c r="B921" s="16" t="s">
        <v>3960</v>
      </c>
      <c r="C921" s="16" t="s">
        <v>1616</v>
      </c>
      <c r="D921" s="16">
        <v>1.0</v>
      </c>
      <c r="E921" s="16">
        <v>5902.16</v>
      </c>
      <c r="F921" s="16">
        <v>5902.16</v>
      </c>
    </row>
    <row r="922">
      <c r="A922" s="16" t="s">
        <v>3961</v>
      </c>
      <c r="B922" s="16" t="s">
        <v>3960</v>
      </c>
      <c r="C922" s="16" t="s">
        <v>1549</v>
      </c>
      <c r="D922" s="16">
        <v>1.0</v>
      </c>
      <c r="E922" s="16">
        <v>560.71</v>
      </c>
      <c r="F922" s="16">
        <v>560.71</v>
      </c>
    </row>
    <row r="923">
      <c r="A923" s="16" t="s">
        <v>3963</v>
      </c>
      <c r="B923" s="16" t="s">
        <v>3964</v>
      </c>
      <c r="C923" s="16" t="s">
        <v>3133</v>
      </c>
      <c r="D923" s="16">
        <v>1.0</v>
      </c>
      <c r="E923" s="16">
        <v>4.0</v>
      </c>
      <c r="F923" s="16">
        <v>4.0</v>
      </c>
    </row>
    <row r="924">
      <c r="A924" s="16" t="s">
        <v>3966</v>
      </c>
      <c r="B924" s="16" t="s">
        <v>3968</v>
      </c>
      <c r="C924" s="16" t="s">
        <v>1539</v>
      </c>
      <c r="D924" s="16">
        <v>5.23</v>
      </c>
      <c r="E924" s="16">
        <v>7.49</v>
      </c>
      <c r="F924" s="16">
        <v>39.17</v>
      </c>
    </row>
    <row r="925">
      <c r="A925" s="16" t="s">
        <v>3969</v>
      </c>
      <c r="B925" s="16" t="s">
        <v>3968</v>
      </c>
      <c r="C925" s="16" t="s">
        <v>1492</v>
      </c>
      <c r="D925" s="16">
        <v>4.245</v>
      </c>
      <c r="E925" s="16">
        <v>5.99</v>
      </c>
      <c r="F925" s="16">
        <v>25.43</v>
      </c>
    </row>
    <row r="926">
      <c r="A926" s="16" t="s">
        <v>3971</v>
      </c>
      <c r="B926" s="16" t="s">
        <v>3968</v>
      </c>
      <c r="C926" s="16" t="s">
        <v>1571</v>
      </c>
      <c r="D926" s="16">
        <v>10.0</v>
      </c>
      <c r="E926" s="16">
        <v>1.39</v>
      </c>
      <c r="F926" s="16">
        <v>13.9</v>
      </c>
    </row>
    <row r="927">
      <c r="A927" s="16" t="s">
        <v>3974</v>
      </c>
      <c r="B927" s="16" t="s">
        <v>3968</v>
      </c>
      <c r="C927" s="16" t="s">
        <v>1568</v>
      </c>
      <c r="D927" s="16">
        <v>1.0</v>
      </c>
      <c r="E927" s="16">
        <v>6.99</v>
      </c>
      <c r="F927" s="16">
        <v>6.99</v>
      </c>
    </row>
    <row r="928">
      <c r="A928" s="16" t="s">
        <v>3978</v>
      </c>
      <c r="B928" s="16" t="s">
        <v>3968</v>
      </c>
      <c r="C928" s="16" t="s">
        <v>1565</v>
      </c>
      <c r="D928" s="16">
        <v>3.0</v>
      </c>
      <c r="E928" s="16">
        <v>13.99</v>
      </c>
      <c r="F928" s="16">
        <v>41.97</v>
      </c>
    </row>
    <row r="929">
      <c r="A929" s="16" t="s">
        <v>3979</v>
      </c>
      <c r="B929" s="16" t="s">
        <v>3968</v>
      </c>
      <c r="C929" s="16" t="s">
        <v>1568</v>
      </c>
      <c r="D929" s="16">
        <v>1.0</v>
      </c>
      <c r="E929" s="16">
        <v>6.99</v>
      </c>
      <c r="F929" s="16">
        <v>6.99</v>
      </c>
    </row>
    <row r="930">
      <c r="A930" s="16" t="s">
        <v>3982</v>
      </c>
      <c r="B930" s="16" t="s">
        <v>3968</v>
      </c>
      <c r="C930" s="16" t="s">
        <v>1489</v>
      </c>
      <c r="D930" s="16">
        <v>4.0</v>
      </c>
      <c r="E930" s="16">
        <v>8.99</v>
      </c>
      <c r="F930" s="16">
        <v>35.96</v>
      </c>
    </row>
    <row r="931">
      <c r="A931" s="16" t="s">
        <v>3985</v>
      </c>
      <c r="B931" s="16" t="s">
        <v>3968</v>
      </c>
      <c r="C931" s="16" t="s">
        <v>1502</v>
      </c>
      <c r="D931" s="16">
        <v>2.0</v>
      </c>
      <c r="E931" s="16">
        <v>7.99</v>
      </c>
      <c r="F931" s="16">
        <v>15.98</v>
      </c>
    </row>
    <row r="932">
      <c r="A932" s="16" t="s">
        <v>3986</v>
      </c>
      <c r="B932" s="16" t="s">
        <v>3987</v>
      </c>
      <c r="C932" s="16" t="s">
        <v>1496</v>
      </c>
      <c r="D932" s="16">
        <v>9.0</v>
      </c>
      <c r="E932" s="16">
        <v>12.99</v>
      </c>
      <c r="F932" s="16">
        <v>116.91</v>
      </c>
    </row>
    <row r="933">
      <c r="A933" s="16" t="s">
        <v>3988</v>
      </c>
      <c r="B933" s="23" t="s">
        <v>3990</v>
      </c>
      <c r="C933" s="16" t="s">
        <v>467</v>
      </c>
      <c r="D933" s="16">
        <v>1.0</v>
      </c>
      <c r="E933" s="16">
        <v>75.0</v>
      </c>
      <c r="F933" s="16">
        <v>75.0</v>
      </c>
    </row>
    <row r="934">
      <c r="A934" s="16" t="s">
        <v>3992</v>
      </c>
      <c r="B934" s="16" t="s">
        <v>3993</v>
      </c>
      <c r="C934" s="16" t="s">
        <v>1483</v>
      </c>
      <c r="D934" s="16">
        <v>4.698</v>
      </c>
      <c r="E934" s="16">
        <v>37.5</v>
      </c>
      <c r="F934" s="16">
        <v>176.18</v>
      </c>
    </row>
    <row r="935">
      <c r="A935" s="16" t="s">
        <v>3997</v>
      </c>
      <c r="B935" s="16" t="s">
        <v>3998</v>
      </c>
      <c r="C935" s="23" t="s">
        <v>1475</v>
      </c>
      <c r="D935" s="16">
        <v>7.0</v>
      </c>
      <c r="E935" s="16">
        <v>23.0</v>
      </c>
      <c r="F935" s="16">
        <v>161.0</v>
      </c>
    </row>
    <row r="936">
      <c r="A936" s="16" t="s">
        <v>3999</v>
      </c>
      <c r="B936" s="16" t="s">
        <v>4000</v>
      </c>
      <c r="C936" s="23" t="s">
        <v>1653</v>
      </c>
      <c r="D936" s="16">
        <v>2.0</v>
      </c>
      <c r="E936" s="16">
        <v>20.34</v>
      </c>
      <c r="F936" s="16">
        <v>40.68</v>
      </c>
    </row>
    <row r="937">
      <c r="A937" s="16" t="s">
        <v>4001</v>
      </c>
      <c r="B937" s="16" t="s">
        <v>4000</v>
      </c>
      <c r="C937" s="16" t="s">
        <v>1656</v>
      </c>
      <c r="D937" s="16">
        <v>4.0</v>
      </c>
      <c r="E937" s="16">
        <v>44.28</v>
      </c>
      <c r="F937" s="16">
        <v>177.12</v>
      </c>
    </row>
    <row r="938">
      <c r="A938" s="16" t="s">
        <v>4003</v>
      </c>
      <c r="B938" s="16" t="s">
        <v>4000</v>
      </c>
      <c r="C938" s="16" t="s">
        <v>1660</v>
      </c>
      <c r="D938" s="16">
        <v>4.0</v>
      </c>
      <c r="E938" s="16">
        <v>44.28</v>
      </c>
      <c r="F938" s="16">
        <v>177.12</v>
      </c>
    </row>
    <row r="939">
      <c r="A939" s="16" t="s">
        <v>4005</v>
      </c>
      <c r="B939" s="16" t="s">
        <v>4000</v>
      </c>
      <c r="C939" s="16" t="s">
        <v>3550</v>
      </c>
      <c r="D939" s="16">
        <v>3.0</v>
      </c>
      <c r="E939" s="16">
        <v>41.76</v>
      </c>
      <c r="F939" s="16">
        <v>125.28</v>
      </c>
    </row>
    <row r="940">
      <c r="A940" s="16" t="s">
        <v>4008</v>
      </c>
      <c r="B940" s="16" t="s">
        <v>4000</v>
      </c>
      <c r="C940" s="16" t="s">
        <v>1510</v>
      </c>
      <c r="D940" s="16">
        <v>10.0</v>
      </c>
      <c r="E940" s="16">
        <v>11.88</v>
      </c>
      <c r="F940" s="16">
        <v>118.8</v>
      </c>
    </row>
    <row r="941">
      <c r="A941" s="16" t="s">
        <v>4009</v>
      </c>
      <c r="B941" s="16" t="s">
        <v>4000</v>
      </c>
      <c r="C941" s="16" t="s">
        <v>1517</v>
      </c>
      <c r="D941" s="16">
        <v>7.0</v>
      </c>
      <c r="E941" s="16">
        <v>14.28</v>
      </c>
      <c r="F941" s="16">
        <v>99.96</v>
      </c>
    </row>
    <row r="942">
      <c r="A942" s="16" t="s">
        <v>4011</v>
      </c>
      <c r="B942" s="16" t="s">
        <v>4012</v>
      </c>
      <c r="C942" s="16" t="s">
        <v>467</v>
      </c>
      <c r="D942" s="16">
        <v>1.0</v>
      </c>
      <c r="E942" s="16">
        <v>120.0</v>
      </c>
      <c r="F942" s="16">
        <v>120.0</v>
      </c>
    </row>
    <row r="943">
      <c r="A943" s="16" t="s">
        <v>4014</v>
      </c>
      <c r="B943" s="16" t="s">
        <v>4015</v>
      </c>
      <c r="C943" s="16" t="s">
        <v>1502</v>
      </c>
      <c r="D943" s="16">
        <v>4.0</v>
      </c>
      <c r="E943" s="16">
        <v>6.99</v>
      </c>
      <c r="F943" s="16">
        <v>27.96</v>
      </c>
    </row>
    <row r="944">
      <c r="A944" s="16" t="s">
        <v>4017</v>
      </c>
      <c r="B944" s="16" t="s">
        <v>4015</v>
      </c>
      <c r="C944" s="16" t="s">
        <v>1492</v>
      </c>
      <c r="D944" s="16">
        <v>2.73</v>
      </c>
      <c r="E944" s="16">
        <v>2.99</v>
      </c>
      <c r="F944" s="16">
        <v>8.16</v>
      </c>
    </row>
    <row r="945">
      <c r="A945" s="16" t="s">
        <v>4020</v>
      </c>
      <c r="B945" s="16" t="s">
        <v>4015</v>
      </c>
      <c r="C945" s="16" t="s">
        <v>2982</v>
      </c>
      <c r="D945" s="16">
        <v>1.0</v>
      </c>
      <c r="E945" s="16">
        <v>8.99</v>
      </c>
      <c r="F945" s="16">
        <v>8.99</v>
      </c>
    </row>
    <row r="946">
      <c r="A946" s="16" t="s">
        <v>4021</v>
      </c>
      <c r="B946" s="16" t="s">
        <v>4015</v>
      </c>
      <c r="C946" s="16" t="s">
        <v>1568</v>
      </c>
      <c r="D946" s="16">
        <v>1.0</v>
      </c>
      <c r="E946" s="16">
        <v>10.99</v>
      </c>
      <c r="F946" s="16">
        <v>10.99</v>
      </c>
    </row>
    <row r="947">
      <c r="A947" s="16" t="s">
        <v>4022</v>
      </c>
      <c r="B947" s="16" t="s">
        <v>4015</v>
      </c>
      <c r="C947" s="16" t="s">
        <v>1539</v>
      </c>
      <c r="D947" s="16">
        <v>1.36</v>
      </c>
      <c r="E947" s="16">
        <v>7.99</v>
      </c>
      <c r="F947" s="16">
        <v>10.87</v>
      </c>
    </row>
    <row r="948">
      <c r="A948" s="16" t="s">
        <v>4024</v>
      </c>
      <c r="B948" s="16" t="s">
        <v>4015</v>
      </c>
      <c r="C948" s="16" t="s">
        <v>1565</v>
      </c>
      <c r="D948" s="16">
        <v>2.0</v>
      </c>
      <c r="E948" s="16">
        <v>10.99</v>
      </c>
      <c r="F948" s="16">
        <v>21.98</v>
      </c>
    </row>
    <row r="949">
      <c r="A949" s="16" t="s">
        <v>4026</v>
      </c>
      <c r="B949" s="16" t="s">
        <v>4015</v>
      </c>
      <c r="C949" s="16" t="s">
        <v>3432</v>
      </c>
      <c r="D949" s="16">
        <v>1.0</v>
      </c>
      <c r="E949" s="16">
        <v>8.99</v>
      </c>
      <c r="F949" s="16">
        <v>8.99</v>
      </c>
    </row>
    <row r="950">
      <c r="A950" s="16" t="s">
        <v>4030</v>
      </c>
      <c r="B950" s="16" t="s">
        <v>4015</v>
      </c>
      <c r="C950" s="16" t="s">
        <v>1496</v>
      </c>
      <c r="D950" s="16">
        <v>7.0</v>
      </c>
      <c r="E950" s="16">
        <v>7.99</v>
      </c>
      <c r="F950" s="16">
        <v>55.93</v>
      </c>
    </row>
    <row r="951">
      <c r="A951" s="16" t="s">
        <v>4031</v>
      </c>
      <c r="B951" s="16" t="s">
        <v>4015</v>
      </c>
      <c r="C951" s="16" t="s">
        <v>1483</v>
      </c>
      <c r="D951" s="16">
        <v>2.75</v>
      </c>
      <c r="E951" s="16">
        <v>39.99</v>
      </c>
      <c r="F951" s="16">
        <v>109.97</v>
      </c>
    </row>
    <row r="952">
      <c r="A952" s="16" t="s">
        <v>4032</v>
      </c>
      <c r="B952" s="16" t="s">
        <v>4033</v>
      </c>
      <c r="C952" s="16" t="s">
        <v>467</v>
      </c>
      <c r="D952" s="16">
        <v>1.0</v>
      </c>
      <c r="E952" s="16">
        <v>160.0</v>
      </c>
      <c r="F952" s="16">
        <v>160.0</v>
      </c>
    </row>
    <row r="953">
      <c r="A953" s="16" t="s">
        <v>4035</v>
      </c>
      <c r="B953" s="16" t="s">
        <v>4036</v>
      </c>
      <c r="C953" s="16" t="s">
        <v>467</v>
      </c>
      <c r="D953" s="16">
        <v>1.0</v>
      </c>
      <c r="E953" s="16">
        <v>91.0</v>
      </c>
      <c r="F953" s="16">
        <v>91.0</v>
      </c>
    </row>
    <row r="954">
      <c r="A954" s="16" t="s">
        <v>4038</v>
      </c>
      <c r="B954" s="16" t="s">
        <v>4039</v>
      </c>
      <c r="C954" s="16" t="s">
        <v>2659</v>
      </c>
      <c r="D954" s="16">
        <v>1.0</v>
      </c>
      <c r="E954" s="16">
        <v>12.99</v>
      </c>
      <c r="F954" s="16">
        <v>12.99</v>
      </c>
    </row>
    <row r="955">
      <c r="A955" s="16" t="s">
        <v>4042</v>
      </c>
      <c r="B955" s="16" t="s">
        <v>4039</v>
      </c>
      <c r="C955" s="16" t="s">
        <v>4043</v>
      </c>
      <c r="D955" s="16">
        <v>1.0</v>
      </c>
      <c r="E955" s="16">
        <v>1.99</v>
      </c>
      <c r="F955" s="16">
        <v>1.99</v>
      </c>
    </row>
    <row r="956">
      <c r="A956" s="16" t="s">
        <v>4044</v>
      </c>
      <c r="B956" s="16" t="s">
        <v>4039</v>
      </c>
      <c r="C956" s="16" t="s">
        <v>3660</v>
      </c>
      <c r="D956" s="16">
        <v>6.0</v>
      </c>
      <c r="E956" s="16">
        <v>1.5</v>
      </c>
      <c r="F956" s="16">
        <v>9.0</v>
      </c>
    </row>
    <row r="957">
      <c r="A957" s="16" t="s">
        <v>4045</v>
      </c>
      <c r="B957" s="16" t="s">
        <v>4039</v>
      </c>
      <c r="C957" s="16" t="s">
        <v>4043</v>
      </c>
      <c r="D957" s="16">
        <v>2.0</v>
      </c>
      <c r="E957" s="16">
        <v>1.99</v>
      </c>
      <c r="F957" s="16">
        <v>3.98</v>
      </c>
    </row>
    <row r="958">
      <c r="A958" s="23" t="s">
        <v>4047</v>
      </c>
      <c r="B958" s="16" t="s">
        <v>4048</v>
      </c>
      <c r="C958" s="23" t="s">
        <v>1475</v>
      </c>
      <c r="D958" s="16">
        <v>8.0</v>
      </c>
      <c r="E958" s="16">
        <v>23.0</v>
      </c>
      <c r="F958" s="16">
        <v>184.0</v>
      </c>
    </row>
    <row r="959">
      <c r="A959" s="16" t="s">
        <v>4052</v>
      </c>
      <c r="B959" s="16" t="s">
        <v>4054</v>
      </c>
      <c r="C959" s="16" t="s">
        <v>467</v>
      </c>
      <c r="D959" s="16">
        <v>1.0</v>
      </c>
      <c r="E959" s="16">
        <v>134.0</v>
      </c>
      <c r="F959" s="16">
        <v>134.0</v>
      </c>
    </row>
    <row r="960">
      <c r="A960" s="16" t="s">
        <v>4055</v>
      </c>
      <c r="B960" s="16" t="s">
        <v>4056</v>
      </c>
      <c r="C960" s="16" t="s">
        <v>467</v>
      </c>
      <c r="D960" s="16">
        <v>1.0</v>
      </c>
      <c r="E960" s="16">
        <v>331.0</v>
      </c>
      <c r="F960" s="16">
        <v>331.0</v>
      </c>
    </row>
    <row r="961">
      <c r="A961" s="16" t="s">
        <v>4057</v>
      </c>
      <c r="B961" s="16" t="s">
        <v>4058</v>
      </c>
      <c r="C961" s="16" t="s">
        <v>467</v>
      </c>
      <c r="D961" s="16">
        <v>1.0</v>
      </c>
      <c r="E961" s="16">
        <v>314.0</v>
      </c>
      <c r="F961" s="16">
        <v>314.0</v>
      </c>
    </row>
    <row r="962">
      <c r="A962" s="16" t="s">
        <v>4059</v>
      </c>
      <c r="B962" s="16" t="s">
        <v>4061</v>
      </c>
      <c r="C962" s="16" t="s">
        <v>467</v>
      </c>
      <c r="D962" s="16">
        <v>1.0</v>
      </c>
      <c r="E962" s="16">
        <v>108.0</v>
      </c>
      <c r="F962" s="16">
        <v>108.0</v>
      </c>
    </row>
    <row r="963">
      <c r="A963" s="16" t="s">
        <v>4062</v>
      </c>
      <c r="B963" s="16" t="s">
        <v>4063</v>
      </c>
      <c r="C963" s="16" t="s">
        <v>1539</v>
      </c>
      <c r="D963" s="16">
        <v>1.81</v>
      </c>
      <c r="E963" s="16">
        <v>7.99</v>
      </c>
      <c r="F963" s="16">
        <v>14.46</v>
      </c>
    </row>
    <row r="964">
      <c r="A964" s="16" t="s">
        <v>4065</v>
      </c>
      <c r="B964" s="16" t="s">
        <v>4063</v>
      </c>
      <c r="C964" s="16" t="s">
        <v>2586</v>
      </c>
      <c r="D964" s="16">
        <v>1.0</v>
      </c>
      <c r="E964" s="16">
        <v>4.99</v>
      </c>
      <c r="F964" s="16">
        <v>4.99</v>
      </c>
    </row>
    <row r="965">
      <c r="A965" s="16" t="s">
        <v>4067</v>
      </c>
      <c r="B965" s="16" t="s">
        <v>4063</v>
      </c>
      <c r="C965" s="16" t="s">
        <v>1568</v>
      </c>
      <c r="D965" s="16">
        <v>1.0</v>
      </c>
      <c r="E965" s="16">
        <v>10.99</v>
      </c>
      <c r="F965" s="16">
        <v>10.99</v>
      </c>
    </row>
    <row r="966">
      <c r="A966" s="16" t="s">
        <v>4068</v>
      </c>
      <c r="B966" s="16" t="s">
        <v>4063</v>
      </c>
      <c r="C966" s="16" t="s">
        <v>1578</v>
      </c>
      <c r="D966" s="16">
        <v>1.0</v>
      </c>
      <c r="E966" s="16">
        <v>23.99</v>
      </c>
      <c r="F966" s="16">
        <v>23.99</v>
      </c>
    </row>
    <row r="967">
      <c r="A967" s="16" t="s">
        <v>4069</v>
      </c>
      <c r="B967" s="16" t="s">
        <v>4063</v>
      </c>
      <c r="C967" s="16" t="s">
        <v>1502</v>
      </c>
      <c r="D967" s="16">
        <v>2.0</v>
      </c>
      <c r="E967" s="16">
        <v>7.49</v>
      </c>
      <c r="F967" s="16">
        <v>14.98</v>
      </c>
    </row>
    <row r="968">
      <c r="A968" s="16" t="s">
        <v>4072</v>
      </c>
      <c r="B968" s="16" t="s">
        <v>4073</v>
      </c>
      <c r="C968" s="16" t="s">
        <v>4074</v>
      </c>
      <c r="D968" s="16">
        <v>1.0</v>
      </c>
      <c r="E968" s="16">
        <v>199.99</v>
      </c>
      <c r="F968" s="16">
        <v>199.99</v>
      </c>
    </row>
    <row r="969">
      <c r="A969" s="23" t="s">
        <v>4076</v>
      </c>
      <c r="B969" s="16" t="s">
        <v>4078</v>
      </c>
      <c r="C969" s="16" t="s">
        <v>1483</v>
      </c>
      <c r="D969" s="16">
        <v>9.105</v>
      </c>
      <c r="E969" s="16">
        <v>34.5</v>
      </c>
      <c r="F969" s="16">
        <v>314.12</v>
      </c>
    </row>
    <row r="970">
      <c r="A970" s="16" t="s">
        <v>4080</v>
      </c>
      <c r="B970" s="16" t="s">
        <v>4081</v>
      </c>
      <c r="C970" s="16" t="s">
        <v>1580</v>
      </c>
      <c r="D970" s="16">
        <v>1.0</v>
      </c>
      <c r="E970" s="16">
        <v>3.98</v>
      </c>
      <c r="F970" s="16">
        <v>3.98</v>
      </c>
    </row>
    <row r="971">
      <c r="A971" s="16" t="s">
        <v>4084</v>
      </c>
      <c r="B971" s="16" t="s">
        <v>4081</v>
      </c>
      <c r="C971" s="16" t="s">
        <v>1496</v>
      </c>
      <c r="D971" s="16">
        <v>15.0</v>
      </c>
      <c r="E971" s="16">
        <v>11.9</v>
      </c>
      <c r="F971" s="16">
        <v>178.5</v>
      </c>
    </row>
    <row r="972">
      <c r="A972" s="16" t="s">
        <v>4085</v>
      </c>
      <c r="B972" s="16" t="s">
        <v>4081</v>
      </c>
      <c r="C972" s="16" t="s">
        <v>1565</v>
      </c>
      <c r="D972" s="16">
        <v>3.0</v>
      </c>
      <c r="E972" s="16">
        <v>14.99</v>
      </c>
      <c r="F972" s="16">
        <v>44.97</v>
      </c>
    </row>
    <row r="973">
      <c r="A973" s="16" t="s">
        <v>4087</v>
      </c>
      <c r="B973" s="16" t="s">
        <v>4081</v>
      </c>
      <c r="C973" s="16" t="s">
        <v>4088</v>
      </c>
      <c r="D973" s="16">
        <v>1.39</v>
      </c>
      <c r="E973" s="16">
        <v>4.99</v>
      </c>
      <c r="F973" s="16">
        <v>6.94</v>
      </c>
    </row>
    <row r="974">
      <c r="A974" s="16" t="s">
        <v>4090</v>
      </c>
      <c r="B974" s="16" t="s">
        <v>4081</v>
      </c>
      <c r="C974" s="16" t="s">
        <v>1539</v>
      </c>
      <c r="D974" s="16">
        <v>5.21</v>
      </c>
      <c r="E974" s="16">
        <v>7.49</v>
      </c>
      <c r="F974" s="16">
        <v>39.02</v>
      </c>
    </row>
    <row r="975">
      <c r="A975" s="16" t="s">
        <v>4092</v>
      </c>
      <c r="B975" s="16" t="s">
        <v>4081</v>
      </c>
      <c r="C975" s="16" t="s">
        <v>1489</v>
      </c>
      <c r="D975" s="16">
        <v>3.0</v>
      </c>
      <c r="E975" s="16">
        <v>8.99</v>
      </c>
      <c r="F975" s="16">
        <v>26.97</v>
      </c>
    </row>
    <row r="976">
      <c r="A976" s="16" t="s">
        <v>4094</v>
      </c>
      <c r="B976" s="16" t="s">
        <v>4081</v>
      </c>
      <c r="C976" s="16" t="s">
        <v>1583</v>
      </c>
      <c r="D976" s="16">
        <v>0.27</v>
      </c>
      <c r="E976" s="16">
        <v>8.99</v>
      </c>
      <c r="F976" s="16">
        <v>2.43</v>
      </c>
    </row>
    <row r="977">
      <c r="A977" s="16" t="s">
        <v>4095</v>
      </c>
      <c r="B977" s="16" t="s">
        <v>4081</v>
      </c>
      <c r="C977" s="16" t="s">
        <v>1492</v>
      </c>
      <c r="D977" s="16">
        <v>3.965</v>
      </c>
      <c r="E977" s="16">
        <v>3.99</v>
      </c>
      <c r="F977" s="16">
        <v>15.82</v>
      </c>
    </row>
    <row r="978">
      <c r="A978" s="16" t="s">
        <v>4097</v>
      </c>
      <c r="B978" s="16" t="s">
        <v>4099</v>
      </c>
      <c r="C978" s="23" t="s">
        <v>1475</v>
      </c>
      <c r="D978" s="16">
        <v>10.0</v>
      </c>
      <c r="E978" s="16">
        <v>23.0</v>
      </c>
      <c r="F978" s="16">
        <v>230.0</v>
      </c>
    </row>
    <row r="979">
      <c r="A979" s="16" t="s">
        <v>4102</v>
      </c>
      <c r="B979" s="16" t="s">
        <v>4103</v>
      </c>
      <c r="C979" s="23" t="s">
        <v>1475</v>
      </c>
      <c r="D979" s="16">
        <v>7.5</v>
      </c>
      <c r="E979" s="16">
        <v>23.0</v>
      </c>
      <c r="F979" s="16">
        <v>172.5</v>
      </c>
    </row>
    <row r="980">
      <c r="A980" s="16" t="s">
        <v>4105</v>
      </c>
      <c r="B980" s="16" t="s">
        <v>4107</v>
      </c>
      <c r="C980" s="16" t="s">
        <v>467</v>
      </c>
      <c r="D980" s="16">
        <v>1.0</v>
      </c>
      <c r="E980" s="16">
        <v>230.25</v>
      </c>
      <c r="F980" s="16">
        <v>230.25</v>
      </c>
    </row>
    <row r="981">
      <c r="A981" s="16" t="s">
        <v>4112</v>
      </c>
      <c r="B981" s="16" t="s">
        <v>4113</v>
      </c>
      <c r="C981" s="16" t="s">
        <v>467</v>
      </c>
      <c r="D981" s="16">
        <v>1.0</v>
      </c>
      <c r="E981" s="16">
        <v>95.0</v>
      </c>
      <c r="F981" s="16">
        <v>95.0</v>
      </c>
    </row>
    <row r="982">
      <c r="A982" s="16" t="s">
        <v>4114</v>
      </c>
      <c r="B982" s="16" t="s">
        <v>4115</v>
      </c>
      <c r="C982" s="16" t="s">
        <v>467</v>
      </c>
      <c r="D982" s="16">
        <v>1.0</v>
      </c>
      <c r="E982" s="16">
        <v>123.0</v>
      </c>
      <c r="F982" s="16">
        <v>123.0</v>
      </c>
    </row>
    <row r="983">
      <c r="A983" s="16" t="s">
        <v>4117</v>
      </c>
      <c r="B983" s="16" t="s">
        <v>4118</v>
      </c>
      <c r="C983" s="16" t="s">
        <v>1591</v>
      </c>
      <c r="D983" s="16">
        <v>1.0</v>
      </c>
      <c r="E983" s="16">
        <v>19.99</v>
      </c>
      <c r="F983" s="16">
        <v>19.99</v>
      </c>
    </row>
    <row r="984">
      <c r="A984" s="16" t="s">
        <v>4121</v>
      </c>
      <c r="B984" s="16" t="s">
        <v>4118</v>
      </c>
      <c r="C984" s="16" t="s">
        <v>1844</v>
      </c>
      <c r="D984" s="16">
        <v>10.0</v>
      </c>
      <c r="E984" s="16">
        <v>1.99</v>
      </c>
      <c r="F984" s="16">
        <v>19.9</v>
      </c>
    </row>
    <row r="985">
      <c r="A985" s="16" t="s">
        <v>4122</v>
      </c>
      <c r="B985" s="16" t="s">
        <v>4118</v>
      </c>
      <c r="C985" s="16" t="s">
        <v>1606</v>
      </c>
      <c r="D985" s="16">
        <v>1.0</v>
      </c>
      <c r="E985" s="16">
        <v>19.9</v>
      </c>
      <c r="F985" s="16">
        <v>19.9</v>
      </c>
    </row>
    <row r="986">
      <c r="A986" s="16" t="s">
        <v>4125</v>
      </c>
      <c r="B986" s="16" t="s">
        <v>4118</v>
      </c>
      <c r="C986" s="16" t="s">
        <v>4127</v>
      </c>
      <c r="D986" s="16">
        <v>1.0</v>
      </c>
      <c r="E986" s="16">
        <v>28.99</v>
      </c>
      <c r="F986" s="16">
        <v>28.99</v>
      </c>
    </row>
    <row r="987">
      <c r="A987" s="16" t="s">
        <v>4129</v>
      </c>
      <c r="B987" s="16" t="s">
        <v>4118</v>
      </c>
      <c r="C987" s="16" t="s">
        <v>1642</v>
      </c>
      <c r="D987" s="16">
        <v>6.0</v>
      </c>
      <c r="E987" s="16">
        <v>32.99</v>
      </c>
      <c r="F987" s="16">
        <v>197.94</v>
      </c>
    </row>
    <row r="988">
      <c r="A988" s="16" t="s">
        <v>4131</v>
      </c>
      <c r="B988" s="16" t="s">
        <v>4132</v>
      </c>
      <c r="C988" s="16" t="s">
        <v>4133</v>
      </c>
      <c r="D988" s="16">
        <v>2.0</v>
      </c>
      <c r="E988" s="16">
        <v>5.9</v>
      </c>
      <c r="F988" s="16">
        <v>11.8</v>
      </c>
    </row>
    <row r="989">
      <c r="A989" s="16" t="s">
        <v>4136</v>
      </c>
      <c r="B989" s="16" t="s">
        <v>4137</v>
      </c>
      <c r="C989" s="16" t="s">
        <v>1726</v>
      </c>
      <c r="D989" s="16">
        <v>0.401</v>
      </c>
      <c r="E989" s="16">
        <v>14.95</v>
      </c>
      <c r="F989" s="16">
        <v>5.99</v>
      </c>
    </row>
    <row r="990">
      <c r="A990" s="23" t="s">
        <v>4140</v>
      </c>
      <c r="B990" s="16" t="s">
        <v>4142</v>
      </c>
      <c r="C990" s="16" t="s">
        <v>4143</v>
      </c>
      <c r="D990" s="16">
        <v>1.0</v>
      </c>
      <c r="E990" s="16">
        <v>7.45</v>
      </c>
      <c r="F990" s="16">
        <v>7.45</v>
      </c>
    </row>
    <row r="991">
      <c r="A991" s="16" t="s">
        <v>4146</v>
      </c>
      <c r="B991" s="16" t="s">
        <v>4142</v>
      </c>
      <c r="C991" s="16" t="s">
        <v>1549</v>
      </c>
      <c r="D991" s="16">
        <v>1.0</v>
      </c>
      <c r="E991" s="16">
        <v>0.71</v>
      </c>
      <c r="F991" s="16">
        <v>0.71</v>
      </c>
    </row>
    <row r="992">
      <c r="A992" s="16" t="s">
        <v>4147</v>
      </c>
      <c r="B992" s="16" t="s">
        <v>4149</v>
      </c>
      <c r="C992" s="16" t="s">
        <v>1547</v>
      </c>
      <c r="D992" s="16">
        <v>1.0</v>
      </c>
      <c r="E992" s="16">
        <v>127.5</v>
      </c>
      <c r="F992" s="16">
        <v>127.5</v>
      </c>
    </row>
    <row r="993">
      <c r="A993" s="16" t="s">
        <v>4152</v>
      </c>
      <c r="B993" s="16" t="s">
        <v>4149</v>
      </c>
      <c r="C993" s="16" t="s">
        <v>1549</v>
      </c>
      <c r="D993" s="16">
        <v>1.0</v>
      </c>
      <c r="E993" s="16">
        <v>12.11</v>
      </c>
      <c r="F993" s="16">
        <v>12.11</v>
      </c>
    </row>
    <row r="994">
      <c r="A994" s="16" t="s">
        <v>4155</v>
      </c>
      <c r="B994" s="16" t="s">
        <v>4156</v>
      </c>
      <c r="C994" s="16" t="s">
        <v>1547</v>
      </c>
      <c r="D994" s="16">
        <v>1.0</v>
      </c>
      <c r="E994" s="16">
        <v>5248.75</v>
      </c>
      <c r="F994" s="16">
        <v>5248.75</v>
      </c>
    </row>
    <row r="995">
      <c r="A995" s="16" t="s">
        <v>4158</v>
      </c>
      <c r="B995" s="16" t="s">
        <v>4156</v>
      </c>
      <c r="C995" s="16" t="s">
        <v>1549</v>
      </c>
      <c r="D995" s="16">
        <v>1.0</v>
      </c>
      <c r="E995" s="16">
        <v>498.63</v>
      </c>
      <c r="F995" s="16">
        <v>498.63</v>
      </c>
    </row>
    <row r="996">
      <c r="A996" s="16" t="s">
        <v>4162</v>
      </c>
      <c r="B996" s="16" t="s">
        <v>4156</v>
      </c>
      <c r="C996" s="16" t="s">
        <v>1551</v>
      </c>
      <c r="D996" s="16">
        <v>1.0</v>
      </c>
      <c r="E996" s="16">
        <v>89.84</v>
      </c>
      <c r="F996" s="16">
        <v>89.84</v>
      </c>
    </row>
    <row r="997">
      <c r="A997" s="16" t="s">
        <v>4163</v>
      </c>
      <c r="B997" s="16" t="s">
        <v>4165</v>
      </c>
      <c r="C997" s="16" t="s">
        <v>1616</v>
      </c>
      <c r="D997" s="16">
        <v>1.0</v>
      </c>
      <c r="E997" s="16">
        <v>502.91</v>
      </c>
      <c r="F997" s="16">
        <v>502.91</v>
      </c>
    </row>
    <row r="998">
      <c r="A998" s="16" t="s">
        <v>4168</v>
      </c>
      <c r="B998" s="16" t="s">
        <v>4165</v>
      </c>
      <c r="C998" s="16" t="s">
        <v>1549</v>
      </c>
      <c r="D998" s="16">
        <v>1.0</v>
      </c>
      <c r="E998" s="16">
        <v>47.78</v>
      </c>
      <c r="F998" s="16">
        <v>47.78</v>
      </c>
    </row>
    <row r="999">
      <c r="A999" s="16" t="s">
        <v>4169</v>
      </c>
      <c r="B999" s="16" t="s">
        <v>4170</v>
      </c>
      <c r="C999" s="16" t="s">
        <v>4171</v>
      </c>
      <c r="D999" s="16">
        <v>1.0</v>
      </c>
      <c r="E999" s="16">
        <v>25.0</v>
      </c>
      <c r="F999" s="16">
        <v>25.0</v>
      </c>
    </row>
    <row r="1000">
      <c r="A1000" s="16" t="s">
        <v>4173</v>
      </c>
      <c r="B1000" s="16" t="s">
        <v>4174</v>
      </c>
      <c r="C1000" s="16" t="s">
        <v>1492</v>
      </c>
      <c r="D1000" s="16">
        <v>2.175</v>
      </c>
      <c r="E1000" s="16">
        <v>3.99</v>
      </c>
      <c r="F1000" s="16">
        <v>8.68</v>
      </c>
    </row>
    <row r="1001">
      <c r="A1001" s="16" t="s">
        <v>4177</v>
      </c>
      <c r="B1001" s="16" t="s">
        <v>4178</v>
      </c>
      <c r="C1001" s="16" t="s">
        <v>4180</v>
      </c>
      <c r="D1001" s="16">
        <v>0.428</v>
      </c>
      <c r="E1001" s="16">
        <v>39.9</v>
      </c>
      <c r="F1001" s="16">
        <v>17.08</v>
      </c>
    </row>
    <row r="1002">
      <c r="A1002" s="16" t="s">
        <v>4182</v>
      </c>
      <c r="B1002" s="16" t="s">
        <v>4178</v>
      </c>
      <c r="C1002" s="16" t="s">
        <v>4183</v>
      </c>
      <c r="D1002" s="16">
        <v>0.258</v>
      </c>
      <c r="E1002" s="16">
        <v>39.9</v>
      </c>
      <c r="F1002" s="16">
        <v>10.29</v>
      </c>
    </row>
    <row r="1003">
      <c r="A1003" s="16" t="s">
        <v>4185</v>
      </c>
      <c r="B1003" s="16" t="s">
        <v>4178</v>
      </c>
      <c r="C1003" s="16" t="s">
        <v>4187</v>
      </c>
      <c r="D1003" s="16">
        <v>0.266</v>
      </c>
      <c r="E1003" s="16">
        <v>49.9</v>
      </c>
      <c r="F1003" s="16">
        <v>13.27</v>
      </c>
    </row>
    <row r="1004">
      <c r="A1004" s="16" t="s">
        <v>4188</v>
      </c>
      <c r="B1004" s="16" t="s">
        <v>4178</v>
      </c>
      <c r="C1004" s="16" t="s">
        <v>4189</v>
      </c>
      <c r="D1004" s="16">
        <v>0.356</v>
      </c>
      <c r="E1004" s="16">
        <v>39.9</v>
      </c>
      <c r="F1004" s="16">
        <v>14.2</v>
      </c>
    </row>
    <row r="1005">
      <c r="A1005" s="16" t="s">
        <v>4190</v>
      </c>
      <c r="B1005" s="16" t="s">
        <v>4178</v>
      </c>
      <c r="C1005" s="16" t="s">
        <v>4191</v>
      </c>
      <c r="D1005" s="16">
        <v>0.332</v>
      </c>
      <c r="E1005" s="16">
        <v>44.9</v>
      </c>
      <c r="F1005" s="16">
        <v>14.91</v>
      </c>
    </row>
    <row r="1006">
      <c r="A1006" s="16" t="s">
        <v>4192</v>
      </c>
      <c r="B1006" s="16" t="s">
        <v>4178</v>
      </c>
      <c r="C1006" s="16" t="s">
        <v>1502</v>
      </c>
      <c r="D1006" s="16">
        <v>1.0</v>
      </c>
      <c r="E1006" s="16">
        <v>12.0</v>
      </c>
      <c r="F1006" s="16">
        <v>12.0</v>
      </c>
    </row>
    <row r="1007">
      <c r="A1007" s="16" t="s">
        <v>4194</v>
      </c>
      <c r="B1007" s="16" t="s">
        <v>4178</v>
      </c>
      <c r="C1007" s="16" t="s">
        <v>4195</v>
      </c>
      <c r="D1007" s="16">
        <v>0.398</v>
      </c>
      <c r="E1007" s="16">
        <v>49.9</v>
      </c>
      <c r="F1007" s="16">
        <v>19.86</v>
      </c>
    </row>
    <row r="1008">
      <c r="A1008" s="16" t="s">
        <v>4197</v>
      </c>
      <c r="B1008" s="16" t="s">
        <v>4199</v>
      </c>
      <c r="C1008" s="16" t="s">
        <v>467</v>
      </c>
      <c r="D1008" s="16">
        <v>1.0</v>
      </c>
      <c r="E1008" s="16">
        <v>60.0</v>
      </c>
      <c r="F1008" s="16">
        <v>60.0</v>
      </c>
    </row>
    <row r="1009">
      <c r="A1009" s="16" t="s">
        <v>4200</v>
      </c>
      <c r="B1009" s="16" t="s">
        <v>4202</v>
      </c>
      <c r="C1009" s="16" t="s">
        <v>1483</v>
      </c>
      <c r="D1009" s="16">
        <v>8.565</v>
      </c>
      <c r="E1009" s="16">
        <v>25.99</v>
      </c>
      <c r="F1009" s="16">
        <v>222.6</v>
      </c>
    </row>
    <row r="1010">
      <c r="A1010" s="16" t="s">
        <v>4203</v>
      </c>
      <c r="B1010" s="16" t="s">
        <v>4204</v>
      </c>
      <c r="C1010" s="23" t="s">
        <v>1475</v>
      </c>
      <c r="D1010" s="16">
        <v>23.0</v>
      </c>
      <c r="E1010" s="16">
        <v>10.0</v>
      </c>
      <c r="F1010" s="16">
        <v>230.0</v>
      </c>
    </row>
    <row r="1011">
      <c r="A1011" s="16" t="s">
        <v>4205</v>
      </c>
      <c r="B1011" s="16" t="s">
        <v>4207</v>
      </c>
      <c r="C1011" s="16" t="s">
        <v>467</v>
      </c>
      <c r="D1011" s="16">
        <v>1.0</v>
      </c>
      <c r="E1011" s="16">
        <v>50.0</v>
      </c>
      <c r="F1011" s="16">
        <v>50.0</v>
      </c>
    </row>
    <row r="1012">
      <c r="A1012" s="16" t="s">
        <v>4208</v>
      </c>
      <c r="B1012" s="16" t="s">
        <v>4209</v>
      </c>
      <c r="C1012" s="16" t="s">
        <v>1743</v>
      </c>
      <c r="D1012" s="16">
        <v>1.0</v>
      </c>
      <c r="E1012" s="16">
        <v>7.99</v>
      </c>
      <c r="F1012" s="16">
        <v>7.99</v>
      </c>
    </row>
    <row r="1013">
      <c r="A1013" s="16" t="s">
        <v>4212</v>
      </c>
      <c r="B1013" s="16" t="s">
        <v>4209</v>
      </c>
      <c r="C1013" s="16" t="s">
        <v>4213</v>
      </c>
      <c r="D1013" s="16">
        <v>1.0</v>
      </c>
      <c r="E1013" s="16">
        <v>8.49</v>
      </c>
      <c r="F1013" s="16">
        <v>8.49</v>
      </c>
    </row>
    <row r="1014">
      <c r="A1014" s="16" t="s">
        <v>4214</v>
      </c>
      <c r="B1014" s="16" t="s">
        <v>4209</v>
      </c>
      <c r="C1014" s="16" t="s">
        <v>1565</v>
      </c>
      <c r="D1014" s="16">
        <v>3.0</v>
      </c>
      <c r="E1014" s="16">
        <v>14.99</v>
      </c>
      <c r="F1014" s="16">
        <v>44.97</v>
      </c>
    </row>
    <row r="1015">
      <c r="A1015" s="16" t="s">
        <v>4215</v>
      </c>
      <c r="B1015" s="16" t="s">
        <v>4209</v>
      </c>
      <c r="C1015" s="16" t="s">
        <v>1726</v>
      </c>
      <c r="D1015" s="16">
        <v>0.79</v>
      </c>
      <c r="E1015" s="16">
        <v>12.99</v>
      </c>
      <c r="F1015" s="16">
        <v>10.26</v>
      </c>
    </row>
    <row r="1016">
      <c r="A1016" s="16" t="s">
        <v>4216</v>
      </c>
      <c r="B1016" s="16" t="s">
        <v>4209</v>
      </c>
      <c r="C1016" s="16" t="s">
        <v>1505</v>
      </c>
      <c r="D1016" s="16">
        <v>1.0</v>
      </c>
      <c r="E1016" s="16">
        <v>19.99</v>
      </c>
      <c r="F1016" s="16">
        <v>19.99</v>
      </c>
    </row>
    <row r="1017">
      <c r="A1017" s="16" t="s">
        <v>4217</v>
      </c>
      <c r="B1017" s="16" t="s">
        <v>4219</v>
      </c>
      <c r="C1017" s="23" t="s">
        <v>1475</v>
      </c>
      <c r="D1017" s="16">
        <v>6.0</v>
      </c>
      <c r="E1017" s="16">
        <v>23.0</v>
      </c>
      <c r="F1017" s="16">
        <v>138.0</v>
      </c>
    </row>
    <row r="1018">
      <c r="A1018" s="16" t="s">
        <v>4222</v>
      </c>
      <c r="B1018" s="16" t="s">
        <v>4225</v>
      </c>
      <c r="C1018" s="16" t="s">
        <v>1496</v>
      </c>
      <c r="D1018" s="16">
        <v>6.0</v>
      </c>
      <c r="E1018" s="16">
        <v>9.99</v>
      </c>
      <c r="F1018" s="16">
        <v>59.94</v>
      </c>
    </row>
    <row r="1019">
      <c r="A1019" s="16" t="s">
        <v>4226</v>
      </c>
      <c r="B1019" s="16" t="s">
        <v>4225</v>
      </c>
      <c r="C1019" s="16" t="s">
        <v>1571</v>
      </c>
      <c r="D1019" s="16">
        <v>10.0</v>
      </c>
      <c r="E1019" s="16">
        <v>1.29</v>
      </c>
      <c r="F1019" s="16">
        <v>12.9</v>
      </c>
    </row>
    <row r="1020">
      <c r="A1020" s="16" t="s">
        <v>4227</v>
      </c>
      <c r="B1020" s="16" t="s">
        <v>4225</v>
      </c>
      <c r="C1020" s="16" t="s">
        <v>1502</v>
      </c>
      <c r="D1020" s="16">
        <v>2.0</v>
      </c>
      <c r="E1020" s="16">
        <v>7.49</v>
      </c>
      <c r="F1020" s="16">
        <v>14.98</v>
      </c>
    </row>
    <row r="1021">
      <c r="A1021" s="16" t="s">
        <v>4229</v>
      </c>
      <c r="B1021" s="16" t="s">
        <v>4225</v>
      </c>
      <c r="C1021" s="16" t="s">
        <v>1492</v>
      </c>
      <c r="D1021" s="16">
        <v>2.72</v>
      </c>
      <c r="E1021" s="16">
        <v>1.99</v>
      </c>
      <c r="F1021" s="16">
        <v>5.41</v>
      </c>
    </row>
    <row r="1022">
      <c r="A1022" s="16" t="s">
        <v>4231</v>
      </c>
      <c r="B1022" s="16" t="s">
        <v>4233</v>
      </c>
      <c r="C1022" s="16" t="s">
        <v>1471</v>
      </c>
      <c r="D1022" s="16">
        <v>1.0</v>
      </c>
      <c r="E1022" s="16">
        <v>350.52</v>
      </c>
      <c r="F1022" s="16">
        <v>350.52</v>
      </c>
    </row>
    <row r="1023">
      <c r="A1023" s="16" t="s">
        <v>4236</v>
      </c>
      <c r="B1023" s="16" t="s">
        <v>4237</v>
      </c>
      <c r="C1023" s="16" t="s">
        <v>1656</v>
      </c>
      <c r="D1023" s="16">
        <v>2.0</v>
      </c>
      <c r="E1023" s="16">
        <v>44.28</v>
      </c>
      <c r="F1023" s="16">
        <v>88.56</v>
      </c>
    </row>
    <row r="1024">
      <c r="A1024" s="16" t="s">
        <v>4238</v>
      </c>
      <c r="B1024" s="16" t="s">
        <v>4237</v>
      </c>
      <c r="C1024" s="16" t="s">
        <v>1510</v>
      </c>
      <c r="D1024" s="16">
        <v>3.0</v>
      </c>
      <c r="E1024" s="16">
        <v>11.88</v>
      </c>
      <c r="F1024" s="16">
        <v>35.64</v>
      </c>
    </row>
    <row r="1025">
      <c r="A1025" s="16" t="s">
        <v>4240</v>
      </c>
      <c r="B1025" s="16" t="s">
        <v>4237</v>
      </c>
      <c r="C1025" s="16" t="s">
        <v>1517</v>
      </c>
      <c r="D1025" s="16">
        <v>8.0</v>
      </c>
      <c r="E1025" s="16">
        <v>14.28</v>
      </c>
      <c r="F1025" s="16">
        <v>114.24</v>
      </c>
    </row>
    <row r="1026">
      <c r="A1026" s="16" t="s">
        <v>4243</v>
      </c>
      <c r="B1026" s="16" t="s">
        <v>4244</v>
      </c>
      <c r="C1026" s="16" t="s">
        <v>1510</v>
      </c>
      <c r="D1026" s="16">
        <v>9.0</v>
      </c>
      <c r="E1026" s="16">
        <v>11.88</v>
      </c>
      <c r="F1026" s="16">
        <v>106.92</v>
      </c>
    </row>
    <row r="1027">
      <c r="A1027" s="16" t="s">
        <v>4246</v>
      </c>
      <c r="B1027" s="16" t="s">
        <v>4244</v>
      </c>
      <c r="C1027" s="16" t="s">
        <v>3557</v>
      </c>
      <c r="D1027" s="16">
        <v>12.0</v>
      </c>
      <c r="E1027" s="16">
        <v>8.29</v>
      </c>
      <c r="F1027" s="16">
        <v>99.48</v>
      </c>
    </row>
    <row r="1028">
      <c r="A1028" s="16" t="s">
        <v>4249</v>
      </c>
      <c r="B1028" s="16" t="s">
        <v>4251</v>
      </c>
      <c r="C1028" s="16" t="s">
        <v>210</v>
      </c>
      <c r="D1028" s="16">
        <v>1.0</v>
      </c>
      <c r="E1028" s="16">
        <v>2138.06</v>
      </c>
      <c r="F1028" s="16">
        <v>2138.06</v>
      </c>
    </row>
    <row r="1029">
      <c r="A1029" s="16" t="s">
        <v>4253</v>
      </c>
      <c r="B1029" s="16" t="s">
        <v>4251</v>
      </c>
      <c r="C1029" s="16" t="s">
        <v>1551</v>
      </c>
      <c r="D1029" s="16">
        <v>1.0</v>
      </c>
      <c r="E1029" s="16">
        <v>135.96</v>
      </c>
      <c r="F1029" s="16">
        <v>135.96</v>
      </c>
    </row>
    <row r="1030">
      <c r="A1030" s="16" t="s">
        <v>4256</v>
      </c>
      <c r="B1030" s="16" t="s">
        <v>4257</v>
      </c>
      <c r="C1030" s="16" t="s">
        <v>1793</v>
      </c>
      <c r="D1030" s="16">
        <v>1.0</v>
      </c>
      <c r="E1030" s="16">
        <v>15.0</v>
      </c>
      <c r="F1030" s="16">
        <v>15.0</v>
      </c>
    </row>
    <row r="1031">
      <c r="A1031" s="16" t="s">
        <v>4260</v>
      </c>
      <c r="B1031" s="16" t="s">
        <v>4261</v>
      </c>
      <c r="C1031" s="16" t="s">
        <v>1539</v>
      </c>
      <c r="D1031" s="16">
        <v>1.87</v>
      </c>
      <c r="E1031" s="16">
        <v>7.49</v>
      </c>
      <c r="F1031" s="16">
        <v>14.01</v>
      </c>
    </row>
    <row r="1032">
      <c r="A1032" s="16" t="s">
        <v>4263</v>
      </c>
      <c r="B1032" s="16" t="s">
        <v>4261</v>
      </c>
      <c r="C1032" s="16" t="s">
        <v>1492</v>
      </c>
      <c r="D1032" s="16">
        <v>2.94</v>
      </c>
      <c r="E1032" s="16">
        <v>3.99</v>
      </c>
      <c r="F1032" s="16">
        <v>11.73</v>
      </c>
    </row>
    <row r="1033">
      <c r="A1033" s="16" t="s">
        <v>4266</v>
      </c>
      <c r="B1033" s="16" t="s">
        <v>4261</v>
      </c>
      <c r="C1033" s="16" t="s">
        <v>1565</v>
      </c>
      <c r="D1033" s="16">
        <v>2.0</v>
      </c>
      <c r="E1033" s="16">
        <v>9.98</v>
      </c>
      <c r="F1033" s="16">
        <v>19.96</v>
      </c>
    </row>
    <row r="1034">
      <c r="A1034" s="16" t="s">
        <v>4268</v>
      </c>
      <c r="B1034" s="16" t="s">
        <v>4261</v>
      </c>
      <c r="C1034" s="16" t="s">
        <v>1578</v>
      </c>
      <c r="D1034" s="16">
        <v>1.0</v>
      </c>
      <c r="E1034" s="16">
        <v>25.99</v>
      </c>
      <c r="F1034" s="16">
        <v>25.99</v>
      </c>
    </row>
    <row r="1035">
      <c r="A1035" s="16" t="s">
        <v>4272</v>
      </c>
      <c r="B1035" s="16" t="s">
        <v>4261</v>
      </c>
      <c r="C1035" s="16" t="s">
        <v>1568</v>
      </c>
      <c r="D1035" s="16">
        <v>2.0</v>
      </c>
      <c r="E1035" s="16">
        <v>13.99</v>
      </c>
      <c r="F1035" s="16">
        <v>27.98</v>
      </c>
    </row>
    <row r="1036">
      <c r="A1036" s="16" t="s">
        <v>4273</v>
      </c>
      <c r="B1036" s="16" t="s">
        <v>4261</v>
      </c>
      <c r="C1036" s="16" t="s">
        <v>1489</v>
      </c>
      <c r="D1036" s="16">
        <v>2.0</v>
      </c>
      <c r="E1036" s="16">
        <v>9.98</v>
      </c>
      <c r="F1036" s="16">
        <v>19.96</v>
      </c>
    </row>
    <row r="1037">
      <c r="A1037" s="16" t="s">
        <v>4274</v>
      </c>
      <c r="B1037" s="16" t="s">
        <v>4276</v>
      </c>
      <c r="C1037" s="16" t="s">
        <v>467</v>
      </c>
      <c r="D1037" s="16">
        <v>1.0</v>
      </c>
      <c r="E1037" s="16">
        <v>45.0</v>
      </c>
      <c r="F1037" s="16">
        <v>45.0</v>
      </c>
    </row>
    <row r="1038">
      <c r="A1038" s="16" t="s">
        <v>4277</v>
      </c>
      <c r="B1038" s="16" t="s">
        <v>4278</v>
      </c>
      <c r="C1038" s="16" t="s">
        <v>467</v>
      </c>
      <c r="D1038" s="16">
        <v>1.0</v>
      </c>
      <c r="E1038" s="16">
        <v>180.0</v>
      </c>
      <c r="F1038" s="16">
        <v>180.0</v>
      </c>
    </row>
    <row r="1039">
      <c r="A1039" s="16" t="s">
        <v>4281</v>
      </c>
      <c r="B1039" s="16" t="s">
        <v>4282</v>
      </c>
      <c r="C1039" s="16" t="s">
        <v>897</v>
      </c>
      <c r="D1039" s="16">
        <v>1.0</v>
      </c>
      <c r="E1039" s="16">
        <v>24.0</v>
      </c>
      <c r="F1039" s="16">
        <v>24.0</v>
      </c>
    </row>
    <row r="1040">
      <c r="A1040" s="16" t="s">
        <v>4283</v>
      </c>
      <c r="B1040" s="16" t="s">
        <v>4284</v>
      </c>
      <c r="C1040" s="16" t="s">
        <v>1502</v>
      </c>
      <c r="D1040" s="16">
        <v>2.0</v>
      </c>
      <c r="E1040" s="16">
        <v>6.99</v>
      </c>
      <c r="F1040" s="16">
        <v>13.98</v>
      </c>
    </row>
    <row r="1041">
      <c r="A1041" s="16" t="s">
        <v>4285</v>
      </c>
      <c r="B1041" s="16" t="s">
        <v>4286</v>
      </c>
      <c r="C1041" s="16" t="s">
        <v>4287</v>
      </c>
      <c r="D1041" s="16">
        <v>1.0</v>
      </c>
      <c r="E1041" s="16">
        <v>5.99</v>
      </c>
      <c r="F1041" s="16">
        <v>5.99</v>
      </c>
    </row>
    <row r="1042">
      <c r="A1042" s="16" t="s">
        <v>4289</v>
      </c>
      <c r="B1042" s="16" t="s">
        <v>4290</v>
      </c>
      <c r="C1042" s="16" t="s">
        <v>3329</v>
      </c>
      <c r="D1042" s="16">
        <v>1.0</v>
      </c>
      <c r="E1042" s="16">
        <v>80.0</v>
      </c>
      <c r="F1042" s="16">
        <v>80.0</v>
      </c>
    </row>
    <row r="1043">
      <c r="A1043" s="16" t="s">
        <v>4291</v>
      </c>
      <c r="B1043" s="16" t="s">
        <v>4293</v>
      </c>
      <c r="C1043" s="16" t="s">
        <v>4294</v>
      </c>
      <c r="D1043" s="16">
        <v>1.0</v>
      </c>
      <c r="E1043" s="16">
        <v>102.63</v>
      </c>
      <c r="F1043" s="16">
        <v>102.63</v>
      </c>
    </row>
    <row r="1044">
      <c r="A1044" s="16" t="s">
        <v>4298</v>
      </c>
      <c r="B1044" s="16" t="s">
        <v>4293</v>
      </c>
      <c r="C1044" s="16" t="s">
        <v>1549</v>
      </c>
      <c r="D1044" s="16">
        <v>1.0</v>
      </c>
      <c r="E1044" s="16">
        <v>9.75</v>
      </c>
      <c r="F1044" s="16">
        <v>9.75</v>
      </c>
    </row>
    <row r="1045">
      <c r="A1045" s="16" t="s">
        <v>4299</v>
      </c>
      <c r="B1045" s="16" t="s">
        <v>4301</v>
      </c>
      <c r="C1045" s="16" t="s">
        <v>1547</v>
      </c>
      <c r="D1045" s="16">
        <v>1.0</v>
      </c>
      <c r="E1045" s="16">
        <v>238.0</v>
      </c>
      <c r="F1045" s="16">
        <v>238.0</v>
      </c>
    </row>
    <row r="1046">
      <c r="A1046" s="23" t="s">
        <v>4304</v>
      </c>
      <c r="B1046" s="16" t="s">
        <v>4301</v>
      </c>
      <c r="C1046" s="16" t="s">
        <v>1549</v>
      </c>
      <c r="D1046" s="16">
        <v>1.0</v>
      </c>
      <c r="E1046" s="16">
        <v>22.61</v>
      </c>
      <c r="F1046" s="16">
        <v>22.61</v>
      </c>
    </row>
    <row r="1047">
      <c r="A1047" s="16" t="s">
        <v>4306</v>
      </c>
      <c r="B1047" s="16" t="s">
        <v>4301</v>
      </c>
      <c r="C1047" s="16" t="s">
        <v>1551</v>
      </c>
      <c r="D1047" s="16">
        <v>1.0</v>
      </c>
      <c r="E1047" s="16">
        <v>2.42</v>
      </c>
      <c r="F1047" s="16">
        <v>2.42</v>
      </c>
    </row>
    <row r="1048">
      <c r="A1048" s="16" t="s">
        <v>4310</v>
      </c>
      <c r="B1048" s="23" t="s">
        <v>4311</v>
      </c>
      <c r="C1048" s="16" t="s">
        <v>1547</v>
      </c>
      <c r="D1048" s="16">
        <v>0.0</v>
      </c>
      <c r="E1048" s="16">
        <v>0.0</v>
      </c>
      <c r="F1048" s="16">
        <v>0.0</v>
      </c>
    </row>
    <row r="1049">
      <c r="A1049" s="16" t="s">
        <v>4314</v>
      </c>
      <c r="B1049" s="23" t="s">
        <v>4311</v>
      </c>
      <c r="C1049" s="16" t="s">
        <v>1549</v>
      </c>
      <c r="D1049" s="16">
        <v>1.0</v>
      </c>
      <c r="E1049" s="16">
        <v>747.42</v>
      </c>
      <c r="F1049" s="16">
        <v>747.42</v>
      </c>
    </row>
    <row r="1050">
      <c r="A1050" s="16" t="s">
        <v>4315</v>
      </c>
      <c r="B1050" s="23" t="s">
        <v>4311</v>
      </c>
      <c r="C1050" s="16" t="s">
        <v>1547</v>
      </c>
      <c r="D1050" s="16">
        <v>1.0</v>
      </c>
      <c r="E1050" s="16">
        <v>7867.62</v>
      </c>
      <c r="F1050" s="16">
        <v>7867.62</v>
      </c>
    </row>
    <row r="1051">
      <c r="A1051" s="16" t="s">
        <v>4317</v>
      </c>
      <c r="B1051" s="23" t="s">
        <v>4311</v>
      </c>
      <c r="C1051" s="16" t="s">
        <v>1551</v>
      </c>
      <c r="D1051" s="16">
        <v>1.0</v>
      </c>
      <c r="E1051" s="16">
        <v>81.51</v>
      </c>
      <c r="F1051" s="16">
        <v>81.51</v>
      </c>
    </row>
    <row r="1052">
      <c r="A1052" s="16" t="s">
        <v>4318</v>
      </c>
      <c r="B1052" s="16" t="s">
        <v>4320</v>
      </c>
      <c r="C1052" s="16" t="s">
        <v>4322</v>
      </c>
      <c r="D1052" s="16">
        <v>1.0</v>
      </c>
      <c r="E1052" s="16">
        <v>709.2</v>
      </c>
      <c r="F1052" s="16">
        <v>709.2</v>
      </c>
    </row>
    <row r="1053">
      <c r="A1053" s="16" t="s">
        <v>4323</v>
      </c>
      <c r="B1053" s="16" t="s">
        <v>4320</v>
      </c>
      <c r="C1053" s="16" t="s">
        <v>1549</v>
      </c>
      <c r="D1053" s="16">
        <v>1.0</v>
      </c>
      <c r="E1053" s="16">
        <v>67.37</v>
      </c>
      <c r="F1053" s="16">
        <v>67.37</v>
      </c>
    </row>
    <row r="1054">
      <c r="A1054" s="16" t="s">
        <v>4324</v>
      </c>
      <c r="B1054" s="16" t="s">
        <v>4325</v>
      </c>
      <c r="C1054" s="16" t="s">
        <v>1547</v>
      </c>
      <c r="D1054" s="16">
        <v>1.0</v>
      </c>
      <c r="E1054" s="16">
        <v>255.0</v>
      </c>
      <c r="F1054" s="16">
        <v>255.0</v>
      </c>
    </row>
    <row r="1055">
      <c r="A1055" s="16" t="s">
        <v>4327</v>
      </c>
      <c r="B1055" s="16" t="s">
        <v>4325</v>
      </c>
      <c r="C1055" s="16" t="s">
        <v>1549</v>
      </c>
      <c r="D1055" s="16">
        <v>1.0</v>
      </c>
      <c r="E1055" s="16">
        <v>24.23</v>
      </c>
      <c r="F1055" s="16">
        <v>24.23</v>
      </c>
    </row>
    <row r="1056">
      <c r="A1056" s="16" t="s">
        <v>4329</v>
      </c>
      <c r="B1056" s="16" t="s">
        <v>4330</v>
      </c>
      <c r="C1056" s="16" t="s">
        <v>1616</v>
      </c>
      <c r="D1056" s="16">
        <v>1.0</v>
      </c>
      <c r="E1056" s="16">
        <v>3309.74</v>
      </c>
      <c r="F1056" s="16">
        <v>3309.74</v>
      </c>
    </row>
    <row r="1057">
      <c r="A1057" s="16" t="s">
        <v>4332</v>
      </c>
      <c r="B1057" s="16" t="s">
        <v>4330</v>
      </c>
      <c r="C1057" s="16" t="s">
        <v>1549</v>
      </c>
      <c r="D1057" s="16">
        <v>1.0</v>
      </c>
      <c r="E1057" s="16">
        <v>314.43</v>
      </c>
      <c r="F1057" s="16">
        <v>314.43</v>
      </c>
    </row>
    <row r="1058">
      <c r="A1058" s="23" t="s">
        <v>4333</v>
      </c>
      <c r="B1058" s="16" t="s">
        <v>4334</v>
      </c>
      <c r="C1058" s="16" t="s">
        <v>4335</v>
      </c>
      <c r="D1058" s="16">
        <v>1.0</v>
      </c>
      <c r="E1058" s="16">
        <v>1800.0</v>
      </c>
      <c r="F1058" s="16">
        <v>1800.0</v>
      </c>
    </row>
    <row r="1059">
      <c r="A1059" s="16" t="s">
        <v>4336</v>
      </c>
      <c r="B1059" s="16" t="s">
        <v>4334</v>
      </c>
      <c r="C1059" s="16" t="s">
        <v>1549</v>
      </c>
      <c r="D1059" s="16">
        <v>1.0</v>
      </c>
      <c r="E1059" s="16">
        <v>109.6</v>
      </c>
      <c r="F1059" s="16">
        <v>109.6</v>
      </c>
    </row>
    <row r="1060">
      <c r="A1060" s="16" t="s">
        <v>4338</v>
      </c>
      <c r="B1060" s="16" t="s">
        <v>4339</v>
      </c>
      <c r="C1060" s="16" t="s">
        <v>3625</v>
      </c>
      <c r="D1060" s="16">
        <v>4.0</v>
      </c>
      <c r="E1060" s="16">
        <v>2.0</v>
      </c>
      <c r="F1060" s="16">
        <v>8.0</v>
      </c>
    </row>
    <row r="1061">
      <c r="A1061" s="16" t="s">
        <v>4341</v>
      </c>
      <c r="B1061" s="16" t="s">
        <v>4339</v>
      </c>
      <c r="C1061" s="16" t="s">
        <v>4342</v>
      </c>
      <c r="D1061" s="16">
        <v>6.0</v>
      </c>
      <c r="E1061" s="16">
        <v>8.2</v>
      </c>
      <c r="F1061" s="16">
        <v>49.2</v>
      </c>
    </row>
    <row r="1062">
      <c r="A1062" s="16" t="s">
        <v>4344</v>
      </c>
      <c r="B1062" s="16" t="s">
        <v>4339</v>
      </c>
      <c r="C1062" s="16" t="s">
        <v>4345</v>
      </c>
      <c r="D1062" s="16">
        <v>4.0</v>
      </c>
      <c r="E1062" s="16">
        <v>3.5</v>
      </c>
      <c r="F1062" s="16">
        <v>14.0</v>
      </c>
    </row>
    <row r="1063">
      <c r="A1063" s="16" t="s">
        <v>4346</v>
      </c>
      <c r="B1063" s="16" t="s">
        <v>4339</v>
      </c>
      <c r="C1063" s="16" t="s">
        <v>4347</v>
      </c>
      <c r="D1063" s="16">
        <v>1.0</v>
      </c>
      <c r="E1063" s="16">
        <v>3.0</v>
      </c>
      <c r="F1063" s="16">
        <v>3.0</v>
      </c>
    </row>
    <row r="1064">
      <c r="A1064" s="16" t="s">
        <v>4348</v>
      </c>
      <c r="B1064" s="16" t="s">
        <v>4339</v>
      </c>
      <c r="C1064" s="16" t="s">
        <v>4349</v>
      </c>
      <c r="D1064" s="16">
        <v>1.0</v>
      </c>
      <c r="E1064" s="16">
        <v>16.0</v>
      </c>
      <c r="F1064" s="16">
        <v>16.0</v>
      </c>
    </row>
    <row r="1065">
      <c r="A1065" s="16" t="s">
        <v>4350</v>
      </c>
      <c r="B1065" s="16" t="s">
        <v>4351</v>
      </c>
      <c r="C1065" s="23" t="s">
        <v>1475</v>
      </c>
      <c r="D1065" s="16">
        <v>5.0</v>
      </c>
      <c r="E1065" s="16">
        <v>23.0</v>
      </c>
      <c r="F1065" s="16">
        <v>115.0</v>
      </c>
    </row>
    <row r="1066">
      <c r="A1066" s="16" t="s">
        <v>4353</v>
      </c>
      <c r="B1066" s="16" t="s">
        <v>4354</v>
      </c>
      <c r="C1066" s="16" t="s">
        <v>1492</v>
      </c>
      <c r="D1066" s="16">
        <v>2.2</v>
      </c>
      <c r="E1066" s="16">
        <v>5.99</v>
      </c>
      <c r="F1066" s="16">
        <v>13.18</v>
      </c>
    </row>
    <row r="1067">
      <c r="A1067" s="16" t="s">
        <v>4355</v>
      </c>
      <c r="B1067" s="16" t="s">
        <v>4354</v>
      </c>
      <c r="C1067" s="16" t="s">
        <v>1539</v>
      </c>
      <c r="D1067" s="16">
        <v>2.29</v>
      </c>
      <c r="E1067" s="16">
        <v>7.99</v>
      </c>
      <c r="F1067" s="16">
        <v>18.3</v>
      </c>
    </row>
    <row r="1068">
      <c r="A1068" s="16" t="s">
        <v>4357</v>
      </c>
      <c r="B1068" s="16" t="s">
        <v>4354</v>
      </c>
      <c r="C1068" s="16" t="s">
        <v>1496</v>
      </c>
      <c r="D1068" s="16">
        <v>7.0</v>
      </c>
      <c r="E1068" s="16">
        <v>8.99</v>
      </c>
      <c r="F1068" s="16">
        <v>62.93</v>
      </c>
    </row>
    <row r="1069">
      <c r="A1069" s="16" t="s">
        <v>4359</v>
      </c>
      <c r="B1069" s="16" t="s">
        <v>4360</v>
      </c>
      <c r="C1069" s="23" t="s">
        <v>1475</v>
      </c>
      <c r="D1069" s="16">
        <v>6.0</v>
      </c>
      <c r="E1069" s="16">
        <v>23.0</v>
      </c>
      <c r="F1069" s="16">
        <v>138.0</v>
      </c>
    </row>
    <row r="1070">
      <c r="A1070" s="16" t="s">
        <v>4361</v>
      </c>
      <c r="B1070" s="16" t="s">
        <v>4362</v>
      </c>
      <c r="C1070" s="16" t="s">
        <v>1726</v>
      </c>
      <c r="D1070" s="16">
        <v>0.29</v>
      </c>
      <c r="E1070" s="16">
        <v>14.95</v>
      </c>
      <c r="F1070" s="16">
        <v>4.34</v>
      </c>
    </row>
    <row r="1071">
      <c r="A1071" s="16" t="s">
        <v>4364</v>
      </c>
      <c r="B1071" s="16" t="s">
        <v>4365</v>
      </c>
      <c r="C1071" s="16" t="s">
        <v>3315</v>
      </c>
      <c r="D1071" s="16">
        <v>1.0</v>
      </c>
      <c r="E1071" s="16">
        <v>17.99</v>
      </c>
      <c r="F1071" s="16">
        <v>17.99</v>
      </c>
    </row>
    <row r="1072">
      <c r="A1072" s="16" t="s">
        <v>4367</v>
      </c>
      <c r="B1072" s="16" t="s">
        <v>4365</v>
      </c>
      <c r="C1072" s="16" t="s">
        <v>4368</v>
      </c>
      <c r="D1072" s="16">
        <v>1.0</v>
      </c>
      <c r="E1072" s="16">
        <v>6.99</v>
      </c>
      <c r="F1072" s="16">
        <v>6.99</v>
      </c>
    </row>
    <row r="1073">
      <c r="A1073" s="16" t="s">
        <v>4370</v>
      </c>
      <c r="B1073" s="16" t="s">
        <v>4371</v>
      </c>
      <c r="C1073" s="16" t="s">
        <v>1502</v>
      </c>
      <c r="D1073" s="16">
        <v>2.0</v>
      </c>
      <c r="E1073" s="16">
        <v>7.99</v>
      </c>
      <c r="F1073" s="16">
        <v>15.98</v>
      </c>
    </row>
    <row r="1074">
      <c r="A1074" s="16" t="s">
        <v>4372</v>
      </c>
      <c r="B1074" s="16" t="s">
        <v>4371</v>
      </c>
      <c r="C1074" s="16" t="s">
        <v>1743</v>
      </c>
      <c r="D1074" s="16">
        <v>1.0</v>
      </c>
      <c r="E1074" s="16">
        <v>6.99</v>
      </c>
      <c r="F1074" s="16">
        <v>6.99</v>
      </c>
    </row>
    <row r="1075">
      <c r="A1075" s="16" t="s">
        <v>4373</v>
      </c>
      <c r="B1075" s="16" t="s">
        <v>4371</v>
      </c>
      <c r="C1075" s="16" t="s">
        <v>1565</v>
      </c>
      <c r="D1075" s="16">
        <v>2.0</v>
      </c>
      <c r="E1075" s="16">
        <v>15.99</v>
      </c>
      <c r="F1075" s="16">
        <v>31.98</v>
      </c>
    </row>
    <row r="1076">
      <c r="A1076" s="16" t="s">
        <v>4375</v>
      </c>
      <c r="B1076" s="16" t="s">
        <v>4371</v>
      </c>
      <c r="C1076" s="16" t="s">
        <v>1489</v>
      </c>
      <c r="D1076" s="16">
        <v>2.0</v>
      </c>
      <c r="E1076" s="16">
        <v>9.98</v>
      </c>
      <c r="F1076" s="16">
        <v>19.96</v>
      </c>
    </row>
    <row r="1077">
      <c r="A1077" s="16" t="s">
        <v>4376</v>
      </c>
      <c r="B1077" s="16" t="s">
        <v>4371</v>
      </c>
      <c r="C1077" s="16" t="s">
        <v>1539</v>
      </c>
      <c r="D1077" s="16">
        <v>2.44</v>
      </c>
      <c r="E1077" s="16">
        <v>7.49</v>
      </c>
      <c r="F1077" s="16">
        <v>18.28</v>
      </c>
    </row>
    <row r="1078">
      <c r="A1078" s="16" t="s">
        <v>4380</v>
      </c>
      <c r="B1078" s="16" t="s">
        <v>4371</v>
      </c>
      <c r="C1078" s="16" t="s">
        <v>1483</v>
      </c>
      <c r="D1078" s="16">
        <v>2.125</v>
      </c>
      <c r="E1078" s="16">
        <v>29.98</v>
      </c>
      <c r="F1078" s="16">
        <v>63.71</v>
      </c>
    </row>
    <row r="1079">
      <c r="A1079" s="16" t="s">
        <v>4381</v>
      </c>
      <c r="B1079" s="16" t="s">
        <v>4371</v>
      </c>
      <c r="C1079" s="16" t="s">
        <v>1583</v>
      </c>
      <c r="D1079" s="16">
        <v>0.24</v>
      </c>
      <c r="E1079" s="16">
        <v>11.99</v>
      </c>
      <c r="F1079" s="16">
        <v>2.88</v>
      </c>
    </row>
    <row r="1080">
      <c r="A1080" s="16" t="s">
        <v>4382</v>
      </c>
      <c r="B1080" s="16" t="s">
        <v>4371</v>
      </c>
      <c r="C1080" s="16" t="s">
        <v>1580</v>
      </c>
      <c r="D1080" s="16">
        <v>1.0</v>
      </c>
      <c r="E1080" s="16">
        <v>3.98</v>
      </c>
      <c r="F1080" s="16">
        <v>3.98</v>
      </c>
    </row>
    <row r="1081">
      <c r="A1081" s="16" t="s">
        <v>4384</v>
      </c>
      <c r="B1081" s="16" t="s">
        <v>4385</v>
      </c>
      <c r="C1081" s="16" t="s">
        <v>1492</v>
      </c>
      <c r="D1081" s="16">
        <v>3.27</v>
      </c>
      <c r="E1081" s="16">
        <v>5.99</v>
      </c>
      <c r="F1081" s="16">
        <v>19.59</v>
      </c>
    </row>
    <row r="1082">
      <c r="A1082" s="16" t="s">
        <v>4387</v>
      </c>
      <c r="B1082" s="16" t="s">
        <v>4385</v>
      </c>
      <c r="C1082" s="16" t="s">
        <v>1496</v>
      </c>
      <c r="D1082" s="16">
        <v>7.0</v>
      </c>
      <c r="E1082" s="16">
        <v>7.99</v>
      </c>
      <c r="F1082" s="16">
        <v>55.93</v>
      </c>
    </row>
    <row r="1083">
      <c r="A1083" s="16" t="s">
        <v>4389</v>
      </c>
      <c r="B1083" s="16" t="s">
        <v>4390</v>
      </c>
      <c r="C1083" s="16" t="s">
        <v>1547</v>
      </c>
      <c r="D1083" s="16">
        <v>1.0</v>
      </c>
      <c r="E1083" s="16">
        <v>1491.75</v>
      </c>
      <c r="F1083" s="16">
        <v>1491.75</v>
      </c>
    </row>
    <row r="1084">
      <c r="A1084" s="16" t="s">
        <v>4391</v>
      </c>
      <c r="B1084" s="16" t="s">
        <v>4390</v>
      </c>
      <c r="C1084" s="16" t="s">
        <v>1549</v>
      </c>
      <c r="D1084" s="16">
        <v>1.0</v>
      </c>
      <c r="E1084" s="16">
        <v>141.72</v>
      </c>
      <c r="F1084" s="16">
        <v>141.72</v>
      </c>
    </row>
    <row r="1085">
      <c r="A1085" s="16" t="s">
        <v>4392</v>
      </c>
      <c r="B1085" s="16" t="s">
        <v>4390</v>
      </c>
      <c r="C1085" s="16" t="s">
        <v>1551</v>
      </c>
      <c r="D1085" s="16">
        <v>1.0</v>
      </c>
      <c r="E1085" s="16">
        <v>48.25</v>
      </c>
      <c r="F1085" s="16">
        <v>48.25</v>
      </c>
    </row>
    <row r="1086">
      <c r="A1086" s="16" t="s">
        <v>4394</v>
      </c>
      <c r="B1086" s="16" t="s">
        <v>4395</v>
      </c>
      <c r="C1086" s="16" t="s">
        <v>1660</v>
      </c>
      <c r="D1086" s="16">
        <v>2.0</v>
      </c>
      <c r="E1086" s="16">
        <v>44.28</v>
      </c>
      <c r="F1086" s="16">
        <v>88.56</v>
      </c>
    </row>
    <row r="1087">
      <c r="A1087" s="16" t="s">
        <v>4398</v>
      </c>
      <c r="B1087" s="16" t="s">
        <v>4395</v>
      </c>
      <c r="C1087" s="16" t="s">
        <v>1662</v>
      </c>
      <c r="D1087" s="16">
        <v>4.0</v>
      </c>
      <c r="E1087" s="16">
        <v>22.14</v>
      </c>
      <c r="F1087" s="16">
        <v>88.56</v>
      </c>
    </row>
    <row r="1088">
      <c r="A1088" s="16" t="s">
        <v>4399</v>
      </c>
      <c r="B1088" s="16" t="s">
        <v>4395</v>
      </c>
      <c r="C1088" s="16" t="s">
        <v>1510</v>
      </c>
      <c r="D1088" s="16">
        <v>5.0</v>
      </c>
      <c r="E1088" s="16">
        <v>11.88</v>
      </c>
      <c r="F1088" s="16">
        <v>59.4</v>
      </c>
    </row>
    <row r="1089">
      <c r="A1089" s="16" t="s">
        <v>4400</v>
      </c>
      <c r="B1089" s="16" t="s">
        <v>4395</v>
      </c>
      <c r="C1089" s="16" t="s">
        <v>1517</v>
      </c>
      <c r="D1089" s="16">
        <v>8.0</v>
      </c>
      <c r="E1089" s="16">
        <v>14.28</v>
      </c>
      <c r="F1089" s="16">
        <v>114.24</v>
      </c>
    </row>
    <row r="1090">
      <c r="A1090" s="16" t="s">
        <v>4402</v>
      </c>
      <c r="B1090" s="16" t="s">
        <v>4395</v>
      </c>
      <c r="C1090" s="16" t="s">
        <v>3557</v>
      </c>
      <c r="D1090" s="16">
        <v>12.0</v>
      </c>
      <c r="E1090" s="16">
        <v>8.29</v>
      </c>
      <c r="F1090" s="16">
        <v>99.48</v>
      </c>
    </row>
    <row r="1091">
      <c r="A1091" s="16" t="s">
        <v>4403</v>
      </c>
      <c r="B1091" s="16" t="s">
        <v>4395</v>
      </c>
      <c r="C1091" s="16" t="s">
        <v>3560</v>
      </c>
      <c r="D1091" s="16">
        <v>4.0</v>
      </c>
      <c r="E1091" s="16">
        <v>29.94</v>
      </c>
      <c r="F1091" s="16">
        <v>119.76</v>
      </c>
    </row>
    <row r="1092">
      <c r="A1092" s="16" t="s">
        <v>4406</v>
      </c>
      <c r="B1092" s="16" t="s">
        <v>4407</v>
      </c>
      <c r="C1092" s="16" t="s">
        <v>4408</v>
      </c>
      <c r="D1092" s="16">
        <v>2.0</v>
      </c>
      <c r="E1092" s="16">
        <v>7.99</v>
      </c>
      <c r="F1092" s="16">
        <v>15.98</v>
      </c>
    </row>
    <row r="1093">
      <c r="A1093" s="16" t="s">
        <v>4409</v>
      </c>
      <c r="B1093" s="16" t="s">
        <v>4410</v>
      </c>
      <c r="C1093" s="16" t="s">
        <v>2586</v>
      </c>
      <c r="D1093" s="16">
        <v>1.0</v>
      </c>
      <c r="E1093" s="16">
        <v>4.99</v>
      </c>
      <c r="F1093" s="16">
        <v>4.99</v>
      </c>
    </row>
    <row r="1094">
      <c r="A1094" s="16" t="s">
        <v>4411</v>
      </c>
      <c r="B1094" s="16" t="s">
        <v>4412</v>
      </c>
      <c r="C1094" s="16" t="s">
        <v>4349</v>
      </c>
      <c r="D1094" s="16">
        <v>3.0</v>
      </c>
      <c r="E1094" s="16">
        <v>16.0</v>
      </c>
      <c r="F1094" s="16">
        <v>48.0</v>
      </c>
    </row>
    <row r="1095">
      <c r="A1095" s="16" t="s">
        <v>4414</v>
      </c>
      <c r="B1095" s="16" t="s">
        <v>4415</v>
      </c>
      <c r="C1095" s="23" t="s">
        <v>1475</v>
      </c>
      <c r="D1095" s="16">
        <v>7.0</v>
      </c>
      <c r="E1095" s="16">
        <v>23.0</v>
      </c>
      <c r="F1095" s="16">
        <v>161.0</v>
      </c>
    </row>
    <row r="1096">
      <c r="A1096" s="16" t="s">
        <v>4417</v>
      </c>
      <c r="B1096" s="16" t="s">
        <v>4418</v>
      </c>
      <c r="C1096" s="16" t="s">
        <v>210</v>
      </c>
      <c r="D1096" s="16">
        <v>1.0</v>
      </c>
      <c r="E1096" s="16">
        <v>1136.36</v>
      </c>
      <c r="F1096" s="16">
        <v>1136.36</v>
      </c>
    </row>
    <row r="1097">
      <c r="A1097" s="16" t="s">
        <v>4420</v>
      </c>
      <c r="B1097" s="16" t="s">
        <v>4418</v>
      </c>
      <c r="C1097" s="16" t="s">
        <v>1551</v>
      </c>
      <c r="D1097" s="16">
        <v>1.0</v>
      </c>
      <c r="E1097" s="16">
        <v>66.85</v>
      </c>
      <c r="F1097" s="16">
        <v>66.85</v>
      </c>
    </row>
    <row r="1098">
      <c r="A1098" s="16" t="s">
        <v>4421</v>
      </c>
      <c r="B1098" s="16" t="s">
        <v>4422</v>
      </c>
      <c r="C1098" s="16" t="s">
        <v>467</v>
      </c>
      <c r="D1098" s="16">
        <v>1.0</v>
      </c>
      <c r="E1098" s="16">
        <v>127.0</v>
      </c>
      <c r="F1098" s="16">
        <v>127.0</v>
      </c>
    </row>
    <row r="1099">
      <c r="A1099" s="23" t="s">
        <v>4423</v>
      </c>
      <c r="B1099" s="16" t="s">
        <v>4424</v>
      </c>
      <c r="C1099" s="16" t="s">
        <v>1591</v>
      </c>
      <c r="D1099" s="16">
        <v>1.0</v>
      </c>
      <c r="E1099" s="16">
        <v>19.99</v>
      </c>
      <c r="F1099" s="16">
        <v>19.99</v>
      </c>
    </row>
    <row r="1100">
      <c r="A1100" s="16" t="s">
        <v>4426</v>
      </c>
      <c r="B1100" s="16" t="s">
        <v>4424</v>
      </c>
      <c r="C1100" s="16" t="s">
        <v>1642</v>
      </c>
      <c r="D1100" s="16">
        <v>1.0</v>
      </c>
      <c r="E1100" s="16">
        <v>32.99</v>
      </c>
      <c r="F1100" s="16">
        <v>32.99</v>
      </c>
    </row>
    <row r="1101">
      <c r="A1101" s="16" t="s">
        <v>4428</v>
      </c>
      <c r="B1101" s="16" t="s">
        <v>4424</v>
      </c>
      <c r="C1101" s="16" t="s">
        <v>1591</v>
      </c>
      <c r="D1101" s="16">
        <v>1.0</v>
      </c>
      <c r="E1101" s="16">
        <v>129.9</v>
      </c>
      <c r="F1101" s="16">
        <v>129.9</v>
      </c>
    </row>
    <row r="1102">
      <c r="A1102" s="16" t="s">
        <v>4430</v>
      </c>
      <c r="B1102" s="16" t="s">
        <v>4431</v>
      </c>
      <c r="C1102" s="16" t="s">
        <v>210</v>
      </c>
      <c r="D1102" s="16">
        <v>1.0</v>
      </c>
      <c r="E1102" s="16">
        <v>2130.0</v>
      </c>
      <c r="F1102" s="16">
        <v>2130.0</v>
      </c>
    </row>
    <row r="1103">
      <c r="A1103" s="16" t="s">
        <v>4432</v>
      </c>
      <c r="B1103" s="16" t="s">
        <v>4431</v>
      </c>
      <c r="C1103" s="16" t="s">
        <v>1551</v>
      </c>
      <c r="D1103" s="16">
        <v>1.0</v>
      </c>
      <c r="E1103" s="16">
        <v>148.28</v>
      </c>
      <c r="F1103" s="16">
        <v>148.28</v>
      </c>
    </row>
    <row r="1104">
      <c r="A1104" s="16" t="s">
        <v>4433</v>
      </c>
      <c r="B1104" s="16" t="s">
        <v>125</v>
      </c>
      <c r="C1104" s="16" t="s">
        <v>1489</v>
      </c>
      <c r="D1104" s="16">
        <v>1.0</v>
      </c>
      <c r="E1104" s="16">
        <v>9.99</v>
      </c>
      <c r="F1104" s="16">
        <v>9.99</v>
      </c>
    </row>
    <row r="1105">
      <c r="A1105" s="16" t="s">
        <v>4435</v>
      </c>
      <c r="B1105" s="16" t="s">
        <v>125</v>
      </c>
      <c r="C1105" s="16" t="s">
        <v>1580</v>
      </c>
      <c r="D1105" s="16">
        <v>1.0</v>
      </c>
      <c r="E1105" s="16">
        <v>5.99</v>
      </c>
      <c r="F1105" s="16">
        <v>5.99</v>
      </c>
    </row>
    <row r="1106">
      <c r="A1106" s="16" t="s">
        <v>4438</v>
      </c>
      <c r="B1106" s="16" t="s">
        <v>125</v>
      </c>
      <c r="C1106" s="16" t="s">
        <v>1492</v>
      </c>
      <c r="D1106" s="16">
        <v>2.05</v>
      </c>
      <c r="E1106" s="16">
        <v>1.99</v>
      </c>
      <c r="F1106" s="16">
        <v>4.08</v>
      </c>
    </row>
    <row r="1107">
      <c r="A1107" s="16" t="s">
        <v>4440</v>
      </c>
      <c r="B1107" s="16" t="s">
        <v>125</v>
      </c>
      <c r="C1107" s="16" t="s">
        <v>1539</v>
      </c>
      <c r="D1107" s="16">
        <v>1.88</v>
      </c>
      <c r="E1107" s="16">
        <v>5.99</v>
      </c>
      <c r="F1107" s="16">
        <v>11.26</v>
      </c>
    </row>
    <row r="1108">
      <c r="A1108" s="16" t="s">
        <v>4441</v>
      </c>
      <c r="B1108" s="16" t="s">
        <v>125</v>
      </c>
      <c r="C1108" s="16" t="s">
        <v>1496</v>
      </c>
      <c r="D1108" s="16">
        <v>5.0</v>
      </c>
      <c r="E1108" s="16">
        <v>7.99</v>
      </c>
      <c r="F1108" s="16">
        <v>39.95</v>
      </c>
    </row>
    <row r="1109">
      <c r="A1109" s="16" t="s">
        <v>4442</v>
      </c>
      <c r="B1109" s="16" t="s">
        <v>117</v>
      </c>
      <c r="C1109" s="16" t="s">
        <v>1483</v>
      </c>
      <c r="D1109" s="16">
        <v>6.0</v>
      </c>
      <c r="E1109" s="16">
        <v>12.99</v>
      </c>
      <c r="F1109" s="16">
        <v>77.94</v>
      </c>
    </row>
    <row r="1110">
      <c r="A1110" s="16" t="s">
        <v>4444</v>
      </c>
      <c r="B1110" s="16" t="s">
        <v>117</v>
      </c>
      <c r="C1110" s="16" t="s">
        <v>1583</v>
      </c>
      <c r="D1110" s="16">
        <v>0.37</v>
      </c>
      <c r="E1110" s="16">
        <v>12.99</v>
      </c>
      <c r="F1110" s="16">
        <v>4.81</v>
      </c>
    </row>
    <row r="1111">
      <c r="A1111" s="16" t="s">
        <v>4446</v>
      </c>
      <c r="B1111" s="16" t="s">
        <v>117</v>
      </c>
      <c r="C1111" s="16" t="s">
        <v>1502</v>
      </c>
      <c r="D1111" s="16">
        <v>2.0</v>
      </c>
      <c r="E1111" s="16">
        <v>7.99</v>
      </c>
      <c r="F1111" s="16">
        <v>15.98</v>
      </c>
    </row>
    <row r="1112">
      <c r="A1112" s="16" t="s">
        <v>4448</v>
      </c>
      <c r="B1112" s="16" t="s">
        <v>292</v>
      </c>
      <c r="C1112" s="16" t="s">
        <v>4349</v>
      </c>
      <c r="D1112" s="16">
        <v>2.0</v>
      </c>
      <c r="E1112" s="16">
        <v>16.0</v>
      </c>
      <c r="F1112" s="16">
        <v>32.0</v>
      </c>
    </row>
    <row r="1113">
      <c r="A1113" s="16" t="s">
        <v>4449</v>
      </c>
      <c r="B1113" s="16" t="s">
        <v>198</v>
      </c>
      <c r="C1113" s="16" t="s">
        <v>1750</v>
      </c>
      <c r="D1113" s="16">
        <v>1.0</v>
      </c>
      <c r="E1113" s="16">
        <v>5.99</v>
      </c>
      <c r="F1113" s="16">
        <v>5.99</v>
      </c>
    </row>
    <row r="1114">
      <c r="A1114" s="16" t="s">
        <v>4450</v>
      </c>
      <c r="B1114" s="16" t="s">
        <v>198</v>
      </c>
      <c r="C1114" s="16" t="s">
        <v>1743</v>
      </c>
      <c r="D1114" s="16">
        <v>1.0</v>
      </c>
      <c r="E1114" s="16">
        <v>8.99</v>
      </c>
      <c r="F1114" s="16">
        <v>8.99</v>
      </c>
    </row>
    <row r="1115">
      <c r="A1115" s="16" t="s">
        <v>4452</v>
      </c>
      <c r="B1115" s="16" t="s">
        <v>198</v>
      </c>
      <c r="C1115" s="16" t="s">
        <v>1565</v>
      </c>
      <c r="D1115" s="16">
        <v>1.0</v>
      </c>
      <c r="E1115" s="16">
        <v>14.99</v>
      </c>
      <c r="F1115" s="16">
        <v>14.99</v>
      </c>
    </row>
    <row r="1116">
      <c r="A1116" s="16" t="s">
        <v>4454</v>
      </c>
      <c r="B1116" s="16" t="s">
        <v>198</v>
      </c>
      <c r="C1116" s="16" t="s">
        <v>1578</v>
      </c>
      <c r="D1116" s="16">
        <v>1.0</v>
      </c>
      <c r="E1116" s="16">
        <v>29.99</v>
      </c>
      <c r="F1116" s="16">
        <v>29.99</v>
      </c>
    </row>
    <row r="1117">
      <c r="A1117" s="16" t="s">
        <v>4456</v>
      </c>
      <c r="B1117" s="16" t="s">
        <v>4457</v>
      </c>
      <c r="C1117" s="23" t="s">
        <v>1475</v>
      </c>
      <c r="D1117" s="16">
        <v>6.0</v>
      </c>
      <c r="E1117" s="16">
        <v>23.0</v>
      </c>
      <c r="F1117" s="16">
        <v>138.0</v>
      </c>
    </row>
    <row r="1118">
      <c r="A1118" s="16" t="s">
        <v>4459</v>
      </c>
      <c r="B1118" s="16" t="s">
        <v>213</v>
      </c>
      <c r="C1118" s="16" t="s">
        <v>1496</v>
      </c>
      <c r="D1118" s="16">
        <v>10.0</v>
      </c>
      <c r="E1118" s="16">
        <v>8.99</v>
      </c>
      <c r="F1118" s="16">
        <v>89.9</v>
      </c>
    </row>
    <row r="1119">
      <c r="A1119" s="16" t="s">
        <v>4461</v>
      </c>
      <c r="B1119" s="16" t="s">
        <v>213</v>
      </c>
      <c r="C1119" s="16" t="s">
        <v>1483</v>
      </c>
      <c r="D1119" s="16">
        <v>9.0</v>
      </c>
      <c r="E1119" s="16">
        <v>9.98</v>
      </c>
      <c r="F1119" s="16">
        <v>89.82</v>
      </c>
    </row>
    <row r="1120">
      <c r="A1120" s="16" t="s">
        <v>4463</v>
      </c>
      <c r="B1120" s="16" t="s">
        <v>213</v>
      </c>
      <c r="C1120" s="16" t="s">
        <v>1489</v>
      </c>
      <c r="D1120" s="16">
        <v>2.0</v>
      </c>
      <c r="E1120" s="16">
        <v>9.98</v>
      </c>
      <c r="F1120" s="16">
        <v>19.96</v>
      </c>
    </row>
    <row r="1121">
      <c r="A1121" s="16" t="s">
        <v>4464</v>
      </c>
      <c r="B1121" s="16" t="s">
        <v>213</v>
      </c>
      <c r="C1121" s="16" t="s">
        <v>1502</v>
      </c>
      <c r="D1121" s="16">
        <v>2.0</v>
      </c>
      <c r="E1121" s="16">
        <v>7.99</v>
      </c>
      <c r="F1121" s="16">
        <v>15.98</v>
      </c>
    </row>
    <row r="1122">
      <c r="A1122" s="16" t="s">
        <v>4467</v>
      </c>
      <c r="B1122" s="16" t="s">
        <v>213</v>
      </c>
      <c r="C1122" s="16" t="s">
        <v>1492</v>
      </c>
      <c r="D1122" s="16">
        <v>2.93</v>
      </c>
      <c r="E1122" s="16">
        <v>3.99</v>
      </c>
      <c r="F1122" s="16">
        <v>11.69</v>
      </c>
    </row>
    <row r="1123">
      <c r="A1123" s="16" t="s">
        <v>4468</v>
      </c>
      <c r="B1123" s="16" t="s">
        <v>240</v>
      </c>
      <c r="C1123" s="16" t="s">
        <v>467</v>
      </c>
      <c r="D1123" s="16">
        <v>1.0</v>
      </c>
      <c r="E1123" s="16">
        <v>190.0</v>
      </c>
      <c r="F1123" s="16">
        <v>190.0</v>
      </c>
    </row>
    <row r="1124">
      <c r="A1124" s="16" t="s">
        <v>4469</v>
      </c>
      <c r="B1124" s="16" t="s">
        <v>251</v>
      </c>
      <c r="C1124" s="16" t="s">
        <v>1574</v>
      </c>
      <c r="D1124" s="16">
        <v>1.0</v>
      </c>
      <c r="E1124" s="16">
        <v>5.29</v>
      </c>
      <c r="F1124" s="16">
        <v>5.29</v>
      </c>
    </row>
    <row r="1125">
      <c r="A1125" s="16" t="s">
        <v>4471</v>
      </c>
      <c r="B1125" s="16" t="s">
        <v>251</v>
      </c>
      <c r="C1125" s="16" t="s">
        <v>4472</v>
      </c>
      <c r="D1125" s="16">
        <v>2.0</v>
      </c>
      <c r="E1125" s="16">
        <v>3.99</v>
      </c>
      <c r="F1125" s="16">
        <v>7.98</v>
      </c>
    </row>
    <row r="1126">
      <c r="A1126" s="16" t="s">
        <v>4474</v>
      </c>
      <c r="B1126" s="16" t="s">
        <v>251</v>
      </c>
      <c r="C1126" s="16" t="s">
        <v>1743</v>
      </c>
      <c r="D1126" s="16">
        <v>1.0</v>
      </c>
      <c r="E1126" s="16">
        <v>8.99</v>
      </c>
      <c r="F1126" s="16">
        <v>8.99</v>
      </c>
    </row>
    <row r="1127">
      <c r="A1127" s="16" t="s">
        <v>4476</v>
      </c>
      <c r="B1127" s="16" t="s">
        <v>251</v>
      </c>
      <c r="C1127" s="16" t="s">
        <v>1565</v>
      </c>
      <c r="D1127" s="16">
        <v>1.0</v>
      </c>
      <c r="E1127" s="16">
        <v>14.99</v>
      </c>
      <c r="F1127" s="16">
        <v>14.99</v>
      </c>
    </row>
    <row r="1128">
      <c r="A1128" s="23" t="s">
        <v>4477</v>
      </c>
      <c r="B1128" s="16" t="s">
        <v>251</v>
      </c>
      <c r="C1128" s="16" t="s">
        <v>4478</v>
      </c>
      <c r="D1128" s="16">
        <v>1.0</v>
      </c>
      <c r="E1128" s="16">
        <v>9.99</v>
      </c>
      <c r="F1128" s="16">
        <v>9.99</v>
      </c>
    </row>
    <row r="1129">
      <c r="A1129" s="16" t="s">
        <v>4479</v>
      </c>
      <c r="B1129" s="16" t="s">
        <v>232</v>
      </c>
      <c r="C1129" s="16" t="s">
        <v>467</v>
      </c>
      <c r="D1129" s="16">
        <v>1.0</v>
      </c>
      <c r="E1129" s="16">
        <v>216.0</v>
      </c>
      <c r="F1129" s="16">
        <v>216.0</v>
      </c>
    </row>
    <row r="1130">
      <c r="A1130" s="16" t="s">
        <v>4481</v>
      </c>
      <c r="B1130" s="16" t="s">
        <v>285</v>
      </c>
      <c r="C1130" s="16" t="s">
        <v>4483</v>
      </c>
      <c r="D1130" s="16">
        <v>1.0</v>
      </c>
      <c r="E1130" s="16">
        <v>82.75</v>
      </c>
      <c r="F1130" s="16">
        <v>82.75</v>
      </c>
    </row>
    <row r="1131">
      <c r="A1131" s="16" t="s">
        <v>4485</v>
      </c>
      <c r="B1131" s="16" t="s">
        <v>4487</v>
      </c>
      <c r="C1131" s="16" t="s">
        <v>1471</v>
      </c>
      <c r="D1131" s="16">
        <v>1.0</v>
      </c>
      <c r="E1131" s="16">
        <v>234.86</v>
      </c>
      <c r="F1131" s="16">
        <v>234.86</v>
      </c>
    </row>
    <row r="1132">
      <c r="A1132" s="16" t="s">
        <v>4488</v>
      </c>
      <c r="B1132" s="16" t="s">
        <v>307</v>
      </c>
      <c r="C1132" s="16" t="s">
        <v>4483</v>
      </c>
      <c r="D1132" s="16">
        <v>1.0</v>
      </c>
      <c r="E1132" s="16">
        <v>86.87</v>
      </c>
      <c r="F1132" s="16">
        <v>86.87</v>
      </c>
    </row>
    <row r="1133">
      <c r="A1133" s="16" t="s">
        <v>4489</v>
      </c>
      <c r="B1133" s="16" t="s">
        <v>4490</v>
      </c>
      <c r="C1133" s="23" t="s">
        <v>1475</v>
      </c>
      <c r="D1133" s="16">
        <v>9.0</v>
      </c>
      <c r="E1133" s="16">
        <v>23.0</v>
      </c>
      <c r="F1133" s="16">
        <v>207.0</v>
      </c>
    </row>
    <row r="1134">
      <c r="A1134" s="16" t="s">
        <v>4491</v>
      </c>
      <c r="B1134" s="16" t="s">
        <v>321</v>
      </c>
      <c r="C1134" s="16" t="s">
        <v>4483</v>
      </c>
      <c r="D1134" s="16">
        <v>1.0</v>
      </c>
      <c r="E1134" s="16">
        <v>12.97</v>
      </c>
      <c r="F1134" s="16">
        <v>12.97</v>
      </c>
    </row>
    <row r="1135">
      <c r="A1135" s="16" t="s">
        <v>4494</v>
      </c>
      <c r="B1135" s="16" t="s">
        <v>315</v>
      </c>
      <c r="C1135" s="16" t="s">
        <v>1502</v>
      </c>
      <c r="D1135" s="16">
        <v>3.0</v>
      </c>
      <c r="E1135" s="16">
        <v>7.99</v>
      </c>
      <c r="F1135" s="16">
        <v>23.97</v>
      </c>
    </row>
    <row r="1136">
      <c r="A1136" s="16" t="s">
        <v>4498</v>
      </c>
      <c r="B1136" s="16" t="s">
        <v>315</v>
      </c>
      <c r="C1136" s="16" t="s">
        <v>1505</v>
      </c>
      <c r="D1136" s="16">
        <v>1.0</v>
      </c>
      <c r="E1136" s="16">
        <v>17.99</v>
      </c>
      <c r="F1136" s="16">
        <v>17.99</v>
      </c>
    </row>
    <row r="1137">
      <c r="A1137" s="16" t="s">
        <v>4500</v>
      </c>
      <c r="B1137" s="16" t="s">
        <v>315</v>
      </c>
      <c r="C1137" s="16" t="s">
        <v>1568</v>
      </c>
      <c r="D1137" s="16">
        <v>3.0</v>
      </c>
      <c r="E1137" s="16">
        <v>12.99</v>
      </c>
      <c r="F1137" s="16">
        <v>38.97</v>
      </c>
    </row>
    <row r="1138">
      <c r="A1138" s="16" t="s">
        <v>4502</v>
      </c>
      <c r="B1138" s="16" t="s">
        <v>315</v>
      </c>
      <c r="C1138" s="16" t="s">
        <v>4504</v>
      </c>
      <c r="D1138" s="16">
        <v>1.0</v>
      </c>
      <c r="E1138" s="16">
        <v>16.99</v>
      </c>
      <c r="F1138" s="16">
        <v>16.99</v>
      </c>
    </row>
    <row r="1139">
      <c r="A1139" s="16" t="s">
        <v>4506</v>
      </c>
      <c r="B1139" s="16" t="s">
        <v>315</v>
      </c>
      <c r="C1139" s="16" t="s">
        <v>1502</v>
      </c>
      <c r="D1139" s="16">
        <v>2.0</v>
      </c>
      <c r="E1139" s="16">
        <v>7.99</v>
      </c>
      <c r="F1139" s="16">
        <v>15.98</v>
      </c>
    </row>
    <row r="1140">
      <c r="A1140" s="16" t="s">
        <v>4508</v>
      </c>
      <c r="B1140" s="16" t="s">
        <v>315</v>
      </c>
      <c r="C1140" s="16" t="s">
        <v>1565</v>
      </c>
      <c r="D1140" s="16">
        <v>4.0</v>
      </c>
      <c r="E1140" s="16">
        <v>15.99</v>
      </c>
      <c r="F1140" s="16">
        <v>63.96</v>
      </c>
    </row>
    <row r="1141">
      <c r="A1141" s="16" t="s">
        <v>4509</v>
      </c>
      <c r="B1141" s="16" t="s">
        <v>315</v>
      </c>
      <c r="C1141" s="16" t="s">
        <v>3432</v>
      </c>
      <c r="D1141" s="16">
        <v>1.0</v>
      </c>
      <c r="E1141" s="16">
        <v>8.99</v>
      </c>
      <c r="F1141" s="16">
        <v>8.99</v>
      </c>
    </row>
    <row r="1142">
      <c r="A1142" s="16" t="s">
        <v>4510</v>
      </c>
      <c r="B1142" s="16" t="s">
        <v>315</v>
      </c>
      <c r="C1142" s="16" t="s">
        <v>1496</v>
      </c>
      <c r="D1142" s="16">
        <v>7.0</v>
      </c>
      <c r="E1142" s="16">
        <v>11.9</v>
      </c>
      <c r="F1142" s="16">
        <v>83.3</v>
      </c>
    </row>
    <row r="1143">
      <c r="A1143" s="16" t="s">
        <v>4511</v>
      </c>
      <c r="B1143" s="16" t="s">
        <v>315</v>
      </c>
      <c r="C1143" s="16" t="s">
        <v>1492</v>
      </c>
      <c r="D1143" s="16">
        <v>4.315</v>
      </c>
      <c r="E1143" s="16">
        <v>3.99</v>
      </c>
      <c r="F1143" s="16">
        <v>17.22</v>
      </c>
    </row>
    <row r="1144">
      <c r="A1144" s="16" t="s">
        <v>4514</v>
      </c>
      <c r="B1144" s="16" t="s">
        <v>315</v>
      </c>
      <c r="C1144" s="16" t="s">
        <v>1483</v>
      </c>
      <c r="D1144" s="16">
        <v>5.435</v>
      </c>
      <c r="E1144" s="16">
        <v>29.98</v>
      </c>
      <c r="F1144" s="16">
        <v>162.94</v>
      </c>
    </row>
    <row r="1145">
      <c r="A1145" s="16" t="s">
        <v>4515</v>
      </c>
      <c r="B1145" s="16" t="s">
        <v>315</v>
      </c>
      <c r="C1145" s="16" t="s">
        <v>1583</v>
      </c>
      <c r="D1145" s="16">
        <v>0.42</v>
      </c>
      <c r="E1145" s="16">
        <v>12.99</v>
      </c>
      <c r="F1145" s="16">
        <v>5.46</v>
      </c>
    </row>
    <row r="1146">
      <c r="A1146" s="16" t="s">
        <v>4516</v>
      </c>
      <c r="B1146" s="16" t="s">
        <v>315</v>
      </c>
      <c r="C1146" s="16" t="s">
        <v>1580</v>
      </c>
      <c r="D1146" s="16">
        <v>1.0</v>
      </c>
      <c r="E1146" s="16">
        <v>5.49</v>
      </c>
      <c r="F1146" s="16">
        <v>5.49</v>
      </c>
    </row>
    <row r="1147">
      <c r="A1147" s="16" t="s">
        <v>4517</v>
      </c>
      <c r="B1147" s="16" t="s">
        <v>315</v>
      </c>
      <c r="C1147" s="16" t="s">
        <v>1539</v>
      </c>
      <c r="D1147" s="16">
        <v>4.2</v>
      </c>
      <c r="E1147" s="16">
        <v>7.99</v>
      </c>
      <c r="F1147" s="16">
        <v>33.56</v>
      </c>
    </row>
    <row r="1148">
      <c r="A1148" s="16" t="s">
        <v>4518</v>
      </c>
      <c r="B1148" s="16" t="s">
        <v>315</v>
      </c>
      <c r="C1148" s="16" t="s">
        <v>1489</v>
      </c>
      <c r="D1148" s="16">
        <v>3.0</v>
      </c>
      <c r="E1148" s="16">
        <v>9.98</v>
      </c>
      <c r="F1148" s="16">
        <v>29.94</v>
      </c>
    </row>
    <row r="1149">
      <c r="A1149" s="16" t="s">
        <v>4520</v>
      </c>
      <c r="B1149" s="16" t="s">
        <v>327</v>
      </c>
      <c r="C1149" s="16" t="s">
        <v>4483</v>
      </c>
      <c r="D1149" s="16">
        <v>1.0</v>
      </c>
      <c r="E1149" s="16">
        <v>22.0</v>
      </c>
      <c r="F1149" s="16">
        <v>22.0</v>
      </c>
    </row>
    <row r="1150">
      <c r="A1150" s="16" t="s">
        <v>4522</v>
      </c>
      <c r="B1150" s="16" t="s">
        <v>4523</v>
      </c>
      <c r="C1150" s="23" t="s">
        <v>1653</v>
      </c>
      <c r="D1150" s="16">
        <v>1.0</v>
      </c>
      <c r="E1150" s="16">
        <v>20.34</v>
      </c>
      <c r="F1150" s="16">
        <v>20.34</v>
      </c>
    </row>
    <row r="1151">
      <c r="A1151" s="16" t="s">
        <v>4524</v>
      </c>
      <c r="B1151" s="16" t="s">
        <v>4523</v>
      </c>
      <c r="C1151" s="16" t="s">
        <v>1660</v>
      </c>
      <c r="D1151" s="16">
        <v>2.0</v>
      </c>
      <c r="E1151" s="16">
        <v>44.28</v>
      </c>
      <c r="F1151" s="16">
        <v>88.56</v>
      </c>
    </row>
    <row r="1152">
      <c r="A1152" s="16" t="s">
        <v>4525</v>
      </c>
      <c r="B1152" s="16" t="s">
        <v>4523</v>
      </c>
      <c r="C1152" s="16" t="s">
        <v>3550</v>
      </c>
      <c r="D1152" s="16">
        <v>1.0</v>
      </c>
      <c r="E1152" s="16">
        <v>41.76</v>
      </c>
      <c r="F1152" s="16">
        <v>41.76</v>
      </c>
    </row>
    <row r="1153">
      <c r="A1153" s="16" t="s">
        <v>4526</v>
      </c>
      <c r="B1153" s="16" t="s">
        <v>4523</v>
      </c>
      <c r="C1153" s="16" t="s">
        <v>2885</v>
      </c>
      <c r="D1153" s="16">
        <v>1.0</v>
      </c>
      <c r="E1153" s="16">
        <v>20.34</v>
      </c>
      <c r="F1153" s="16">
        <v>20.34</v>
      </c>
    </row>
    <row r="1154">
      <c r="A1154" s="16" t="s">
        <v>4528</v>
      </c>
      <c r="B1154" s="16" t="s">
        <v>4523</v>
      </c>
      <c r="C1154" s="16" t="s">
        <v>1510</v>
      </c>
      <c r="D1154" s="16">
        <v>10.0</v>
      </c>
      <c r="E1154" s="16">
        <v>11.88</v>
      </c>
      <c r="F1154" s="16">
        <v>118.8</v>
      </c>
    </row>
    <row r="1155">
      <c r="A1155" s="16" t="s">
        <v>4530</v>
      </c>
      <c r="B1155" s="16" t="s">
        <v>4523</v>
      </c>
      <c r="C1155" s="16" t="s">
        <v>1517</v>
      </c>
      <c r="D1155" s="16">
        <v>5.0</v>
      </c>
      <c r="E1155" s="16">
        <v>14.28</v>
      </c>
      <c r="F1155" s="16">
        <v>71.4</v>
      </c>
    </row>
    <row r="1156">
      <c r="A1156" s="16" t="s">
        <v>4531</v>
      </c>
      <c r="B1156" s="16" t="s">
        <v>4523</v>
      </c>
      <c r="C1156" s="16" t="s">
        <v>3560</v>
      </c>
      <c r="D1156" s="16">
        <v>1.0</v>
      </c>
      <c r="E1156" s="16">
        <v>29.94</v>
      </c>
      <c r="F1156" s="16">
        <v>29.94</v>
      </c>
    </row>
    <row r="1157">
      <c r="A1157" s="16" t="s">
        <v>4532</v>
      </c>
      <c r="B1157" s="16" t="s">
        <v>428</v>
      </c>
      <c r="C1157" s="16" t="s">
        <v>467</v>
      </c>
      <c r="D1157" s="16">
        <v>1.0</v>
      </c>
      <c r="E1157" s="16">
        <v>302.0</v>
      </c>
      <c r="F1157" s="16">
        <v>302.0</v>
      </c>
    </row>
    <row r="1158">
      <c r="A1158" s="16" t="s">
        <v>4533</v>
      </c>
      <c r="B1158" s="16" t="s">
        <v>435</v>
      </c>
      <c r="C1158" s="16" t="s">
        <v>467</v>
      </c>
      <c r="D1158" s="16">
        <v>1.0</v>
      </c>
      <c r="E1158" s="16">
        <v>280.0</v>
      </c>
      <c r="F1158" s="16">
        <v>280.0</v>
      </c>
    </row>
    <row r="1159">
      <c r="A1159" s="16" t="s">
        <v>4534</v>
      </c>
      <c r="B1159" s="16" t="s">
        <v>420</v>
      </c>
      <c r="C1159" s="16" t="s">
        <v>467</v>
      </c>
      <c r="D1159" s="16">
        <v>1.0</v>
      </c>
      <c r="E1159" s="16">
        <v>100.0</v>
      </c>
      <c r="F1159" s="16">
        <v>100.0</v>
      </c>
    </row>
    <row r="1160">
      <c r="A1160" s="16" t="s">
        <v>4535</v>
      </c>
      <c r="B1160" s="16" t="s">
        <v>4536</v>
      </c>
      <c r="C1160" s="16" t="s">
        <v>1616</v>
      </c>
      <c r="D1160" s="16">
        <v>1.0</v>
      </c>
      <c r="E1160" s="16">
        <v>1374.31</v>
      </c>
      <c r="F1160" s="16">
        <v>1374.31</v>
      </c>
    </row>
    <row r="1161">
      <c r="A1161" s="16" t="s">
        <v>4537</v>
      </c>
      <c r="B1161" s="16" t="s">
        <v>4536</v>
      </c>
      <c r="C1161" s="16" t="s">
        <v>1549</v>
      </c>
      <c r="D1161" s="16">
        <v>1.0</v>
      </c>
      <c r="E1161" s="16">
        <v>532.95</v>
      </c>
      <c r="F1161" s="16">
        <v>532.95</v>
      </c>
    </row>
    <row r="1162">
      <c r="A1162" s="16" t="s">
        <v>4541</v>
      </c>
      <c r="B1162" s="16" t="s">
        <v>463</v>
      </c>
      <c r="C1162" s="16" t="s">
        <v>1502</v>
      </c>
      <c r="D1162" s="16">
        <v>2.0</v>
      </c>
      <c r="E1162" s="16">
        <v>7.99</v>
      </c>
      <c r="F1162" s="16">
        <v>15.98</v>
      </c>
    </row>
    <row r="1163">
      <c r="A1163" s="16" t="s">
        <v>4542</v>
      </c>
      <c r="B1163" s="16" t="s">
        <v>463</v>
      </c>
      <c r="C1163" s="16" t="s">
        <v>1489</v>
      </c>
      <c r="D1163" s="16">
        <v>2.0</v>
      </c>
      <c r="E1163" s="16">
        <v>5.99</v>
      </c>
      <c r="F1163" s="16">
        <v>11.98</v>
      </c>
    </row>
    <row r="1164">
      <c r="A1164" s="16" t="s">
        <v>4545</v>
      </c>
      <c r="B1164" s="16" t="s">
        <v>463</v>
      </c>
      <c r="C1164" s="16" t="s">
        <v>1496</v>
      </c>
      <c r="D1164" s="16">
        <v>5.0</v>
      </c>
      <c r="E1164" s="16">
        <v>11.9</v>
      </c>
      <c r="F1164" s="16">
        <v>59.5</v>
      </c>
    </row>
    <row r="1165">
      <c r="A1165" s="16" t="s">
        <v>4546</v>
      </c>
      <c r="B1165" s="16" t="s">
        <v>463</v>
      </c>
      <c r="C1165" s="16" t="s">
        <v>1489</v>
      </c>
      <c r="D1165" s="16">
        <v>1.0</v>
      </c>
      <c r="E1165" s="16">
        <v>5.99</v>
      </c>
      <c r="F1165" s="16">
        <v>5.99</v>
      </c>
    </row>
    <row r="1166">
      <c r="A1166" s="16" t="s">
        <v>4547</v>
      </c>
      <c r="B1166" s="16" t="s">
        <v>463</v>
      </c>
      <c r="C1166" s="16" t="s">
        <v>1483</v>
      </c>
      <c r="D1166" s="16">
        <v>3.865</v>
      </c>
      <c r="E1166" s="16">
        <v>11.99</v>
      </c>
      <c r="F1166" s="16">
        <v>46.34</v>
      </c>
    </row>
    <row r="1167">
      <c r="A1167" s="16" t="s">
        <v>4550</v>
      </c>
      <c r="B1167" s="16" t="s">
        <v>463</v>
      </c>
      <c r="C1167" s="16" t="s">
        <v>1492</v>
      </c>
      <c r="D1167" s="16">
        <v>4.085</v>
      </c>
      <c r="E1167" s="16">
        <v>1.99</v>
      </c>
      <c r="F1167" s="16">
        <v>8.13</v>
      </c>
    </row>
    <row r="1168">
      <c r="A1168" s="16" t="s">
        <v>4551</v>
      </c>
      <c r="B1168" s="16" t="s">
        <v>463</v>
      </c>
      <c r="C1168" s="16" t="s">
        <v>1539</v>
      </c>
      <c r="D1168" s="16">
        <v>3.995</v>
      </c>
      <c r="E1168" s="16">
        <v>7.99</v>
      </c>
      <c r="F1168" s="16">
        <v>31.92</v>
      </c>
    </row>
    <row r="1169">
      <c r="A1169" s="16" t="s">
        <v>4552</v>
      </c>
      <c r="B1169" s="16" t="s">
        <v>463</v>
      </c>
      <c r="C1169" s="16" t="s">
        <v>4504</v>
      </c>
      <c r="D1169" s="16">
        <v>1.0</v>
      </c>
      <c r="E1169" s="16">
        <v>19.98</v>
      </c>
      <c r="F1169" s="16">
        <v>19.98</v>
      </c>
    </row>
    <row r="1170">
      <c r="A1170" s="16" t="s">
        <v>4555</v>
      </c>
      <c r="B1170" s="16" t="s">
        <v>453</v>
      </c>
      <c r="C1170" s="16" t="s">
        <v>3028</v>
      </c>
      <c r="D1170" s="16">
        <v>1.0</v>
      </c>
      <c r="E1170" s="16">
        <v>210.0</v>
      </c>
      <c r="F1170" s="16">
        <v>210.0</v>
      </c>
    </row>
    <row r="1171">
      <c r="A1171" s="16" t="s">
        <v>4556</v>
      </c>
      <c r="B1171" s="16" t="s">
        <v>4557</v>
      </c>
      <c r="C1171" s="23" t="s">
        <v>1475</v>
      </c>
      <c r="D1171" s="16">
        <v>8.0</v>
      </c>
      <c r="E1171" s="16">
        <v>23.0</v>
      </c>
      <c r="F1171" s="16">
        <v>184.0</v>
      </c>
    </row>
    <row r="1172">
      <c r="A1172" s="16" t="s">
        <v>4558</v>
      </c>
      <c r="B1172" s="16" t="s">
        <v>4559</v>
      </c>
      <c r="C1172" s="16" t="s">
        <v>1547</v>
      </c>
      <c r="D1172" s="16">
        <v>1.0</v>
      </c>
      <c r="E1172" s="16">
        <v>5549.65</v>
      </c>
      <c r="F1172" s="16">
        <v>5549.65</v>
      </c>
    </row>
    <row r="1173">
      <c r="A1173" s="16" t="s">
        <v>4562</v>
      </c>
      <c r="B1173" s="16" t="s">
        <v>4559</v>
      </c>
      <c r="C1173" s="16" t="s">
        <v>1549</v>
      </c>
      <c r="D1173" s="16">
        <v>1.0</v>
      </c>
      <c r="E1173" s="16">
        <v>532.95</v>
      </c>
      <c r="F1173" s="16">
        <v>532.95</v>
      </c>
    </row>
    <row r="1174">
      <c r="A1174" s="16" t="s">
        <v>4563</v>
      </c>
      <c r="B1174" s="16" t="s">
        <v>4559</v>
      </c>
      <c r="C1174" s="16" t="s">
        <v>1551</v>
      </c>
      <c r="D1174" s="16">
        <v>1.0</v>
      </c>
      <c r="E1174" s="16">
        <v>24.07</v>
      </c>
      <c r="F1174" s="16">
        <v>24.07</v>
      </c>
    </row>
    <row r="1175">
      <c r="A1175" s="16" t="s">
        <v>4564</v>
      </c>
      <c r="B1175" s="16" t="s">
        <v>4565</v>
      </c>
      <c r="C1175" s="16" t="s">
        <v>1646</v>
      </c>
      <c r="D1175" s="16">
        <v>25.0</v>
      </c>
      <c r="E1175" s="16">
        <v>14.99</v>
      </c>
      <c r="F1175" s="16">
        <v>374.75</v>
      </c>
    </row>
    <row r="1176">
      <c r="A1176" s="16" t="s">
        <v>4566</v>
      </c>
      <c r="B1176" s="16" t="s">
        <v>4565</v>
      </c>
      <c r="C1176" s="16" t="s">
        <v>2768</v>
      </c>
      <c r="D1176" s="16">
        <v>4.0</v>
      </c>
      <c r="E1176" s="16">
        <v>16.99</v>
      </c>
      <c r="F1176" s="16">
        <v>67.96</v>
      </c>
    </row>
    <row r="1177">
      <c r="A1177" s="16" t="s">
        <v>4568</v>
      </c>
      <c r="B1177" s="16" t="s">
        <v>4565</v>
      </c>
      <c r="C1177" s="16" t="s">
        <v>1606</v>
      </c>
      <c r="D1177" s="16">
        <v>1.0</v>
      </c>
      <c r="E1177" s="16">
        <v>16.99</v>
      </c>
      <c r="F1177" s="16">
        <v>16.99</v>
      </c>
    </row>
    <row r="1178">
      <c r="A1178" s="16" t="s">
        <v>4569</v>
      </c>
      <c r="B1178" s="16" t="s">
        <v>4565</v>
      </c>
      <c r="C1178" s="16" t="s">
        <v>1642</v>
      </c>
      <c r="D1178" s="16">
        <v>4.0</v>
      </c>
      <c r="E1178" s="16">
        <v>32.99</v>
      </c>
      <c r="F1178" s="16">
        <v>131.96</v>
      </c>
    </row>
    <row r="1179">
      <c r="A1179" s="16" t="s">
        <v>4570</v>
      </c>
      <c r="B1179" s="16" t="s">
        <v>4565</v>
      </c>
      <c r="C1179" s="16" t="s">
        <v>1837</v>
      </c>
      <c r="D1179" s="16">
        <v>15.0</v>
      </c>
      <c r="E1179" s="16">
        <v>16.99</v>
      </c>
      <c r="F1179" s="16">
        <v>254.85</v>
      </c>
    </row>
    <row r="1180">
      <c r="A1180" s="16" t="s">
        <v>4571</v>
      </c>
      <c r="B1180" s="16" t="s">
        <v>4565</v>
      </c>
      <c r="C1180" s="16" t="s">
        <v>1591</v>
      </c>
      <c r="D1180" s="16">
        <v>2.0</v>
      </c>
      <c r="E1180" s="16">
        <v>19.99</v>
      </c>
      <c r="F1180" s="16">
        <v>39.98</v>
      </c>
    </row>
    <row r="1181">
      <c r="A1181" s="16" t="s">
        <v>4573</v>
      </c>
      <c r="B1181" s="16" t="s">
        <v>4565</v>
      </c>
      <c r="C1181" s="16" t="s">
        <v>3887</v>
      </c>
      <c r="D1181" s="16">
        <v>1.0</v>
      </c>
      <c r="E1181" s="16">
        <v>29.99</v>
      </c>
      <c r="F1181" s="16">
        <v>29.99</v>
      </c>
    </row>
    <row r="1182">
      <c r="A1182" s="16" t="s">
        <v>4575</v>
      </c>
      <c r="B1182" s="16" t="s">
        <v>509</v>
      </c>
      <c r="C1182" s="16" t="s">
        <v>467</v>
      </c>
      <c r="D1182" s="16">
        <v>1.0</v>
      </c>
      <c r="E1182" s="16">
        <v>100.0</v>
      </c>
      <c r="F1182" s="16">
        <v>100.0</v>
      </c>
    </row>
    <row r="1183">
      <c r="A1183" s="16" t="s">
        <v>4576</v>
      </c>
      <c r="B1183" s="16" t="s">
        <v>537</v>
      </c>
      <c r="C1183" s="16" t="s">
        <v>467</v>
      </c>
      <c r="D1183" s="16">
        <v>1.0</v>
      </c>
      <c r="E1183" s="16">
        <v>80.0</v>
      </c>
      <c r="F1183" s="16">
        <v>80.0</v>
      </c>
    </row>
    <row r="1184">
      <c r="A1184" s="16" t="s">
        <v>4577</v>
      </c>
      <c r="B1184" s="16" t="s">
        <v>559</v>
      </c>
      <c r="C1184" s="16" t="s">
        <v>4578</v>
      </c>
      <c r="D1184" s="16">
        <v>1.0</v>
      </c>
      <c r="E1184" s="16">
        <v>13.99</v>
      </c>
      <c r="F1184" s="16">
        <v>13.99</v>
      </c>
    </row>
    <row r="1185">
      <c r="A1185" s="16" t="s">
        <v>4579</v>
      </c>
      <c r="B1185" s="16" t="s">
        <v>552</v>
      </c>
      <c r="C1185" s="16" t="s">
        <v>1565</v>
      </c>
      <c r="D1185" s="16">
        <v>1.0</v>
      </c>
      <c r="E1185" s="16">
        <v>15.99</v>
      </c>
      <c r="F1185" s="16">
        <v>15.99</v>
      </c>
    </row>
    <row r="1186">
      <c r="A1186" s="16" t="s">
        <v>4581</v>
      </c>
      <c r="B1186" s="16" t="s">
        <v>552</v>
      </c>
      <c r="C1186" s="16" t="s">
        <v>1483</v>
      </c>
      <c r="D1186" s="16">
        <v>3.8</v>
      </c>
      <c r="E1186" s="16">
        <v>19.98</v>
      </c>
      <c r="F1186" s="16">
        <v>75.92</v>
      </c>
    </row>
    <row r="1187">
      <c r="A1187" s="16" t="s">
        <v>4582</v>
      </c>
      <c r="B1187" s="16" t="s">
        <v>552</v>
      </c>
      <c r="C1187" s="16" t="s">
        <v>1502</v>
      </c>
      <c r="D1187" s="16">
        <v>1.0</v>
      </c>
      <c r="E1187" s="16">
        <v>7.99</v>
      </c>
      <c r="F1187" s="16">
        <v>7.99</v>
      </c>
    </row>
    <row r="1188">
      <c r="A1188" s="16" t="s">
        <v>4583</v>
      </c>
      <c r="B1188" s="16" t="s">
        <v>552</v>
      </c>
      <c r="C1188" s="16" t="s">
        <v>2586</v>
      </c>
      <c r="D1188" s="16">
        <v>1.0</v>
      </c>
      <c r="E1188" s="16">
        <v>3.99</v>
      </c>
      <c r="F1188" s="16">
        <v>3.99</v>
      </c>
    </row>
    <row r="1189">
      <c r="A1189" s="16" t="s">
        <v>4584</v>
      </c>
      <c r="B1189" s="16" t="s">
        <v>552</v>
      </c>
      <c r="C1189" s="16" t="s">
        <v>1571</v>
      </c>
      <c r="D1189" s="16">
        <v>3.0</v>
      </c>
      <c r="E1189" s="16">
        <v>1.19</v>
      </c>
      <c r="F1189" s="16">
        <v>3.57</v>
      </c>
    </row>
    <row r="1190">
      <c r="A1190" s="16" t="s">
        <v>4585</v>
      </c>
      <c r="B1190" s="16" t="s">
        <v>552</v>
      </c>
      <c r="C1190" s="16" t="s">
        <v>3456</v>
      </c>
      <c r="D1190" s="16">
        <v>0.414</v>
      </c>
      <c r="E1190" s="16">
        <v>16.99</v>
      </c>
      <c r="F1190" s="16">
        <v>7.03</v>
      </c>
    </row>
    <row r="1191">
      <c r="A1191" s="16" t="s">
        <v>4587</v>
      </c>
      <c r="B1191" s="16" t="s">
        <v>552</v>
      </c>
      <c r="C1191" s="16" t="s">
        <v>1578</v>
      </c>
      <c r="D1191" s="16">
        <v>1.0</v>
      </c>
      <c r="E1191" s="16">
        <v>28.99</v>
      </c>
      <c r="F1191" s="16">
        <v>28.99</v>
      </c>
    </row>
    <row r="1192">
      <c r="A1192" s="16" t="s">
        <v>4589</v>
      </c>
      <c r="B1192" s="16" t="s">
        <v>4590</v>
      </c>
      <c r="C1192" s="23" t="s">
        <v>1475</v>
      </c>
      <c r="D1192" s="16">
        <v>4.0</v>
      </c>
      <c r="E1192" s="16">
        <v>23.0</v>
      </c>
      <c r="F1192" s="16">
        <v>92.0</v>
      </c>
    </row>
    <row r="1193">
      <c r="A1193" s="16" t="s">
        <v>4591</v>
      </c>
      <c r="B1193" s="16" t="s">
        <v>4592</v>
      </c>
      <c r="C1193" s="16" t="s">
        <v>1306</v>
      </c>
      <c r="D1193" s="16">
        <v>1.0</v>
      </c>
      <c r="E1193" s="16">
        <v>446.25</v>
      </c>
      <c r="F1193" s="16">
        <v>446.25</v>
      </c>
    </row>
    <row r="1194">
      <c r="A1194" s="16" t="s">
        <v>4593</v>
      </c>
      <c r="B1194" s="16" t="s">
        <v>596</v>
      </c>
      <c r="C1194" s="16" t="s">
        <v>1502</v>
      </c>
      <c r="D1194" s="16">
        <v>2.0</v>
      </c>
      <c r="E1194" s="16">
        <v>7.99</v>
      </c>
      <c r="F1194" s="16">
        <v>15.98</v>
      </c>
    </row>
    <row r="1195">
      <c r="A1195" s="16" t="s">
        <v>4594</v>
      </c>
      <c r="B1195" s="16" t="s">
        <v>596</v>
      </c>
      <c r="C1195" s="16" t="s">
        <v>1483</v>
      </c>
      <c r="D1195" s="16">
        <v>3.015</v>
      </c>
      <c r="E1195" s="16">
        <v>19.98</v>
      </c>
      <c r="F1195" s="16">
        <v>60.24</v>
      </c>
    </row>
    <row r="1196">
      <c r="A1196" s="16" t="s">
        <v>4596</v>
      </c>
      <c r="B1196" s="16" t="s">
        <v>596</v>
      </c>
      <c r="C1196" s="16" t="s">
        <v>1580</v>
      </c>
      <c r="D1196" s="16">
        <v>1.0</v>
      </c>
      <c r="E1196" s="16">
        <v>5.49</v>
      </c>
      <c r="F1196" s="16">
        <v>5.49</v>
      </c>
    </row>
    <row r="1197">
      <c r="A1197" s="16" t="s">
        <v>4599</v>
      </c>
      <c r="B1197" s="16" t="s">
        <v>596</v>
      </c>
      <c r="C1197" s="16" t="s">
        <v>1492</v>
      </c>
      <c r="D1197" s="16">
        <v>2.845</v>
      </c>
      <c r="E1197" s="16">
        <v>3.99</v>
      </c>
      <c r="F1197" s="16">
        <v>11.35</v>
      </c>
    </row>
    <row r="1198">
      <c r="A1198" s="16" t="s">
        <v>4600</v>
      </c>
      <c r="B1198" s="16" t="s">
        <v>596</v>
      </c>
      <c r="C1198" s="16" t="s">
        <v>1583</v>
      </c>
      <c r="D1198" s="16">
        <v>0.355</v>
      </c>
      <c r="E1198" s="16">
        <v>10.99</v>
      </c>
      <c r="F1198" s="16">
        <v>3.9</v>
      </c>
    </row>
    <row r="1199">
      <c r="A1199" s="16" t="s">
        <v>4601</v>
      </c>
      <c r="B1199" s="16" t="s">
        <v>596</v>
      </c>
      <c r="C1199" s="16" t="s">
        <v>1565</v>
      </c>
      <c r="D1199" s="16">
        <v>2.0</v>
      </c>
      <c r="E1199" s="16">
        <v>15.99</v>
      </c>
      <c r="F1199" s="16">
        <v>31.98</v>
      </c>
    </row>
    <row r="1200">
      <c r="A1200" s="16" t="s">
        <v>4602</v>
      </c>
      <c r="B1200" s="16" t="s">
        <v>4603</v>
      </c>
      <c r="C1200" s="16" t="s">
        <v>3560</v>
      </c>
      <c r="D1200" s="16">
        <v>1.0</v>
      </c>
      <c r="E1200" s="16">
        <v>29.94</v>
      </c>
      <c r="F1200" s="16">
        <v>29.94</v>
      </c>
    </row>
    <row r="1201">
      <c r="A1201" s="16" t="s">
        <v>4605</v>
      </c>
      <c r="B1201" s="16" t="s">
        <v>4603</v>
      </c>
      <c r="C1201" s="16" t="s">
        <v>1510</v>
      </c>
      <c r="D1201" s="16">
        <v>10.0</v>
      </c>
      <c r="E1201" s="16">
        <v>11.88</v>
      </c>
      <c r="F1201" s="16">
        <v>118.8</v>
      </c>
    </row>
    <row r="1202">
      <c r="A1202" s="16" t="s">
        <v>4607</v>
      </c>
      <c r="B1202" s="16" t="s">
        <v>4603</v>
      </c>
      <c r="C1202" s="16" t="s">
        <v>1517</v>
      </c>
      <c r="D1202" s="16">
        <v>5.0</v>
      </c>
      <c r="E1202" s="16">
        <v>14.28</v>
      </c>
      <c r="F1202" s="16">
        <v>71.4</v>
      </c>
    </row>
    <row r="1203">
      <c r="A1203" s="16" t="s">
        <v>4608</v>
      </c>
      <c r="B1203" s="16" t="s">
        <v>4609</v>
      </c>
      <c r="C1203" s="16" t="s">
        <v>1656</v>
      </c>
      <c r="D1203" s="16">
        <v>2.0</v>
      </c>
      <c r="E1203" s="16">
        <v>44.28</v>
      </c>
      <c r="F1203" s="16">
        <v>88.56</v>
      </c>
    </row>
    <row r="1204">
      <c r="A1204" s="16" t="s">
        <v>4610</v>
      </c>
      <c r="B1204" s="16" t="s">
        <v>4609</v>
      </c>
      <c r="C1204" s="16" t="s">
        <v>1660</v>
      </c>
      <c r="D1204" s="16">
        <v>2.0</v>
      </c>
      <c r="E1204" s="16">
        <v>44.28</v>
      </c>
      <c r="F1204" s="16">
        <v>88.56</v>
      </c>
    </row>
    <row r="1205">
      <c r="A1205" s="16" t="s">
        <v>4611</v>
      </c>
      <c r="B1205" s="16" t="s">
        <v>4609</v>
      </c>
      <c r="C1205" s="16" t="s">
        <v>1662</v>
      </c>
      <c r="D1205" s="16">
        <v>1.0</v>
      </c>
      <c r="E1205" s="16">
        <v>22.14</v>
      </c>
      <c r="F1205" s="16">
        <v>22.14</v>
      </c>
    </row>
    <row r="1206">
      <c r="A1206" s="16" t="s">
        <v>4612</v>
      </c>
      <c r="B1206" s="16" t="s">
        <v>4609</v>
      </c>
      <c r="C1206" s="16" t="s">
        <v>1517</v>
      </c>
      <c r="D1206" s="16">
        <v>3.0</v>
      </c>
      <c r="E1206" s="16">
        <v>14.28</v>
      </c>
      <c r="F1206" s="16">
        <v>42.84</v>
      </c>
    </row>
    <row r="1207">
      <c r="A1207" s="16" t="s">
        <v>4615</v>
      </c>
      <c r="B1207" s="16" t="s">
        <v>4616</v>
      </c>
      <c r="C1207" s="16" t="s">
        <v>1593</v>
      </c>
      <c r="D1207" s="16">
        <v>12.0</v>
      </c>
      <c r="E1207" s="16">
        <v>11.99</v>
      </c>
      <c r="F1207" s="16">
        <v>143.88</v>
      </c>
    </row>
    <row r="1208">
      <c r="A1208" s="16" t="s">
        <v>4617</v>
      </c>
      <c r="B1208" s="16" t="s">
        <v>4618</v>
      </c>
      <c r="C1208" s="16" t="s">
        <v>1492</v>
      </c>
      <c r="D1208" s="16">
        <v>3.285</v>
      </c>
      <c r="E1208" s="16">
        <v>3.99</v>
      </c>
      <c r="F1208" s="16">
        <v>13.11</v>
      </c>
    </row>
    <row r="1209">
      <c r="A1209" s="16" t="s">
        <v>4619</v>
      </c>
      <c r="B1209" s="16" t="s">
        <v>4618</v>
      </c>
      <c r="C1209" s="16" t="s">
        <v>1502</v>
      </c>
      <c r="D1209" s="16">
        <v>4.0</v>
      </c>
      <c r="E1209" s="16">
        <v>7.99</v>
      </c>
      <c r="F1209" s="16">
        <v>31.96</v>
      </c>
    </row>
    <row r="1210">
      <c r="A1210" s="16" t="s">
        <v>4620</v>
      </c>
      <c r="B1210" s="16" t="s">
        <v>4618</v>
      </c>
      <c r="C1210" s="16" t="s">
        <v>2659</v>
      </c>
      <c r="D1210" s="16">
        <v>1.0</v>
      </c>
      <c r="E1210" s="16">
        <v>14.99</v>
      </c>
      <c r="F1210" s="16">
        <v>14.99</v>
      </c>
    </row>
    <row r="1211">
      <c r="A1211" s="16" t="s">
        <v>4621</v>
      </c>
      <c r="B1211" s="16" t="s">
        <v>4618</v>
      </c>
      <c r="C1211" s="16" t="s">
        <v>1489</v>
      </c>
      <c r="D1211" s="16">
        <v>1.0</v>
      </c>
      <c r="E1211" s="16">
        <v>9.98</v>
      </c>
      <c r="F1211" s="16">
        <v>9.98</v>
      </c>
    </row>
    <row r="1212">
      <c r="A1212" s="16" t="s">
        <v>4624</v>
      </c>
      <c r="B1212" s="16" t="s">
        <v>4618</v>
      </c>
      <c r="C1212" s="16" t="s">
        <v>1571</v>
      </c>
      <c r="D1212" s="16">
        <v>10.0</v>
      </c>
      <c r="E1212" s="16">
        <v>1.39</v>
      </c>
      <c r="F1212" s="16">
        <v>13.9</v>
      </c>
    </row>
    <row r="1213">
      <c r="A1213" s="16" t="s">
        <v>4625</v>
      </c>
      <c r="B1213" s="16" t="s">
        <v>4618</v>
      </c>
      <c r="C1213" s="16" t="s">
        <v>1483</v>
      </c>
      <c r="D1213" s="16">
        <v>1.27</v>
      </c>
      <c r="E1213" s="16">
        <v>18.98</v>
      </c>
      <c r="F1213" s="16">
        <v>24.1</v>
      </c>
    </row>
    <row r="1214">
      <c r="A1214" s="16" t="s">
        <v>4626</v>
      </c>
      <c r="B1214" s="16" t="s">
        <v>4618</v>
      </c>
      <c r="C1214" s="16" t="s">
        <v>1539</v>
      </c>
      <c r="D1214" s="16">
        <v>1.36</v>
      </c>
      <c r="E1214" s="16">
        <v>9.98</v>
      </c>
      <c r="F1214" s="16">
        <v>13.57</v>
      </c>
    </row>
    <row r="1215">
      <c r="A1215" s="16" t="s">
        <v>4627</v>
      </c>
      <c r="B1215" s="16" t="s">
        <v>4628</v>
      </c>
      <c r="C1215" s="16" t="s">
        <v>4629</v>
      </c>
      <c r="D1215" s="16">
        <v>1.0</v>
      </c>
      <c r="E1215" s="16">
        <v>20.0</v>
      </c>
      <c r="F1215" s="16">
        <v>20.0</v>
      </c>
    </row>
    <row r="1216">
      <c r="A1216" s="16" t="s">
        <v>4630</v>
      </c>
      <c r="B1216" s="16" t="s">
        <v>4631</v>
      </c>
      <c r="C1216" s="16" t="s">
        <v>467</v>
      </c>
      <c r="D1216" s="16">
        <v>1.0</v>
      </c>
      <c r="E1216" s="16">
        <v>135.0</v>
      </c>
      <c r="F1216" s="16">
        <v>135.0</v>
      </c>
    </row>
    <row r="1217">
      <c r="A1217" s="16" t="s">
        <v>4632</v>
      </c>
      <c r="B1217" s="16" t="s">
        <v>4633</v>
      </c>
      <c r="C1217" s="16" t="s">
        <v>467</v>
      </c>
      <c r="D1217" s="16">
        <v>1.0</v>
      </c>
      <c r="E1217" s="16">
        <v>60.0</v>
      </c>
      <c r="F1217" s="16">
        <v>60.0</v>
      </c>
    </row>
    <row r="1218">
      <c r="A1218" s="16" t="s">
        <v>4634</v>
      </c>
      <c r="B1218" s="16" t="s">
        <v>4635</v>
      </c>
      <c r="C1218" s="16" t="s">
        <v>1754</v>
      </c>
      <c r="D1218" s="16">
        <v>1.0</v>
      </c>
      <c r="E1218" s="16">
        <v>7.0</v>
      </c>
      <c r="F1218" s="16">
        <v>7.0</v>
      </c>
    </row>
    <row r="1219">
      <c r="A1219" s="16" t="s">
        <v>4636</v>
      </c>
      <c r="B1219" s="16" t="s">
        <v>4637</v>
      </c>
      <c r="C1219" s="16" t="s">
        <v>4638</v>
      </c>
      <c r="D1219" s="16">
        <v>0.102</v>
      </c>
      <c r="E1219" s="16">
        <v>59.99</v>
      </c>
      <c r="F1219" s="16">
        <v>6.12</v>
      </c>
    </row>
    <row r="1220">
      <c r="A1220" s="16" t="s">
        <v>4639</v>
      </c>
      <c r="B1220" s="16" t="s">
        <v>4637</v>
      </c>
      <c r="C1220" s="23" t="s">
        <v>4640</v>
      </c>
      <c r="D1220" s="16">
        <v>0.098</v>
      </c>
      <c r="E1220" s="16">
        <v>49.99</v>
      </c>
      <c r="F1220" s="16">
        <v>4.9</v>
      </c>
    </row>
    <row r="1221">
      <c r="A1221" s="16" t="s">
        <v>4642</v>
      </c>
      <c r="B1221" s="16" t="s">
        <v>4643</v>
      </c>
      <c r="C1221" s="16" t="s">
        <v>4287</v>
      </c>
      <c r="D1221" s="16">
        <v>1.0</v>
      </c>
      <c r="E1221" s="16">
        <v>14.99</v>
      </c>
      <c r="F1221" s="16">
        <v>14.99</v>
      </c>
    </row>
    <row r="1222">
      <c r="A1222" s="16" t="s">
        <v>4645</v>
      </c>
      <c r="B1222" s="16" t="s">
        <v>4643</v>
      </c>
      <c r="C1222" s="16" t="s">
        <v>4646</v>
      </c>
      <c r="D1222" s="16">
        <v>1.0</v>
      </c>
      <c r="E1222" s="16">
        <v>3.0</v>
      </c>
      <c r="F1222" s="16">
        <v>3.0</v>
      </c>
    </row>
    <row r="1223">
      <c r="A1223" s="16" t="s">
        <v>4647</v>
      </c>
      <c r="B1223" s="16" t="s">
        <v>4643</v>
      </c>
      <c r="C1223" s="16" t="s">
        <v>4648</v>
      </c>
      <c r="D1223" s="16">
        <v>1.0</v>
      </c>
      <c r="E1223" s="16">
        <v>3.99</v>
      </c>
      <c r="F1223" s="16">
        <v>3.99</v>
      </c>
    </row>
    <row r="1224">
      <c r="A1224" s="16" t="s">
        <v>4649</v>
      </c>
      <c r="B1224" s="16" t="s">
        <v>702</v>
      </c>
      <c r="C1224" s="16" t="s">
        <v>1568</v>
      </c>
      <c r="D1224" s="16">
        <v>1.0</v>
      </c>
      <c r="E1224" s="16">
        <v>8.49</v>
      </c>
      <c r="F1224" s="16">
        <v>8.49</v>
      </c>
    </row>
    <row r="1225">
      <c r="A1225" s="16" t="s">
        <v>4650</v>
      </c>
      <c r="B1225" s="16" t="s">
        <v>702</v>
      </c>
      <c r="C1225" s="16" t="s">
        <v>1743</v>
      </c>
      <c r="D1225" s="16">
        <v>1.0</v>
      </c>
      <c r="E1225" s="16">
        <v>8.99</v>
      </c>
      <c r="F1225" s="16">
        <v>8.99</v>
      </c>
    </row>
    <row r="1226">
      <c r="A1226" s="16" t="s">
        <v>4651</v>
      </c>
      <c r="B1226" s="16" t="s">
        <v>702</v>
      </c>
      <c r="C1226" s="16" t="s">
        <v>1580</v>
      </c>
      <c r="D1226" s="16">
        <v>1.0</v>
      </c>
      <c r="E1226" s="16">
        <v>5.99</v>
      </c>
      <c r="F1226" s="16">
        <v>5.99</v>
      </c>
    </row>
    <row r="1227">
      <c r="A1227" s="16" t="s">
        <v>4652</v>
      </c>
      <c r="B1227" s="16" t="s">
        <v>4653</v>
      </c>
      <c r="C1227" s="16" t="s">
        <v>4654</v>
      </c>
      <c r="D1227" s="16">
        <v>1.0</v>
      </c>
      <c r="E1227" s="16">
        <v>60.0</v>
      </c>
      <c r="F1227" s="16">
        <v>60.0</v>
      </c>
    </row>
    <row r="1228">
      <c r="A1228" s="16" t="s">
        <v>4655</v>
      </c>
      <c r="B1228" s="16" t="s">
        <v>743</v>
      </c>
      <c r="C1228" s="16" t="s">
        <v>1496</v>
      </c>
      <c r="D1228" s="16">
        <v>10.0</v>
      </c>
      <c r="E1228" s="16">
        <v>8.99</v>
      </c>
      <c r="F1228" s="16">
        <v>89.9</v>
      </c>
    </row>
    <row r="1229">
      <c r="A1229" s="16" t="s">
        <v>4656</v>
      </c>
      <c r="B1229" s="16" t="s">
        <v>743</v>
      </c>
      <c r="C1229" s="16" t="s">
        <v>1539</v>
      </c>
      <c r="D1229" s="16">
        <v>1.93</v>
      </c>
      <c r="E1229" s="16">
        <v>10.99</v>
      </c>
      <c r="F1229" s="16">
        <v>21.21</v>
      </c>
    </row>
    <row r="1230">
      <c r="A1230" s="16" t="s">
        <v>4657</v>
      </c>
      <c r="B1230" s="16" t="s">
        <v>743</v>
      </c>
      <c r="C1230" s="16" t="s">
        <v>1492</v>
      </c>
      <c r="D1230" s="16">
        <v>2.525</v>
      </c>
      <c r="E1230" s="16">
        <v>4.49</v>
      </c>
      <c r="F1230" s="16">
        <v>11.34</v>
      </c>
    </row>
    <row r="1231">
      <c r="A1231" s="16" t="s">
        <v>4659</v>
      </c>
      <c r="B1231" s="16" t="s">
        <v>743</v>
      </c>
      <c r="C1231" s="16" t="s">
        <v>1489</v>
      </c>
      <c r="D1231" s="16">
        <v>2.0</v>
      </c>
      <c r="E1231" s="16">
        <v>9.98</v>
      </c>
      <c r="F1231" s="16">
        <v>19.96</v>
      </c>
    </row>
    <row r="1232">
      <c r="A1232" s="16" t="s">
        <v>4661</v>
      </c>
      <c r="B1232" s="16" t="s">
        <v>743</v>
      </c>
      <c r="C1232" s="16" t="s">
        <v>1483</v>
      </c>
      <c r="D1232" s="16">
        <v>3.42</v>
      </c>
      <c r="E1232" s="16">
        <v>11.99</v>
      </c>
      <c r="F1232" s="16">
        <v>41.01</v>
      </c>
    </row>
    <row r="1233">
      <c r="A1233" s="16" t="s">
        <v>4662</v>
      </c>
      <c r="B1233" s="16" t="s">
        <v>725</v>
      </c>
      <c r="C1233" s="16" t="s">
        <v>467</v>
      </c>
      <c r="D1233" s="16">
        <v>1.0</v>
      </c>
      <c r="E1233" s="16">
        <v>112.0</v>
      </c>
      <c r="F1233" s="16">
        <v>112.0</v>
      </c>
    </row>
    <row r="1234">
      <c r="A1234" s="16" t="s">
        <v>4663</v>
      </c>
      <c r="B1234" s="16" t="s">
        <v>718</v>
      </c>
      <c r="C1234" s="16" t="s">
        <v>467</v>
      </c>
      <c r="D1234" s="16">
        <v>1.0</v>
      </c>
      <c r="E1234" s="16">
        <v>50.0</v>
      </c>
      <c r="F1234" s="16">
        <v>50.0</v>
      </c>
    </row>
    <row r="1235">
      <c r="A1235" s="16" t="s">
        <v>4664</v>
      </c>
      <c r="B1235" s="16" t="s">
        <v>4665</v>
      </c>
      <c r="C1235" s="16" t="s">
        <v>1483</v>
      </c>
      <c r="D1235" s="16">
        <v>2.84</v>
      </c>
      <c r="E1235" s="16">
        <v>29.98</v>
      </c>
      <c r="F1235" s="16">
        <v>85.14</v>
      </c>
    </row>
    <row r="1236">
      <c r="A1236" s="16" t="s">
        <v>4667</v>
      </c>
      <c r="B1236" s="16" t="s">
        <v>4665</v>
      </c>
      <c r="C1236" s="16" t="s">
        <v>1496</v>
      </c>
      <c r="D1236" s="16">
        <v>4.0</v>
      </c>
      <c r="E1236" s="16">
        <v>9.98</v>
      </c>
      <c r="F1236" s="16">
        <v>39.92</v>
      </c>
    </row>
    <row r="1237">
      <c r="A1237" s="16" t="s">
        <v>4669</v>
      </c>
      <c r="B1237" s="16" t="s">
        <v>4670</v>
      </c>
      <c r="C1237" s="16" t="s">
        <v>2089</v>
      </c>
      <c r="D1237" s="16">
        <v>1.0</v>
      </c>
      <c r="E1237" s="16">
        <v>1150.0</v>
      </c>
      <c r="F1237" s="16">
        <v>1150.0</v>
      </c>
    </row>
    <row r="1238">
      <c r="A1238" s="16" t="s">
        <v>4671</v>
      </c>
      <c r="B1238" s="16">
        <v>1900.0</v>
      </c>
      <c r="C1238" s="16" t="s">
        <v>1164</v>
      </c>
      <c r="D1238" s="16">
        <v>1.0</v>
      </c>
      <c r="E1238" s="16">
        <v>533.95</v>
      </c>
      <c r="F1238" s="16">
        <v>533.95</v>
      </c>
    </row>
    <row r="1239">
      <c r="A1239" s="16" t="s">
        <v>4672</v>
      </c>
      <c r="B1239" s="16">
        <v>1901.0</v>
      </c>
      <c r="C1239" s="16" t="s">
        <v>197</v>
      </c>
      <c r="D1239" s="16">
        <v>1.0</v>
      </c>
      <c r="E1239" s="16">
        <v>179.9</v>
      </c>
      <c r="F1239" s="16">
        <v>179.9</v>
      </c>
    </row>
    <row r="1240">
      <c r="A1240" s="16" t="s">
        <v>4673</v>
      </c>
      <c r="B1240" s="16">
        <v>1902.0</v>
      </c>
      <c r="C1240" s="16" t="s">
        <v>1471</v>
      </c>
      <c r="D1240" s="16">
        <v>1.0</v>
      </c>
      <c r="E1240" s="16">
        <v>148.11</v>
      </c>
      <c r="F1240" s="16">
        <v>148.11</v>
      </c>
    </row>
    <row r="1241">
      <c r="A1241" s="16" t="s">
        <v>4675</v>
      </c>
      <c r="B1241" s="16">
        <v>1903.0</v>
      </c>
      <c r="C1241" s="16" t="s">
        <v>347</v>
      </c>
      <c r="D1241" s="16">
        <v>1.0</v>
      </c>
      <c r="E1241" s="16">
        <v>1.0</v>
      </c>
      <c r="F1241" s="16">
        <v>1.0</v>
      </c>
    </row>
    <row r="1242">
      <c r="A1242" s="16" t="s">
        <v>4677</v>
      </c>
      <c r="B1242" s="16" t="s">
        <v>4678</v>
      </c>
      <c r="C1242" s="16" t="s">
        <v>1616</v>
      </c>
      <c r="D1242" s="16">
        <v>1.0</v>
      </c>
      <c r="E1242" s="16">
        <v>1667.15</v>
      </c>
      <c r="F1242" s="16">
        <v>1667.15</v>
      </c>
    </row>
    <row r="1243">
      <c r="A1243" s="16" t="s">
        <v>4679</v>
      </c>
      <c r="B1243" s="16" t="s">
        <v>4680</v>
      </c>
      <c r="C1243" s="16" t="s">
        <v>1616</v>
      </c>
      <c r="D1243" s="16">
        <v>1.0</v>
      </c>
      <c r="E1243" s="16">
        <v>292.64</v>
      </c>
      <c r="F1243" s="16">
        <v>292.64</v>
      </c>
    </row>
    <row r="1244">
      <c r="A1244" s="16" t="s">
        <v>4681</v>
      </c>
      <c r="B1244" s="16" t="s">
        <v>4682</v>
      </c>
      <c r="C1244" s="16" t="s">
        <v>1306</v>
      </c>
      <c r="D1244" s="16">
        <v>1.0</v>
      </c>
      <c r="E1244" s="16">
        <v>105.0</v>
      </c>
      <c r="F1244" s="16">
        <v>105.0</v>
      </c>
    </row>
    <row r="1245">
      <c r="A1245" s="16" t="s">
        <v>4683</v>
      </c>
      <c r="B1245" s="16" t="s">
        <v>782</v>
      </c>
      <c r="C1245" s="16" t="s">
        <v>4472</v>
      </c>
      <c r="D1245" s="16">
        <v>4.0</v>
      </c>
      <c r="E1245" s="16">
        <v>3.99</v>
      </c>
      <c r="F1245" s="16">
        <v>15.96</v>
      </c>
    </row>
    <row r="1246">
      <c r="A1246" s="16" t="s">
        <v>4684</v>
      </c>
      <c r="B1246" s="16" t="s">
        <v>782</v>
      </c>
      <c r="C1246" s="16" t="s">
        <v>1505</v>
      </c>
      <c r="D1246" s="16">
        <v>1.0</v>
      </c>
      <c r="E1246" s="16">
        <v>12.99</v>
      </c>
      <c r="F1246" s="16">
        <v>12.99</v>
      </c>
    </row>
    <row r="1247">
      <c r="A1247" s="16" t="s">
        <v>4687</v>
      </c>
      <c r="B1247" s="16" t="s">
        <v>782</v>
      </c>
      <c r="C1247" s="16" t="s">
        <v>1568</v>
      </c>
      <c r="D1247" s="16">
        <v>1.0</v>
      </c>
      <c r="E1247" s="16">
        <v>8.49</v>
      </c>
      <c r="F1247" s="16">
        <v>8.49</v>
      </c>
    </row>
    <row r="1248">
      <c r="A1248" s="16" t="s">
        <v>4688</v>
      </c>
      <c r="B1248" s="16" t="s">
        <v>782</v>
      </c>
      <c r="C1248" s="16" t="s">
        <v>1565</v>
      </c>
      <c r="D1248" s="16">
        <v>1.0</v>
      </c>
      <c r="E1248" s="16">
        <v>14.99</v>
      </c>
      <c r="F1248" s="16">
        <v>14.99</v>
      </c>
    </row>
    <row r="1249">
      <c r="A1249" s="16" t="s">
        <v>4691</v>
      </c>
      <c r="B1249" s="16" t="s">
        <v>782</v>
      </c>
      <c r="C1249" s="16" t="s">
        <v>1574</v>
      </c>
      <c r="D1249" s="16">
        <v>1.0</v>
      </c>
      <c r="E1249" s="16">
        <v>5.29</v>
      </c>
      <c r="F1249" s="16">
        <v>5.29</v>
      </c>
    </row>
    <row r="1250">
      <c r="A1250" s="16" t="s">
        <v>4692</v>
      </c>
      <c r="B1250" s="16" t="s">
        <v>4693</v>
      </c>
      <c r="C1250" s="16" t="s">
        <v>1547</v>
      </c>
      <c r="D1250" s="16">
        <v>1.0</v>
      </c>
      <c r="E1250" s="16">
        <v>8450.02</v>
      </c>
      <c r="F1250" s="16">
        <v>8450.02</v>
      </c>
    </row>
    <row r="1251">
      <c r="A1251" s="16" t="s">
        <v>4694</v>
      </c>
      <c r="B1251" s="16" t="s">
        <v>4695</v>
      </c>
      <c r="C1251" s="16" t="s">
        <v>1547</v>
      </c>
      <c r="D1251" s="16">
        <v>1.0</v>
      </c>
      <c r="E1251" s="16">
        <v>1898.5</v>
      </c>
      <c r="F1251" s="16">
        <v>1898.5</v>
      </c>
    </row>
    <row r="1252">
      <c r="A1252" s="16" t="s">
        <v>4696</v>
      </c>
      <c r="B1252" s="16">
        <v>1911.0</v>
      </c>
      <c r="C1252" s="16" t="s">
        <v>1405</v>
      </c>
      <c r="D1252" s="16">
        <v>1.0</v>
      </c>
      <c r="E1252" s="16">
        <v>1110.0</v>
      </c>
      <c r="F1252" s="16">
        <v>1110.0</v>
      </c>
    </row>
    <row r="1253">
      <c r="A1253" s="16" t="s">
        <v>4699</v>
      </c>
      <c r="B1253" s="16">
        <v>1912.0</v>
      </c>
      <c r="C1253" s="16" t="s">
        <v>1414</v>
      </c>
      <c r="D1253" s="16">
        <v>1.0</v>
      </c>
      <c r="E1253" s="16">
        <v>700.0</v>
      </c>
      <c r="F1253" s="16">
        <v>700.0</v>
      </c>
    </row>
    <row r="1254">
      <c r="A1254" s="16" t="s">
        <v>4700</v>
      </c>
      <c r="B1254" s="16">
        <v>1913.0</v>
      </c>
      <c r="C1254" s="16" t="s">
        <v>1423</v>
      </c>
      <c r="D1254" s="16">
        <v>1.0</v>
      </c>
      <c r="E1254" s="16">
        <v>396.0</v>
      </c>
      <c r="F1254" s="16">
        <v>396.0</v>
      </c>
    </row>
    <row r="1255">
      <c r="A1255" s="16" t="s">
        <v>4701</v>
      </c>
      <c r="B1255" s="16">
        <v>1914.0</v>
      </c>
      <c r="C1255" s="16" t="s">
        <v>2205</v>
      </c>
      <c r="D1255" s="16">
        <v>1.0</v>
      </c>
      <c r="E1255" s="16">
        <v>253.0</v>
      </c>
      <c r="F1255" s="16">
        <v>253.0</v>
      </c>
    </row>
    <row r="1256">
      <c r="A1256" s="16" t="s">
        <v>4702</v>
      </c>
      <c r="B1256" s="16" t="s">
        <v>4703</v>
      </c>
      <c r="C1256" s="16" t="s">
        <v>4704</v>
      </c>
      <c r="D1256" s="16">
        <v>1.0</v>
      </c>
      <c r="E1256" s="16">
        <v>1522.51</v>
      </c>
      <c r="F1256" s="16">
        <v>1522.51</v>
      </c>
    </row>
    <row r="1257">
      <c r="A1257" s="16" t="s">
        <v>4706</v>
      </c>
      <c r="B1257" s="16" t="s">
        <v>4703</v>
      </c>
      <c r="C1257" s="16" t="s">
        <v>1549</v>
      </c>
      <c r="D1257" s="16">
        <v>1.0</v>
      </c>
      <c r="E1257" s="16">
        <v>144.64</v>
      </c>
      <c r="F1257" s="16">
        <v>144.64</v>
      </c>
    </row>
    <row r="1258">
      <c r="A1258" s="16" t="s">
        <v>4709</v>
      </c>
      <c r="B1258" s="16" t="s">
        <v>4710</v>
      </c>
      <c r="C1258" s="16" t="s">
        <v>1547</v>
      </c>
      <c r="D1258" s="16">
        <v>1.0</v>
      </c>
      <c r="E1258" s="16">
        <v>8068.63</v>
      </c>
      <c r="F1258" s="16">
        <v>8068.63</v>
      </c>
    </row>
    <row r="1259">
      <c r="A1259" s="16" t="s">
        <v>4711</v>
      </c>
      <c r="B1259" s="16" t="s">
        <v>4710</v>
      </c>
      <c r="C1259" s="16" t="s">
        <v>1549</v>
      </c>
      <c r="D1259" s="16">
        <v>1.0</v>
      </c>
      <c r="E1259" s="16">
        <v>723.95</v>
      </c>
      <c r="F1259" s="16">
        <v>723.95</v>
      </c>
    </row>
    <row r="1260">
      <c r="A1260" s="16" t="s">
        <v>4712</v>
      </c>
      <c r="B1260" s="16" t="s">
        <v>4710</v>
      </c>
      <c r="C1260" s="16" t="s">
        <v>1551</v>
      </c>
      <c r="D1260" s="16">
        <v>1.0</v>
      </c>
      <c r="E1260" s="16">
        <v>105.51</v>
      </c>
      <c r="F1260" s="16">
        <v>105.51</v>
      </c>
    </row>
    <row r="1261">
      <c r="A1261" s="16" t="s">
        <v>4713</v>
      </c>
      <c r="B1261" s="16" t="s">
        <v>4714</v>
      </c>
      <c r="C1261" s="23" t="s">
        <v>1475</v>
      </c>
      <c r="D1261" s="16">
        <v>5.0</v>
      </c>
      <c r="E1261" s="16">
        <v>23.0</v>
      </c>
      <c r="F1261" s="16">
        <v>115.0</v>
      </c>
    </row>
    <row r="1262">
      <c r="A1262" s="16" t="s">
        <v>4716</v>
      </c>
      <c r="B1262" s="16" t="s">
        <v>803</v>
      </c>
      <c r="C1262" s="16" t="s">
        <v>1489</v>
      </c>
      <c r="D1262" s="16">
        <v>2.0</v>
      </c>
      <c r="E1262" s="16">
        <v>9.98</v>
      </c>
      <c r="F1262" s="16">
        <v>19.96</v>
      </c>
    </row>
    <row r="1263">
      <c r="A1263" s="16" t="s">
        <v>4718</v>
      </c>
      <c r="B1263" s="16" t="s">
        <v>803</v>
      </c>
      <c r="C1263" s="16" t="s">
        <v>1496</v>
      </c>
      <c r="D1263" s="16">
        <v>5.0</v>
      </c>
      <c r="E1263" s="16">
        <v>11.9</v>
      </c>
      <c r="F1263" s="16">
        <v>59.5</v>
      </c>
    </row>
    <row r="1264">
      <c r="A1264" s="16" t="s">
        <v>4719</v>
      </c>
      <c r="B1264" s="16" t="s">
        <v>803</v>
      </c>
      <c r="C1264" s="16" t="s">
        <v>4720</v>
      </c>
      <c r="D1264" s="16">
        <v>2.375</v>
      </c>
      <c r="E1264" s="16">
        <v>4.49</v>
      </c>
      <c r="F1264" s="16">
        <v>10.66</v>
      </c>
    </row>
    <row r="1265">
      <c r="A1265" s="16" t="s">
        <v>4721</v>
      </c>
      <c r="B1265" s="16" t="s">
        <v>803</v>
      </c>
      <c r="C1265" s="16" t="s">
        <v>1483</v>
      </c>
      <c r="D1265" s="16">
        <v>0.825</v>
      </c>
      <c r="E1265" s="16">
        <v>18.98</v>
      </c>
      <c r="F1265" s="16">
        <v>15.66</v>
      </c>
    </row>
    <row r="1266">
      <c r="A1266" s="16" t="s">
        <v>4723</v>
      </c>
      <c r="B1266" s="16" t="s">
        <v>803</v>
      </c>
      <c r="C1266" s="16" t="s">
        <v>1565</v>
      </c>
      <c r="D1266" s="16">
        <v>1.0</v>
      </c>
      <c r="E1266" s="16">
        <v>13.99</v>
      </c>
      <c r="F1266" s="16">
        <v>13.99</v>
      </c>
    </row>
    <row r="1267">
      <c r="A1267" s="16" t="s">
        <v>4725</v>
      </c>
      <c r="B1267" s="16" t="s">
        <v>803</v>
      </c>
      <c r="C1267" s="16" t="s">
        <v>1483</v>
      </c>
      <c r="D1267" s="16">
        <v>2.0</v>
      </c>
      <c r="E1267" s="16">
        <v>11.99</v>
      </c>
      <c r="F1267" s="16">
        <v>23.98</v>
      </c>
    </row>
    <row r="1268">
      <c r="A1268" s="16" t="s">
        <v>4726</v>
      </c>
      <c r="B1268" s="16" t="s">
        <v>814</v>
      </c>
      <c r="C1268" s="16" t="s">
        <v>467</v>
      </c>
      <c r="D1268" s="16">
        <v>1.0</v>
      </c>
      <c r="E1268" s="16">
        <v>110.0</v>
      </c>
      <c r="F1268" s="16">
        <v>110.0</v>
      </c>
    </row>
    <row r="1269">
      <c r="A1269" s="16" t="s">
        <v>4727</v>
      </c>
      <c r="B1269" s="16" t="s">
        <v>819</v>
      </c>
      <c r="C1269" s="16" t="s">
        <v>467</v>
      </c>
      <c r="D1269" s="16">
        <v>1.0</v>
      </c>
      <c r="E1269" s="16">
        <v>217.0</v>
      </c>
      <c r="F1269" s="16">
        <v>217.0</v>
      </c>
    </row>
    <row r="1270">
      <c r="A1270" s="16" t="s">
        <v>4729</v>
      </c>
      <c r="B1270" s="16" t="s">
        <v>825</v>
      </c>
      <c r="C1270" s="16" t="s">
        <v>467</v>
      </c>
      <c r="D1270" s="16">
        <v>1.0</v>
      </c>
      <c r="E1270" s="16">
        <v>120.0</v>
      </c>
      <c r="F1270" s="16">
        <v>120.0</v>
      </c>
    </row>
    <row r="1271">
      <c r="A1271" s="16" t="s">
        <v>4731</v>
      </c>
      <c r="B1271" s="16">
        <v>1916.0</v>
      </c>
      <c r="C1271" s="16" t="s">
        <v>1220</v>
      </c>
      <c r="D1271" s="16">
        <v>1.0</v>
      </c>
      <c r="E1271" s="16">
        <v>1.0</v>
      </c>
      <c r="F1271" s="16">
        <v>1.0</v>
      </c>
    </row>
    <row r="1272">
      <c r="A1272" s="16" t="s">
        <v>4734</v>
      </c>
      <c r="B1272" s="16" t="s">
        <v>830</v>
      </c>
      <c r="C1272" s="16" t="s">
        <v>1580</v>
      </c>
      <c r="D1272" s="16">
        <v>1.0</v>
      </c>
      <c r="E1272" s="16">
        <v>3.99</v>
      </c>
      <c r="F1272" s="16">
        <v>3.99</v>
      </c>
    </row>
    <row r="1273">
      <c r="A1273" s="16" t="s">
        <v>4735</v>
      </c>
      <c r="B1273" s="16" t="s">
        <v>830</v>
      </c>
      <c r="C1273" s="16" t="s">
        <v>1502</v>
      </c>
      <c r="D1273" s="16">
        <v>2.0</v>
      </c>
      <c r="E1273" s="16">
        <v>7.99</v>
      </c>
      <c r="F1273" s="16">
        <v>15.98</v>
      </c>
    </row>
    <row r="1274">
      <c r="A1274" s="16" t="s">
        <v>4736</v>
      </c>
      <c r="B1274" s="16" t="s">
        <v>830</v>
      </c>
      <c r="C1274" s="16" t="s">
        <v>1578</v>
      </c>
      <c r="D1274" s="16">
        <v>1.0</v>
      </c>
      <c r="E1274" s="16">
        <v>8.49</v>
      </c>
      <c r="F1274" s="16">
        <v>8.49</v>
      </c>
    </row>
    <row r="1275">
      <c r="A1275" s="16" t="s">
        <v>4737</v>
      </c>
      <c r="B1275" s="16" t="s">
        <v>830</v>
      </c>
      <c r="C1275" s="16" t="s">
        <v>1565</v>
      </c>
      <c r="D1275" s="16">
        <v>1.0</v>
      </c>
      <c r="E1275" s="16">
        <v>16.99</v>
      </c>
      <c r="F1275" s="16">
        <v>16.99</v>
      </c>
    </row>
    <row r="1276">
      <c r="A1276" s="16" t="s">
        <v>4739</v>
      </c>
      <c r="B1276" s="16" t="s">
        <v>830</v>
      </c>
      <c r="C1276" s="16" t="s">
        <v>4741</v>
      </c>
      <c r="D1276" s="16">
        <v>1.0</v>
      </c>
      <c r="E1276" s="16">
        <v>8.99</v>
      </c>
      <c r="F1276" s="16">
        <v>8.99</v>
      </c>
    </row>
    <row r="1277">
      <c r="A1277" s="16" t="s">
        <v>4743</v>
      </c>
      <c r="B1277" s="16" t="s">
        <v>830</v>
      </c>
      <c r="C1277" s="16" t="s">
        <v>2671</v>
      </c>
      <c r="D1277" s="16">
        <v>1.0</v>
      </c>
      <c r="E1277" s="16">
        <v>8.99</v>
      </c>
      <c r="F1277" s="16">
        <v>8.99</v>
      </c>
    </row>
    <row r="1278">
      <c r="A1278" s="16" t="s">
        <v>4744</v>
      </c>
      <c r="B1278" s="16" t="s">
        <v>830</v>
      </c>
      <c r="C1278" s="16" t="s">
        <v>1574</v>
      </c>
      <c r="D1278" s="16">
        <v>1.0</v>
      </c>
      <c r="E1278" s="16">
        <v>5.49</v>
      </c>
      <c r="F1278" s="16">
        <v>5.49</v>
      </c>
    </row>
    <row r="1279">
      <c r="A1279" s="16" t="s">
        <v>4745</v>
      </c>
      <c r="B1279" s="16" t="s">
        <v>830</v>
      </c>
      <c r="C1279" s="16" t="s">
        <v>4746</v>
      </c>
      <c r="D1279" s="16">
        <v>1.0</v>
      </c>
      <c r="E1279" s="16">
        <v>6.99</v>
      </c>
      <c r="F1279" s="16">
        <v>6.99</v>
      </c>
    </row>
    <row r="1280">
      <c r="A1280" s="16" t="s">
        <v>4747</v>
      </c>
      <c r="B1280" s="16" t="s">
        <v>4748</v>
      </c>
      <c r="C1280" s="16" t="s">
        <v>1606</v>
      </c>
      <c r="D1280" s="16">
        <v>1.0</v>
      </c>
      <c r="E1280" s="16">
        <v>16.99</v>
      </c>
      <c r="F1280" s="16">
        <v>16.99</v>
      </c>
    </row>
    <row r="1281">
      <c r="A1281" s="16" t="s">
        <v>4750</v>
      </c>
      <c r="B1281" s="16" t="s">
        <v>4748</v>
      </c>
      <c r="C1281" s="16" t="s">
        <v>1591</v>
      </c>
      <c r="D1281" s="16">
        <v>1.0</v>
      </c>
      <c r="E1281" s="16">
        <v>19.99</v>
      </c>
      <c r="F1281" s="16">
        <v>19.99</v>
      </c>
    </row>
    <row r="1282">
      <c r="A1282" s="16" t="s">
        <v>4752</v>
      </c>
      <c r="B1282" s="16" t="s">
        <v>4748</v>
      </c>
      <c r="C1282" s="16" t="s">
        <v>4753</v>
      </c>
      <c r="D1282" s="16">
        <v>1.0</v>
      </c>
      <c r="E1282" s="16">
        <v>10.99</v>
      </c>
      <c r="F1282" s="16">
        <v>10.99</v>
      </c>
    </row>
    <row r="1283">
      <c r="A1283" s="23" t="s">
        <v>4755</v>
      </c>
      <c r="B1283" s="16" t="s">
        <v>4748</v>
      </c>
      <c r="C1283" s="16" t="s">
        <v>4757</v>
      </c>
      <c r="D1283" s="16">
        <v>6.0</v>
      </c>
      <c r="E1283" s="16">
        <v>6.99</v>
      </c>
      <c r="F1283" s="16">
        <v>41.94</v>
      </c>
    </row>
    <row r="1284">
      <c r="A1284" s="16" t="s">
        <v>4758</v>
      </c>
      <c r="B1284" s="16" t="s">
        <v>4748</v>
      </c>
      <c r="C1284" s="16" t="s">
        <v>1593</v>
      </c>
      <c r="D1284" s="16">
        <v>12.0</v>
      </c>
      <c r="E1284" s="16">
        <v>11.49</v>
      </c>
      <c r="F1284" s="16">
        <v>137.88</v>
      </c>
    </row>
    <row r="1285">
      <c r="A1285" s="16" t="s">
        <v>4759</v>
      </c>
      <c r="B1285" s="16" t="s">
        <v>4748</v>
      </c>
      <c r="C1285" s="16" t="s">
        <v>1591</v>
      </c>
      <c r="D1285" s="16">
        <v>3.0</v>
      </c>
      <c r="E1285" s="16">
        <v>32.99</v>
      </c>
      <c r="F1285" s="16">
        <v>98.97</v>
      </c>
    </row>
    <row r="1286">
      <c r="A1286" s="16" t="s">
        <v>4760</v>
      </c>
      <c r="B1286" s="16" t="s">
        <v>4748</v>
      </c>
      <c r="C1286" s="16" t="s">
        <v>1837</v>
      </c>
      <c r="D1286" s="16">
        <v>10.0</v>
      </c>
      <c r="E1286" s="16">
        <v>19.99</v>
      </c>
      <c r="F1286" s="16">
        <v>199.9</v>
      </c>
    </row>
    <row r="1287">
      <c r="A1287" s="16" t="s">
        <v>4763</v>
      </c>
      <c r="B1287" s="16" t="s">
        <v>4748</v>
      </c>
      <c r="C1287" s="16" t="s">
        <v>4757</v>
      </c>
      <c r="D1287" s="16">
        <v>4.0</v>
      </c>
      <c r="E1287" s="16">
        <v>6.49</v>
      </c>
      <c r="F1287" s="16">
        <v>25.96</v>
      </c>
    </row>
    <row r="1288">
      <c r="A1288" s="16" t="s">
        <v>4765</v>
      </c>
      <c r="B1288" s="16" t="s">
        <v>4748</v>
      </c>
      <c r="C1288" s="16" t="s">
        <v>1606</v>
      </c>
      <c r="D1288" s="16">
        <v>2.0</v>
      </c>
      <c r="E1288" s="16">
        <v>16.99</v>
      </c>
      <c r="F1288" s="16">
        <v>33.98</v>
      </c>
    </row>
    <row r="1289">
      <c r="A1289" s="16" t="s">
        <v>4766</v>
      </c>
      <c r="B1289" s="16" t="s">
        <v>4748</v>
      </c>
      <c r="C1289" s="16" t="s">
        <v>1606</v>
      </c>
      <c r="D1289" s="16">
        <v>1.0</v>
      </c>
      <c r="E1289" s="16">
        <v>19.9</v>
      </c>
      <c r="F1289" s="16">
        <v>19.9</v>
      </c>
    </row>
    <row r="1290">
      <c r="A1290" s="16" t="s">
        <v>4767</v>
      </c>
      <c r="B1290" s="16">
        <v>1920.0</v>
      </c>
      <c r="C1290" s="16" t="s">
        <v>1232</v>
      </c>
      <c r="D1290" s="16">
        <v>1.0</v>
      </c>
      <c r="E1290" s="16">
        <v>1.0</v>
      </c>
      <c r="F1290" s="16">
        <v>1.0</v>
      </c>
    </row>
    <row r="1291">
      <c r="A1291" s="16" t="s">
        <v>4768</v>
      </c>
      <c r="B1291" s="16">
        <v>1921.0</v>
      </c>
      <c r="C1291" s="16" t="s">
        <v>1244</v>
      </c>
      <c r="D1291" s="16">
        <v>1.0</v>
      </c>
      <c r="E1291" s="16">
        <v>1.0</v>
      </c>
      <c r="F1291" s="16">
        <v>1.0</v>
      </c>
    </row>
    <row r="1292">
      <c r="A1292" s="16" t="s">
        <v>4769</v>
      </c>
      <c r="B1292" s="16" t="s">
        <v>868</v>
      </c>
      <c r="C1292" s="16" t="s">
        <v>1483</v>
      </c>
      <c r="D1292" s="16">
        <v>4.5</v>
      </c>
      <c r="E1292" s="16">
        <v>9.0</v>
      </c>
      <c r="F1292" s="16">
        <v>40.5</v>
      </c>
    </row>
    <row r="1293">
      <c r="A1293" s="16" t="s">
        <v>4770</v>
      </c>
      <c r="B1293" s="16" t="s">
        <v>4771</v>
      </c>
      <c r="C1293" s="23" t="s">
        <v>1475</v>
      </c>
      <c r="D1293" s="16">
        <v>4.0</v>
      </c>
      <c r="E1293" s="16">
        <v>23.0</v>
      </c>
      <c r="F1293" s="16">
        <v>92.0</v>
      </c>
    </row>
    <row r="1294">
      <c r="A1294" s="16" t="s">
        <v>4772</v>
      </c>
      <c r="B1294" s="16" t="s">
        <v>908</v>
      </c>
      <c r="C1294" s="16" t="s">
        <v>4720</v>
      </c>
      <c r="D1294" s="16">
        <v>2.07</v>
      </c>
      <c r="E1294" s="16">
        <v>4.49</v>
      </c>
      <c r="F1294" s="16">
        <v>9.29</v>
      </c>
    </row>
    <row r="1295">
      <c r="A1295" s="16" t="s">
        <v>4773</v>
      </c>
      <c r="B1295" s="16" t="s">
        <v>908</v>
      </c>
      <c r="C1295" s="16" t="s">
        <v>1539</v>
      </c>
      <c r="D1295" s="16">
        <v>1.42</v>
      </c>
      <c r="E1295" s="16">
        <v>10.99</v>
      </c>
      <c r="F1295" s="16">
        <v>15.61</v>
      </c>
    </row>
    <row r="1296">
      <c r="A1296" s="16" t="s">
        <v>4774</v>
      </c>
      <c r="B1296" s="16" t="s">
        <v>908</v>
      </c>
      <c r="C1296" s="16" t="s">
        <v>1565</v>
      </c>
      <c r="D1296" s="16">
        <v>2.0</v>
      </c>
      <c r="E1296" s="16">
        <v>14.99</v>
      </c>
      <c r="F1296" s="16">
        <v>29.98</v>
      </c>
    </row>
    <row r="1297">
      <c r="A1297" s="16" t="s">
        <v>4775</v>
      </c>
      <c r="B1297" s="16" t="s">
        <v>908</v>
      </c>
      <c r="C1297" s="16" t="s">
        <v>1743</v>
      </c>
      <c r="D1297" s="16">
        <v>2.0</v>
      </c>
      <c r="E1297" s="16">
        <v>7.99</v>
      </c>
      <c r="F1297" s="16">
        <v>15.98</v>
      </c>
    </row>
    <row r="1298">
      <c r="A1298" s="16" t="s">
        <v>4776</v>
      </c>
      <c r="B1298" s="16" t="s">
        <v>908</v>
      </c>
      <c r="C1298" s="16" t="s">
        <v>1502</v>
      </c>
      <c r="D1298" s="16">
        <v>3.0</v>
      </c>
      <c r="E1298" s="16">
        <v>7.99</v>
      </c>
      <c r="F1298" s="16">
        <v>23.97</v>
      </c>
    </row>
    <row r="1299">
      <c r="A1299" s="16" t="s">
        <v>4777</v>
      </c>
      <c r="B1299" s="16" t="s">
        <v>4778</v>
      </c>
      <c r="C1299" s="16" t="s">
        <v>4654</v>
      </c>
      <c r="D1299" s="16">
        <v>1.0</v>
      </c>
      <c r="E1299" s="16">
        <v>130.0</v>
      </c>
      <c r="F1299" s="16">
        <v>130.0</v>
      </c>
    </row>
    <row r="1300">
      <c r="A1300" s="16" t="s">
        <v>4779</v>
      </c>
      <c r="B1300" s="16" t="s">
        <v>4780</v>
      </c>
      <c r="C1300" s="16" t="s">
        <v>2297</v>
      </c>
      <c r="D1300" s="16">
        <v>1.0</v>
      </c>
      <c r="E1300" s="16">
        <v>1094.0</v>
      </c>
      <c r="F1300" s="16">
        <v>1094.0</v>
      </c>
    </row>
    <row r="1301">
      <c r="A1301" s="16" t="s">
        <v>4783</v>
      </c>
      <c r="B1301" s="16" t="s">
        <v>4784</v>
      </c>
      <c r="C1301" s="16" t="s">
        <v>210</v>
      </c>
      <c r="D1301" s="16">
        <v>1.0</v>
      </c>
      <c r="E1301" s="16">
        <v>2635.0</v>
      </c>
      <c r="F1301" s="16">
        <v>2635.0</v>
      </c>
    </row>
    <row r="1302">
      <c r="A1302" s="16" t="s">
        <v>4785</v>
      </c>
      <c r="B1302" s="16" t="s">
        <v>4784</v>
      </c>
      <c r="C1302" s="16" t="s">
        <v>1551</v>
      </c>
      <c r="D1302" s="16">
        <v>1.0</v>
      </c>
      <c r="E1302" s="16">
        <v>167.06</v>
      </c>
      <c r="F1302" s="16">
        <v>167.06</v>
      </c>
    </row>
    <row r="1303">
      <c r="A1303" s="16" t="s">
        <v>4787</v>
      </c>
      <c r="B1303" s="16" t="s">
        <v>936</v>
      </c>
      <c r="C1303" s="16" t="s">
        <v>4788</v>
      </c>
      <c r="D1303" s="16">
        <v>1.0</v>
      </c>
      <c r="E1303" s="16">
        <v>31.68</v>
      </c>
      <c r="F1303" s="16">
        <v>31.68</v>
      </c>
    </row>
    <row r="1304">
      <c r="A1304" s="16" t="s">
        <v>4789</v>
      </c>
      <c r="B1304" s="16" t="s">
        <v>940</v>
      </c>
      <c r="C1304" s="16" t="s">
        <v>1539</v>
      </c>
      <c r="D1304" s="16">
        <v>3.765</v>
      </c>
      <c r="E1304" s="16">
        <v>10.99</v>
      </c>
      <c r="F1304" s="16">
        <v>41.38</v>
      </c>
    </row>
    <row r="1305">
      <c r="A1305" s="16" t="s">
        <v>4791</v>
      </c>
      <c r="B1305" s="16" t="s">
        <v>940</v>
      </c>
      <c r="C1305" s="16" t="s">
        <v>1483</v>
      </c>
      <c r="D1305" s="16">
        <v>3.485</v>
      </c>
      <c r="E1305" s="16">
        <v>19.98</v>
      </c>
      <c r="F1305" s="16">
        <v>69.63</v>
      </c>
    </row>
    <row r="1306">
      <c r="A1306" s="16" t="s">
        <v>4793</v>
      </c>
      <c r="B1306" s="16" t="s">
        <v>940</v>
      </c>
      <c r="C1306" s="16" t="s">
        <v>1571</v>
      </c>
      <c r="D1306" s="16">
        <v>14.0</v>
      </c>
      <c r="E1306" s="16">
        <v>1.39</v>
      </c>
      <c r="F1306" s="16">
        <v>19.46</v>
      </c>
    </row>
    <row r="1307">
      <c r="A1307" s="16" t="s">
        <v>4794</v>
      </c>
      <c r="B1307" s="16" t="s">
        <v>940</v>
      </c>
      <c r="C1307" s="16" t="s">
        <v>4504</v>
      </c>
      <c r="D1307" s="16">
        <v>1.0</v>
      </c>
      <c r="E1307" s="16">
        <v>16.99</v>
      </c>
      <c r="F1307" s="16">
        <v>16.99</v>
      </c>
    </row>
    <row r="1308">
      <c r="A1308" s="16" t="s">
        <v>4795</v>
      </c>
      <c r="B1308" s="16" t="s">
        <v>940</v>
      </c>
      <c r="C1308" s="16" t="s">
        <v>1578</v>
      </c>
      <c r="D1308" s="16">
        <v>1.0</v>
      </c>
      <c r="E1308" s="16">
        <v>7.49</v>
      </c>
      <c r="F1308" s="16">
        <v>7.49</v>
      </c>
    </row>
    <row r="1309">
      <c r="A1309" s="16" t="s">
        <v>4796</v>
      </c>
      <c r="B1309" s="16" t="s">
        <v>940</v>
      </c>
      <c r="C1309" s="16" t="s">
        <v>2586</v>
      </c>
      <c r="D1309" s="16">
        <v>1.0</v>
      </c>
      <c r="E1309" s="16">
        <v>3.99</v>
      </c>
      <c r="F1309" s="16">
        <v>3.99</v>
      </c>
    </row>
    <row r="1310">
      <c r="A1310" s="16" t="s">
        <v>4798</v>
      </c>
      <c r="B1310" s="16" t="s">
        <v>940</v>
      </c>
      <c r="C1310" s="16" t="s">
        <v>1496</v>
      </c>
      <c r="D1310" s="16">
        <v>8.0</v>
      </c>
      <c r="E1310" s="16">
        <v>8.99</v>
      </c>
      <c r="F1310" s="16">
        <v>71.92</v>
      </c>
    </row>
    <row r="1311">
      <c r="A1311" s="23" t="s">
        <v>4800</v>
      </c>
      <c r="B1311" s="16" t="s">
        <v>940</v>
      </c>
      <c r="C1311" s="16" t="s">
        <v>1489</v>
      </c>
      <c r="D1311" s="16">
        <v>3.0</v>
      </c>
      <c r="E1311" s="16">
        <v>9.98</v>
      </c>
      <c r="F1311" s="16">
        <v>29.94</v>
      </c>
    </row>
    <row r="1312">
      <c r="A1312" s="16" t="s">
        <v>4801</v>
      </c>
      <c r="B1312" s="16" t="s">
        <v>940</v>
      </c>
      <c r="C1312" s="16" t="s">
        <v>4720</v>
      </c>
      <c r="D1312" s="16">
        <v>4.325</v>
      </c>
      <c r="E1312" s="16">
        <v>4.89</v>
      </c>
      <c r="F1312" s="16">
        <v>21.15</v>
      </c>
    </row>
    <row r="1313">
      <c r="A1313" s="16" t="s">
        <v>4802</v>
      </c>
      <c r="B1313" s="16">
        <v>1927.0</v>
      </c>
      <c r="C1313" s="16" t="s">
        <v>1898</v>
      </c>
      <c r="D1313" s="16">
        <v>1.0</v>
      </c>
      <c r="E1313" s="16">
        <v>238.01</v>
      </c>
      <c r="F1313" s="16">
        <v>238.01</v>
      </c>
    </row>
    <row r="1314">
      <c r="A1314" s="16" t="s">
        <v>4803</v>
      </c>
      <c r="B1314" s="16" t="s">
        <v>4804</v>
      </c>
      <c r="C1314" s="16" t="s">
        <v>1471</v>
      </c>
      <c r="D1314" s="16">
        <v>1.0</v>
      </c>
      <c r="E1314" s="16">
        <v>188.07</v>
      </c>
      <c r="F1314" s="16">
        <v>188.07</v>
      </c>
    </row>
    <row r="1315">
      <c r="A1315" s="16" t="s">
        <v>4807</v>
      </c>
      <c r="B1315" s="16" t="s">
        <v>4808</v>
      </c>
      <c r="C1315" s="23" t="s">
        <v>1475</v>
      </c>
      <c r="D1315" s="16">
        <v>5.0</v>
      </c>
      <c r="E1315" s="16">
        <v>23.0</v>
      </c>
      <c r="F1315" s="16">
        <v>115.0</v>
      </c>
    </row>
    <row r="1316">
      <c r="A1316" s="16" t="s">
        <v>4809</v>
      </c>
      <c r="B1316" s="16" t="s">
        <v>4810</v>
      </c>
      <c r="C1316" s="16" t="s">
        <v>1547</v>
      </c>
      <c r="D1316" s="16">
        <v>1.0</v>
      </c>
      <c r="E1316" s="16">
        <v>438.57</v>
      </c>
      <c r="F1316" s="16">
        <v>438.57</v>
      </c>
    </row>
    <row r="1317">
      <c r="A1317" s="16" t="s">
        <v>4813</v>
      </c>
      <c r="B1317" s="16" t="s">
        <v>4815</v>
      </c>
      <c r="C1317" s="16" t="s">
        <v>3560</v>
      </c>
      <c r="D1317" s="16">
        <v>2.0</v>
      </c>
      <c r="E1317" s="16">
        <v>29.94</v>
      </c>
      <c r="F1317" s="16">
        <v>59.88</v>
      </c>
    </row>
    <row r="1318">
      <c r="A1318" s="16" t="s">
        <v>4816</v>
      </c>
      <c r="B1318" s="16" t="s">
        <v>4815</v>
      </c>
      <c r="C1318" s="16" t="s">
        <v>1510</v>
      </c>
      <c r="D1318" s="16">
        <v>15.0</v>
      </c>
      <c r="E1318" s="16">
        <v>11.88</v>
      </c>
      <c r="F1318" s="16">
        <v>178.2</v>
      </c>
    </row>
    <row r="1319">
      <c r="A1319" s="16" t="s">
        <v>4817</v>
      </c>
      <c r="B1319" s="16" t="s">
        <v>4815</v>
      </c>
      <c r="C1319" s="16" t="s">
        <v>1517</v>
      </c>
      <c r="D1319" s="16">
        <v>8.0</v>
      </c>
      <c r="E1319" s="16">
        <v>14.28</v>
      </c>
      <c r="F1319" s="16">
        <v>114.24</v>
      </c>
    </row>
    <row r="1320">
      <c r="A1320" s="16" t="s">
        <v>4820</v>
      </c>
      <c r="B1320" s="16" t="s">
        <v>4815</v>
      </c>
      <c r="C1320" s="16" t="s">
        <v>1656</v>
      </c>
      <c r="D1320" s="16">
        <v>4.0</v>
      </c>
      <c r="E1320" s="16">
        <v>44.28</v>
      </c>
      <c r="F1320" s="16">
        <v>177.12</v>
      </c>
    </row>
    <row r="1321">
      <c r="A1321" s="16" t="s">
        <v>4821</v>
      </c>
      <c r="B1321" s="16" t="s">
        <v>4815</v>
      </c>
      <c r="C1321" s="16" t="s">
        <v>4822</v>
      </c>
      <c r="D1321" s="16">
        <v>22.0</v>
      </c>
      <c r="E1321" s="16">
        <v>3.69</v>
      </c>
      <c r="F1321" s="16">
        <v>81.18</v>
      </c>
    </row>
    <row r="1322">
      <c r="A1322" s="16" t="s">
        <v>4824</v>
      </c>
      <c r="B1322" s="16" t="s">
        <v>4826</v>
      </c>
      <c r="C1322" s="23" t="s">
        <v>1475</v>
      </c>
      <c r="D1322" s="16">
        <v>12.0</v>
      </c>
      <c r="E1322" s="16">
        <v>23.0</v>
      </c>
      <c r="F1322" s="16">
        <v>276.0</v>
      </c>
    </row>
    <row r="1323">
      <c r="A1323" s="16" t="s">
        <v>4827</v>
      </c>
      <c r="B1323" s="16" t="s">
        <v>4828</v>
      </c>
      <c r="C1323" s="16" t="s">
        <v>1489</v>
      </c>
      <c r="D1323" s="16">
        <v>1.0</v>
      </c>
      <c r="E1323" s="16">
        <v>8.99</v>
      </c>
      <c r="F1323" s="16">
        <v>8.99</v>
      </c>
    </row>
    <row r="1324">
      <c r="A1324" s="16" t="s">
        <v>4829</v>
      </c>
      <c r="B1324" s="16" t="s">
        <v>4828</v>
      </c>
      <c r="C1324" s="16" t="s">
        <v>4720</v>
      </c>
      <c r="D1324" s="16">
        <v>1.62</v>
      </c>
      <c r="E1324" s="16">
        <v>2.49</v>
      </c>
      <c r="F1324" s="16">
        <v>4.03</v>
      </c>
    </row>
    <row r="1325">
      <c r="A1325" s="23" t="s">
        <v>4832</v>
      </c>
      <c r="B1325" s="16" t="s">
        <v>4828</v>
      </c>
      <c r="C1325" s="16" t="s">
        <v>1496</v>
      </c>
      <c r="D1325" s="16">
        <v>10.0</v>
      </c>
      <c r="E1325" s="16">
        <v>8.49</v>
      </c>
      <c r="F1325" s="16">
        <v>84.9</v>
      </c>
    </row>
    <row r="1326">
      <c r="A1326" s="16" t="s">
        <v>4834</v>
      </c>
      <c r="B1326" s="16" t="s">
        <v>4828</v>
      </c>
      <c r="C1326" s="16" t="s">
        <v>1743</v>
      </c>
      <c r="D1326" s="16">
        <v>1.0</v>
      </c>
      <c r="E1326" s="16">
        <v>9.69</v>
      </c>
      <c r="F1326" s="16">
        <v>9.69</v>
      </c>
    </row>
    <row r="1327">
      <c r="A1327" s="16" t="s">
        <v>4838</v>
      </c>
      <c r="B1327" s="16" t="s">
        <v>4828</v>
      </c>
      <c r="C1327" s="16" t="s">
        <v>1565</v>
      </c>
      <c r="D1327" s="16">
        <v>2.0</v>
      </c>
      <c r="E1327" s="16">
        <v>13.99</v>
      </c>
      <c r="F1327" s="16">
        <v>27.98</v>
      </c>
    </row>
    <row r="1328">
      <c r="A1328" s="16" t="s">
        <v>4839</v>
      </c>
      <c r="B1328" s="16" t="s">
        <v>4828</v>
      </c>
      <c r="C1328" s="16" t="s">
        <v>1502</v>
      </c>
      <c r="D1328" s="16">
        <v>5.0</v>
      </c>
      <c r="E1328" s="16">
        <v>6.99</v>
      </c>
      <c r="F1328" s="16">
        <v>34.95</v>
      </c>
    </row>
    <row r="1329">
      <c r="A1329" s="16" t="s">
        <v>4841</v>
      </c>
      <c r="B1329" s="16" t="s">
        <v>997</v>
      </c>
      <c r="C1329" s="16" t="s">
        <v>467</v>
      </c>
      <c r="D1329" s="16">
        <v>1.0</v>
      </c>
      <c r="E1329" s="16">
        <v>322.0</v>
      </c>
      <c r="F1329" s="16">
        <v>322.0</v>
      </c>
    </row>
    <row r="1330">
      <c r="A1330" s="16" t="s">
        <v>4843</v>
      </c>
      <c r="B1330" s="16" t="s">
        <v>1002</v>
      </c>
      <c r="C1330" s="16" t="s">
        <v>467</v>
      </c>
      <c r="D1330" s="16">
        <v>1.0</v>
      </c>
      <c r="E1330" s="16">
        <v>200.0</v>
      </c>
      <c r="F1330" s="16">
        <v>200.0</v>
      </c>
    </row>
    <row r="1331">
      <c r="A1331" s="16" t="s">
        <v>4844</v>
      </c>
      <c r="B1331" s="16" t="s">
        <v>1016</v>
      </c>
      <c r="C1331" s="16" t="s">
        <v>1539</v>
      </c>
      <c r="D1331" s="16">
        <v>2.245</v>
      </c>
      <c r="E1331" s="16">
        <v>10.99</v>
      </c>
      <c r="F1331" s="16">
        <v>24.67</v>
      </c>
    </row>
    <row r="1332">
      <c r="A1332" s="16" t="s">
        <v>4847</v>
      </c>
      <c r="B1332" s="16" t="s">
        <v>1016</v>
      </c>
      <c r="C1332" s="16" t="s">
        <v>1496</v>
      </c>
      <c r="D1332" s="16">
        <v>2.0</v>
      </c>
      <c r="E1332" s="16">
        <v>11.9</v>
      </c>
      <c r="F1332" s="16">
        <v>23.8</v>
      </c>
    </row>
    <row r="1333">
      <c r="A1333" s="16" t="s">
        <v>4848</v>
      </c>
      <c r="B1333" s="16" t="s">
        <v>1016</v>
      </c>
      <c r="C1333" s="16" t="s">
        <v>1580</v>
      </c>
      <c r="D1333" s="16">
        <v>1.0</v>
      </c>
      <c r="E1333" s="16">
        <v>4.98</v>
      </c>
      <c r="F1333" s="16">
        <v>4.98</v>
      </c>
    </row>
    <row r="1334">
      <c r="A1334" s="16" t="s">
        <v>4849</v>
      </c>
      <c r="B1334" s="16" t="s">
        <v>1016</v>
      </c>
      <c r="C1334" s="16" t="s">
        <v>1743</v>
      </c>
      <c r="D1334" s="16">
        <v>2.0</v>
      </c>
      <c r="E1334" s="16">
        <v>8.99</v>
      </c>
      <c r="F1334" s="16">
        <v>17.98</v>
      </c>
    </row>
    <row r="1335">
      <c r="A1335" s="16" t="s">
        <v>4850</v>
      </c>
      <c r="B1335" s="16" t="s">
        <v>1016</v>
      </c>
      <c r="C1335" s="16" t="s">
        <v>1565</v>
      </c>
      <c r="D1335" s="16">
        <v>2.0</v>
      </c>
      <c r="E1335" s="16">
        <v>16.99</v>
      </c>
      <c r="F1335" s="16">
        <v>33.98</v>
      </c>
    </row>
    <row r="1336">
      <c r="A1336" s="16" t="s">
        <v>4851</v>
      </c>
      <c r="B1336" s="16" t="s">
        <v>1016</v>
      </c>
      <c r="C1336" s="16" t="s">
        <v>1483</v>
      </c>
      <c r="D1336" s="16">
        <v>1.76</v>
      </c>
      <c r="E1336" s="16">
        <v>19.98</v>
      </c>
      <c r="F1336" s="16">
        <v>35.16</v>
      </c>
    </row>
    <row r="1337">
      <c r="A1337" s="16" t="s">
        <v>4854</v>
      </c>
      <c r="B1337" s="16" t="s">
        <v>1016</v>
      </c>
      <c r="C1337" s="16" t="s">
        <v>1583</v>
      </c>
      <c r="D1337" s="16">
        <v>0.34</v>
      </c>
      <c r="E1337" s="16">
        <v>7.99</v>
      </c>
      <c r="F1337" s="16">
        <v>2.72</v>
      </c>
    </row>
    <row r="1338">
      <c r="A1338" s="16" t="s">
        <v>4856</v>
      </c>
      <c r="B1338" s="16" t="s">
        <v>1016</v>
      </c>
      <c r="C1338" s="16" t="s">
        <v>1505</v>
      </c>
      <c r="D1338" s="16">
        <v>1.0</v>
      </c>
      <c r="E1338" s="16">
        <v>14.99</v>
      </c>
      <c r="F1338" s="16">
        <v>14.99</v>
      </c>
    </row>
    <row r="1339">
      <c r="A1339" s="16" t="s">
        <v>4857</v>
      </c>
      <c r="B1339" s="16" t="s">
        <v>1029</v>
      </c>
      <c r="C1339" s="16" t="s">
        <v>3230</v>
      </c>
      <c r="D1339" s="16">
        <v>1.0</v>
      </c>
      <c r="E1339" s="16">
        <v>118.0</v>
      </c>
      <c r="F1339" s="16">
        <v>118.0</v>
      </c>
    </row>
    <row r="1340">
      <c r="A1340" s="16" t="s">
        <v>4858</v>
      </c>
      <c r="B1340" s="16" t="s">
        <v>1045</v>
      </c>
      <c r="C1340" s="23" t="s">
        <v>4859</v>
      </c>
      <c r="D1340" s="16">
        <v>1.0</v>
      </c>
      <c r="E1340" s="16">
        <v>7.99</v>
      </c>
      <c r="F1340" s="16">
        <v>7.99</v>
      </c>
    </row>
    <row r="1341">
      <c r="A1341" s="16" t="s">
        <v>4861</v>
      </c>
      <c r="B1341" s="16" t="s">
        <v>1051</v>
      </c>
      <c r="C1341" s="16" t="s">
        <v>1578</v>
      </c>
      <c r="D1341" s="16">
        <v>1.0</v>
      </c>
      <c r="E1341" s="16">
        <v>8.19</v>
      </c>
      <c r="F1341" s="16">
        <v>8.19</v>
      </c>
    </row>
    <row r="1342">
      <c r="A1342" s="16" t="s">
        <v>4863</v>
      </c>
      <c r="B1342" s="16" t="s">
        <v>4864</v>
      </c>
      <c r="C1342" s="16" t="s">
        <v>372</v>
      </c>
      <c r="D1342" s="16">
        <v>1.0</v>
      </c>
      <c r="E1342" s="16">
        <v>624.0</v>
      </c>
      <c r="F1342" s="16">
        <v>624.0</v>
      </c>
    </row>
    <row r="1343">
      <c r="A1343" s="16" t="s">
        <v>4865</v>
      </c>
      <c r="B1343" s="16">
        <v>1933.0</v>
      </c>
      <c r="C1343" s="16" t="s">
        <v>372</v>
      </c>
      <c r="D1343" s="16">
        <v>1.0</v>
      </c>
      <c r="E1343" s="16">
        <v>624.0</v>
      </c>
      <c r="F1343" s="16">
        <v>624.0</v>
      </c>
    </row>
    <row r="1344">
      <c r="A1344" s="16" t="s">
        <v>4866</v>
      </c>
      <c r="B1344" s="16">
        <v>1934.0</v>
      </c>
      <c r="C1344" s="16" t="s">
        <v>372</v>
      </c>
      <c r="D1344" s="16">
        <v>1.0</v>
      </c>
      <c r="E1344" s="16">
        <v>0.01</v>
      </c>
      <c r="F1344" s="16">
        <v>0.01</v>
      </c>
    </row>
    <row r="1345">
      <c r="A1345" s="16" t="s">
        <v>4867</v>
      </c>
      <c r="B1345" s="16">
        <v>1935.0</v>
      </c>
      <c r="C1345" s="16" t="s">
        <v>372</v>
      </c>
      <c r="D1345" s="16">
        <v>1.0</v>
      </c>
      <c r="E1345" s="16">
        <v>1.0</v>
      </c>
      <c r="F1345" s="16">
        <v>1.0</v>
      </c>
    </row>
    <row r="1346">
      <c r="A1346" s="16" t="s">
        <v>4868</v>
      </c>
      <c r="B1346" s="16">
        <v>1936.0</v>
      </c>
      <c r="C1346" s="16" t="s">
        <v>372</v>
      </c>
      <c r="D1346" s="16">
        <v>1.0</v>
      </c>
      <c r="E1346" s="16">
        <v>1.0</v>
      </c>
      <c r="F1346" s="16">
        <v>1.0</v>
      </c>
    </row>
    <row r="1347">
      <c r="A1347" s="16" t="s">
        <v>4871</v>
      </c>
      <c r="B1347" s="16">
        <v>1937.0</v>
      </c>
      <c r="C1347" s="16" t="s">
        <v>372</v>
      </c>
      <c r="D1347" s="16">
        <v>1.0</v>
      </c>
      <c r="E1347" s="16">
        <v>1.0</v>
      </c>
      <c r="F1347" s="16">
        <v>1.0</v>
      </c>
    </row>
    <row r="1348">
      <c r="A1348" s="16" t="s">
        <v>4872</v>
      </c>
      <c r="B1348" s="16">
        <v>1938.0</v>
      </c>
      <c r="C1348" s="16" t="s">
        <v>1325</v>
      </c>
      <c r="D1348" s="16">
        <v>1.0</v>
      </c>
      <c r="E1348" s="16">
        <v>32.0</v>
      </c>
      <c r="F1348" s="16">
        <v>32.0</v>
      </c>
    </row>
    <row r="1349">
      <c r="A1349" s="16" t="s">
        <v>4875</v>
      </c>
      <c r="B1349" s="16">
        <v>1939.0</v>
      </c>
      <c r="C1349" s="16" t="s">
        <v>2494</v>
      </c>
      <c r="D1349" s="16">
        <v>1.0</v>
      </c>
      <c r="E1349" s="16">
        <v>981.0</v>
      </c>
      <c r="F1349" s="16">
        <v>981.0</v>
      </c>
    </row>
    <row r="1350">
      <c r="A1350" s="16" t="s">
        <v>4876</v>
      </c>
      <c r="B1350" s="16" t="s">
        <v>1068</v>
      </c>
      <c r="C1350" s="16" t="s">
        <v>4133</v>
      </c>
      <c r="D1350" s="16">
        <v>4.0</v>
      </c>
      <c r="E1350" s="16">
        <v>5.5</v>
      </c>
      <c r="F1350" s="16">
        <v>22.0</v>
      </c>
    </row>
    <row r="1351">
      <c r="A1351" s="16" t="s">
        <v>4879</v>
      </c>
      <c r="B1351" s="16" t="s">
        <v>4880</v>
      </c>
      <c r="C1351" s="16" t="s">
        <v>1844</v>
      </c>
      <c r="D1351" s="16">
        <v>10.0</v>
      </c>
      <c r="E1351" s="16">
        <v>1.99</v>
      </c>
      <c r="F1351" s="16">
        <v>19.9</v>
      </c>
    </row>
    <row r="1352">
      <c r="A1352" s="16" t="s">
        <v>4883</v>
      </c>
      <c r="B1352" s="16" t="s">
        <v>4880</v>
      </c>
      <c r="C1352" s="16" t="s">
        <v>4885</v>
      </c>
      <c r="D1352" s="16">
        <v>1.0</v>
      </c>
      <c r="E1352" s="16">
        <v>14.99</v>
      </c>
      <c r="F1352" s="16">
        <v>14.99</v>
      </c>
    </row>
    <row r="1353">
      <c r="A1353" s="16" t="s">
        <v>4888</v>
      </c>
      <c r="B1353" s="16" t="s">
        <v>4880</v>
      </c>
      <c r="C1353" s="16" t="s">
        <v>1642</v>
      </c>
      <c r="D1353" s="16">
        <v>8.0</v>
      </c>
      <c r="E1353" s="16">
        <v>32.99</v>
      </c>
      <c r="F1353" s="16">
        <v>263.92</v>
      </c>
    </row>
    <row r="1354">
      <c r="A1354" s="16" t="s">
        <v>4892</v>
      </c>
      <c r="B1354" s="16" t="s">
        <v>4880</v>
      </c>
      <c r="C1354" s="16" t="s">
        <v>1824</v>
      </c>
      <c r="D1354" s="16">
        <v>1.0</v>
      </c>
      <c r="E1354" s="16">
        <v>22.99</v>
      </c>
      <c r="F1354" s="16">
        <v>22.99</v>
      </c>
    </row>
    <row r="1355">
      <c r="A1355" s="16" t="s">
        <v>4893</v>
      </c>
      <c r="B1355" s="16" t="s">
        <v>4880</v>
      </c>
      <c r="C1355" s="16" t="s">
        <v>1593</v>
      </c>
      <c r="D1355" s="16">
        <v>12.0</v>
      </c>
      <c r="E1355" s="16">
        <v>11.99</v>
      </c>
      <c r="F1355" s="16">
        <v>143.88</v>
      </c>
    </row>
    <row r="1356">
      <c r="A1356" s="16" t="s">
        <v>4894</v>
      </c>
      <c r="B1356" s="16" t="s">
        <v>4880</v>
      </c>
      <c r="C1356" s="16" t="s">
        <v>1606</v>
      </c>
      <c r="D1356" s="16">
        <v>1.0</v>
      </c>
      <c r="E1356" s="16">
        <v>16.99</v>
      </c>
      <c r="F1356" s="16">
        <v>16.99</v>
      </c>
    </row>
    <row r="1357">
      <c r="A1357" s="16" t="s">
        <v>4897</v>
      </c>
      <c r="B1357" s="16" t="s">
        <v>1092</v>
      </c>
      <c r="C1357" s="16" t="s">
        <v>1555</v>
      </c>
      <c r="D1357" s="16">
        <v>1.0</v>
      </c>
      <c r="E1357" s="16">
        <v>12.99</v>
      </c>
      <c r="F1357" s="16">
        <v>12.99</v>
      </c>
    </row>
    <row r="1358">
      <c r="A1358" s="16" t="s">
        <v>4898</v>
      </c>
      <c r="B1358" s="16" t="s">
        <v>1092</v>
      </c>
      <c r="C1358" s="16" t="s">
        <v>3793</v>
      </c>
      <c r="D1358" s="16">
        <v>1.0</v>
      </c>
      <c r="E1358" s="16">
        <v>14.99</v>
      </c>
      <c r="F1358" s="16">
        <v>14.99</v>
      </c>
    </row>
    <row r="1359">
      <c r="A1359" s="16" t="s">
        <v>4899</v>
      </c>
      <c r="B1359" s="16" t="s">
        <v>1092</v>
      </c>
      <c r="C1359" s="16" t="s">
        <v>3796</v>
      </c>
      <c r="D1359" s="16">
        <v>1.0</v>
      </c>
      <c r="E1359" s="16">
        <v>9.99</v>
      </c>
      <c r="F1359" s="16">
        <v>9.99</v>
      </c>
    </row>
    <row r="1360">
      <c r="A1360" s="16" t="s">
        <v>4900</v>
      </c>
      <c r="B1360" s="16" t="s">
        <v>1083</v>
      </c>
      <c r="C1360" s="16" t="s">
        <v>1565</v>
      </c>
      <c r="D1360" s="16">
        <v>2.0</v>
      </c>
      <c r="E1360" s="16">
        <v>14.99</v>
      </c>
      <c r="F1360" s="16">
        <v>29.98</v>
      </c>
    </row>
    <row r="1361">
      <c r="A1361" s="16" t="s">
        <v>4901</v>
      </c>
      <c r="B1361" s="16" t="s">
        <v>1083</v>
      </c>
      <c r="C1361" s="16" t="s">
        <v>1502</v>
      </c>
      <c r="D1361" s="16">
        <v>3.0</v>
      </c>
      <c r="E1361" s="16">
        <v>7.99</v>
      </c>
      <c r="F1361" s="16">
        <v>23.97</v>
      </c>
    </row>
    <row r="1362">
      <c r="A1362" s="16" t="s">
        <v>4903</v>
      </c>
      <c r="B1362" s="16" t="s">
        <v>1083</v>
      </c>
      <c r="C1362" s="16" t="s">
        <v>4720</v>
      </c>
      <c r="D1362" s="16">
        <v>1.07</v>
      </c>
      <c r="E1362" s="16">
        <v>4.89</v>
      </c>
      <c r="F1362" s="16">
        <v>5.23</v>
      </c>
    </row>
    <row r="1363">
      <c r="A1363" s="16" t="s">
        <v>4905</v>
      </c>
      <c r="B1363" s="16" t="s">
        <v>1083</v>
      </c>
      <c r="C1363" s="16" t="s">
        <v>4720</v>
      </c>
      <c r="D1363" s="16">
        <v>3.775</v>
      </c>
      <c r="E1363" s="16">
        <v>4.89</v>
      </c>
      <c r="F1363" s="16">
        <v>18.46</v>
      </c>
    </row>
    <row r="1364">
      <c r="A1364" s="16" t="s">
        <v>4906</v>
      </c>
      <c r="B1364" s="16" t="s">
        <v>1083</v>
      </c>
      <c r="C1364" s="16" t="s">
        <v>1489</v>
      </c>
      <c r="D1364" s="16">
        <v>4.0</v>
      </c>
      <c r="E1364" s="16">
        <v>9.98</v>
      </c>
      <c r="F1364" s="16">
        <v>39.92</v>
      </c>
    </row>
    <row r="1365">
      <c r="A1365" s="16" t="s">
        <v>4907</v>
      </c>
      <c r="B1365" s="16" t="s">
        <v>1083</v>
      </c>
      <c r="C1365" s="16" t="s">
        <v>1568</v>
      </c>
      <c r="D1365" s="16">
        <v>2.0</v>
      </c>
      <c r="E1365" s="16">
        <v>10.99</v>
      </c>
      <c r="F1365" s="16">
        <v>21.98</v>
      </c>
    </row>
    <row r="1366">
      <c r="A1366" s="16" t="s">
        <v>4908</v>
      </c>
      <c r="B1366" s="16" t="s">
        <v>1083</v>
      </c>
      <c r="C1366" s="16" t="s">
        <v>1539</v>
      </c>
      <c r="D1366" s="16">
        <v>3.315</v>
      </c>
      <c r="E1366" s="16">
        <v>10.99</v>
      </c>
      <c r="F1366" s="16">
        <v>36.43</v>
      </c>
    </row>
    <row r="1367">
      <c r="A1367" s="16" t="s">
        <v>4910</v>
      </c>
      <c r="B1367" s="16" t="s">
        <v>1083</v>
      </c>
      <c r="C1367" s="16" t="s">
        <v>1496</v>
      </c>
      <c r="D1367" s="16">
        <v>1.0</v>
      </c>
      <c r="E1367" s="16">
        <v>11.9</v>
      </c>
      <c r="F1367" s="16">
        <v>11.9</v>
      </c>
    </row>
    <row r="1368">
      <c r="A1368" s="16" t="s">
        <v>4912</v>
      </c>
      <c r="B1368" s="16" t="s">
        <v>4914</v>
      </c>
      <c r="C1368" s="23" t="s">
        <v>1475</v>
      </c>
      <c r="D1368" s="16">
        <v>5.0</v>
      </c>
      <c r="E1368" s="16">
        <v>23.0</v>
      </c>
      <c r="F1368" s="16">
        <v>115.0</v>
      </c>
    </row>
    <row r="1369">
      <c r="A1369" s="16" t="s">
        <v>4915</v>
      </c>
      <c r="B1369" s="16" t="s">
        <v>4916</v>
      </c>
      <c r="C1369" s="16" t="s">
        <v>3560</v>
      </c>
      <c r="D1369" s="16">
        <v>2.0</v>
      </c>
      <c r="E1369" s="16">
        <v>29.94</v>
      </c>
      <c r="F1369" s="16">
        <v>59.88</v>
      </c>
    </row>
    <row r="1370">
      <c r="A1370" s="16" t="s">
        <v>4918</v>
      </c>
      <c r="B1370" s="16" t="s">
        <v>4916</v>
      </c>
      <c r="C1370" s="16" t="s">
        <v>3560</v>
      </c>
      <c r="D1370" s="16">
        <v>3.0</v>
      </c>
      <c r="E1370" s="16">
        <v>29.94</v>
      </c>
      <c r="F1370" s="16">
        <v>89.82</v>
      </c>
    </row>
    <row r="1371">
      <c r="A1371" s="16" t="s">
        <v>4919</v>
      </c>
      <c r="B1371" s="16" t="s">
        <v>4916</v>
      </c>
      <c r="C1371" s="16" t="s">
        <v>1510</v>
      </c>
      <c r="D1371" s="16">
        <v>10.0</v>
      </c>
      <c r="E1371" s="16">
        <v>11.88</v>
      </c>
      <c r="F1371" s="16">
        <v>118.8</v>
      </c>
    </row>
    <row r="1372">
      <c r="A1372" s="16" t="s">
        <v>4921</v>
      </c>
      <c r="B1372" s="16" t="s">
        <v>4916</v>
      </c>
      <c r="C1372" s="16" t="s">
        <v>1517</v>
      </c>
      <c r="D1372" s="16">
        <v>5.0</v>
      </c>
      <c r="E1372" s="16">
        <v>14.28</v>
      </c>
      <c r="F1372" s="16">
        <v>71.4</v>
      </c>
    </row>
    <row r="1373">
      <c r="A1373" s="16" t="s">
        <v>4923</v>
      </c>
      <c r="B1373" s="16" t="s">
        <v>4916</v>
      </c>
      <c r="C1373" s="16" t="s">
        <v>1656</v>
      </c>
      <c r="D1373" s="16">
        <v>1.0</v>
      </c>
      <c r="E1373" s="16">
        <v>44.28</v>
      </c>
      <c r="F1373" s="16">
        <v>44.28</v>
      </c>
    </row>
    <row r="1374">
      <c r="A1374" s="16" t="s">
        <v>4924</v>
      </c>
      <c r="B1374" s="16" t="s">
        <v>4916</v>
      </c>
      <c r="C1374" s="16" t="s">
        <v>4925</v>
      </c>
      <c r="D1374" s="16">
        <v>1.0</v>
      </c>
      <c r="E1374" s="16">
        <v>44.28</v>
      </c>
      <c r="F1374" s="16">
        <v>44.28</v>
      </c>
    </row>
    <row r="1375">
      <c r="A1375" s="16" t="s">
        <v>4926</v>
      </c>
      <c r="B1375" s="16" t="s">
        <v>4916</v>
      </c>
      <c r="C1375" s="23" t="s">
        <v>1653</v>
      </c>
      <c r="D1375" s="16">
        <v>1.0</v>
      </c>
      <c r="E1375" s="16">
        <v>20.34</v>
      </c>
      <c r="F1375" s="16">
        <v>20.34</v>
      </c>
    </row>
    <row r="1376">
      <c r="A1376" s="16" t="s">
        <v>4927</v>
      </c>
      <c r="B1376" s="16" t="s">
        <v>4916</v>
      </c>
      <c r="C1376" s="16" t="s">
        <v>2885</v>
      </c>
      <c r="D1376" s="16">
        <v>1.0</v>
      </c>
      <c r="E1376" s="16">
        <v>20.34</v>
      </c>
      <c r="F1376" s="16">
        <v>20.34</v>
      </c>
    </row>
    <row r="1377">
      <c r="A1377" s="16" t="s">
        <v>4930</v>
      </c>
      <c r="B1377" s="16" t="s">
        <v>4916</v>
      </c>
      <c r="C1377" s="16" t="s">
        <v>3557</v>
      </c>
      <c r="D1377" s="16">
        <v>6.0</v>
      </c>
      <c r="E1377" s="16">
        <v>8.29</v>
      </c>
      <c r="F1377" s="16">
        <v>49.74</v>
      </c>
    </row>
    <row r="1378">
      <c r="A1378" s="16" t="s">
        <v>4932</v>
      </c>
      <c r="B1378" s="16" t="s">
        <v>4933</v>
      </c>
      <c r="C1378" s="16" t="s">
        <v>1616</v>
      </c>
      <c r="D1378" s="16">
        <v>1.0</v>
      </c>
      <c r="E1378" s="16">
        <v>6298.5</v>
      </c>
      <c r="F1378" s="16">
        <v>6298.5</v>
      </c>
    </row>
    <row r="1379">
      <c r="A1379" s="16" t="s">
        <v>4934</v>
      </c>
      <c r="B1379" s="16" t="s">
        <v>4933</v>
      </c>
      <c r="C1379" s="16" t="s">
        <v>1549</v>
      </c>
      <c r="D1379" s="16">
        <v>1.0</v>
      </c>
      <c r="E1379" s="16">
        <v>598.36</v>
      </c>
      <c r="F1379" s="16">
        <v>598.36</v>
      </c>
    </row>
    <row r="1380">
      <c r="A1380" s="23" t="s">
        <v>4935</v>
      </c>
      <c r="B1380" s="16" t="s">
        <v>4933</v>
      </c>
      <c r="C1380" s="16" t="s">
        <v>1551</v>
      </c>
      <c r="D1380" s="16">
        <v>1.0</v>
      </c>
      <c r="E1380" s="16">
        <v>101.94</v>
      </c>
      <c r="F1380" s="16">
        <v>101.94</v>
      </c>
    </row>
    <row r="1381">
      <c r="A1381" s="16" t="s">
        <v>4936</v>
      </c>
      <c r="B1381" s="16">
        <v>1945.0</v>
      </c>
      <c r="C1381" s="16" t="s">
        <v>401</v>
      </c>
      <c r="D1381" s="16">
        <v>1.0</v>
      </c>
      <c r="E1381" s="16">
        <v>7000.0</v>
      </c>
      <c r="F1381" s="16">
        <v>7000.0</v>
      </c>
    </row>
    <row r="1382">
      <c r="A1382" s="16" t="s">
        <v>4939</v>
      </c>
      <c r="B1382" s="16" t="s">
        <v>1147</v>
      </c>
      <c r="C1382" s="23" t="s">
        <v>1475</v>
      </c>
      <c r="D1382" s="16">
        <v>18.0</v>
      </c>
      <c r="E1382" s="16">
        <v>14.89</v>
      </c>
      <c r="F1382" s="16">
        <v>268.02</v>
      </c>
    </row>
    <row r="1383">
      <c r="A1383" s="16" t="s">
        <v>4940</v>
      </c>
      <c r="B1383" s="16" t="s">
        <v>1189</v>
      </c>
      <c r="C1383" s="23" t="s">
        <v>1475</v>
      </c>
      <c r="D1383" s="16">
        <v>13.0</v>
      </c>
      <c r="E1383" s="16">
        <v>14.89</v>
      </c>
      <c r="F1383" s="16">
        <v>193.57</v>
      </c>
    </row>
    <row r="1384">
      <c r="A1384" s="16" t="s">
        <v>4941</v>
      </c>
      <c r="B1384" s="16" t="s">
        <v>1196</v>
      </c>
      <c r="C1384" s="16" t="s">
        <v>1578</v>
      </c>
      <c r="D1384" s="16">
        <v>1.0</v>
      </c>
      <c r="E1384" s="16">
        <v>24.9</v>
      </c>
      <c r="F1384" s="16">
        <v>24.9</v>
      </c>
    </row>
    <row r="1385">
      <c r="A1385" s="16" t="s">
        <v>4942</v>
      </c>
      <c r="B1385" s="16" t="s">
        <v>1196</v>
      </c>
      <c r="C1385" s="16" t="s">
        <v>1750</v>
      </c>
      <c r="D1385" s="16">
        <v>1.0</v>
      </c>
      <c r="E1385" s="16">
        <v>6.69</v>
      </c>
      <c r="F1385" s="16">
        <v>6.69</v>
      </c>
    </row>
    <row r="1386">
      <c r="A1386" s="16" t="s">
        <v>4943</v>
      </c>
      <c r="B1386" s="16" t="s">
        <v>4944</v>
      </c>
      <c r="C1386" s="16" t="s">
        <v>1950</v>
      </c>
      <c r="D1386" s="16">
        <v>1.0</v>
      </c>
      <c r="E1386" s="16">
        <v>737.15</v>
      </c>
      <c r="F1386" s="16">
        <v>737.15</v>
      </c>
    </row>
    <row r="1387">
      <c r="A1387" s="16" t="s">
        <v>4947</v>
      </c>
      <c r="B1387" s="16" t="s">
        <v>4948</v>
      </c>
      <c r="C1387" s="16" t="s">
        <v>4704</v>
      </c>
      <c r="D1387" s="16">
        <v>1.0</v>
      </c>
      <c r="E1387" s="16">
        <v>1863.91</v>
      </c>
      <c r="F1387" s="16">
        <v>1863.91</v>
      </c>
    </row>
    <row r="1388">
      <c r="A1388" s="16" t="s">
        <v>4949</v>
      </c>
      <c r="B1388" s="16" t="s">
        <v>4948</v>
      </c>
      <c r="C1388" s="16" t="s">
        <v>1549</v>
      </c>
      <c r="D1388" s="16">
        <v>1.0</v>
      </c>
      <c r="E1388" s="16">
        <v>177.07</v>
      </c>
      <c r="F1388" s="16">
        <v>177.07</v>
      </c>
    </row>
    <row r="1389">
      <c r="A1389" s="16" t="s">
        <v>4950</v>
      </c>
      <c r="B1389" s="16" t="s">
        <v>1241</v>
      </c>
      <c r="C1389" s="23" t="s">
        <v>1475</v>
      </c>
      <c r="D1389" s="16">
        <v>10.0</v>
      </c>
      <c r="E1389" s="16">
        <v>35.0</v>
      </c>
      <c r="F1389" s="16">
        <v>350.0</v>
      </c>
    </row>
    <row r="1390">
      <c r="A1390" s="16" t="s">
        <v>4951</v>
      </c>
      <c r="B1390" s="16" t="s">
        <v>4952</v>
      </c>
      <c r="C1390" s="16" t="s">
        <v>210</v>
      </c>
      <c r="D1390" s="16">
        <v>1.0</v>
      </c>
      <c r="E1390" s="16">
        <v>1093.0</v>
      </c>
      <c r="F1390" s="16">
        <v>1093.0</v>
      </c>
    </row>
    <row r="1391">
      <c r="A1391" s="16" t="s">
        <v>4953</v>
      </c>
      <c r="B1391" s="16" t="s">
        <v>4952</v>
      </c>
      <c r="C1391" s="16" t="s">
        <v>1551</v>
      </c>
      <c r="D1391" s="16">
        <v>1.0</v>
      </c>
      <c r="E1391" s="16">
        <v>55.69</v>
      </c>
      <c r="F1391" s="16">
        <v>55.69</v>
      </c>
    </row>
    <row r="1392">
      <c r="A1392" s="16" t="s">
        <v>4956</v>
      </c>
      <c r="B1392" s="16" t="s">
        <v>4957</v>
      </c>
      <c r="C1392" s="23" t="s">
        <v>1475</v>
      </c>
      <c r="D1392" s="16">
        <v>4.0</v>
      </c>
      <c r="E1392" s="16">
        <v>23.0</v>
      </c>
      <c r="F1392" s="16">
        <v>92.0</v>
      </c>
    </row>
    <row r="1393">
      <c r="A1393" s="16" t="s">
        <v>4958</v>
      </c>
      <c r="B1393" s="16" t="s">
        <v>1278</v>
      </c>
      <c r="C1393" s="16" t="s">
        <v>1539</v>
      </c>
      <c r="D1393" s="16">
        <v>1.996</v>
      </c>
      <c r="E1393" s="16">
        <v>12.9</v>
      </c>
      <c r="F1393" s="16">
        <v>25.75</v>
      </c>
    </row>
    <row r="1394">
      <c r="A1394" s="16" t="s">
        <v>4959</v>
      </c>
      <c r="B1394" s="16" t="s">
        <v>1278</v>
      </c>
      <c r="C1394" s="16" t="s">
        <v>4720</v>
      </c>
      <c r="D1394" s="16">
        <v>1.934</v>
      </c>
      <c r="E1394" s="16">
        <v>3.75</v>
      </c>
      <c r="F1394" s="16">
        <v>7.25</v>
      </c>
    </row>
    <row r="1395">
      <c r="A1395" s="16" t="s">
        <v>4961</v>
      </c>
      <c r="B1395" s="16" t="s">
        <v>1278</v>
      </c>
      <c r="C1395" s="16" t="s">
        <v>1483</v>
      </c>
      <c r="D1395" s="16">
        <v>8.1</v>
      </c>
      <c r="E1395" s="16">
        <v>29.5</v>
      </c>
      <c r="F1395" s="16">
        <v>238.95</v>
      </c>
    </row>
    <row r="1396">
      <c r="A1396" s="16" t="s">
        <v>4963</v>
      </c>
      <c r="B1396" s="16" t="s">
        <v>1278</v>
      </c>
      <c r="C1396" s="16" t="s">
        <v>1489</v>
      </c>
      <c r="D1396" s="16">
        <v>3.0</v>
      </c>
      <c r="E1396" s="16">
        <v>13.9</v>
      </c>
      <c r="F1396" s="16">
        <v>41.7</v>
      </c>
    </row>
    <row r="1397">
      <c r="A1397" s="16" t="s">
        <v>4964</v>
      </c>
      <c r="B1397" s="16" t="s">
        <v>1278</v>
      </c>
      <c r="C1397" s="16" t="s">
        <v>1496</v>
      </c>
      <c r="D1397" s="16">
        <v>10.0</v>
      </c>
      <c r="E1397" s="16">
        <v>16.5</v>
      </c>
      <c r="F1397" s="16">
        <v>165.0</v>
      </c>
    </row>
    <row r="1398">
      <c r="A1398" s="16" t="s">
        <v>4965</v>
      </c>
      <c r="B1398" s="23" t="s">
        <v>1288</v>
      </c>
      <c r="C1398" s="16" t="s">
        <v>4966</v>
      </c>
      <c r="D1398" s="16">
        <v>3.0</v>
      </c>
      <c r="E1398" s="16">
        <v>12.9</v>
      </c>
      <c r="F1398" s="16">
        <v>38.7</v>
      </c>
    </row>
    <row r="1399">
      <c r="A1399" s="16" t="s">
        <v>4967</v>
      </c>
      <c r="B1399" s="23" t="s">
        <v>1288</v>
      </c>
      <c r="C1399" s="16" t="s">
        <v>1565</v>
      </c>
      <c r="D1399" s="16">
        <v>1.0</v>
      </c>
      <c r="E1399" s="16">
        <v>17.89</v>
      </c>
      <c r="F1399" s="16">
        <v>17.89</v>
      </c>
    </row>
    <row r="1400">
      <c r="A1400" s="16" t="s">
        <v>4971</v>
      </c>
      <c r="B1400" s="23" t="s">
        <v>1288</v>
      </c>
      <c r="C1400" s="16" t="s">
        <v>4720</v>
      </c>
      <c r="D1400" s="16">
        <v>1.89</v>
      </c>
      <c r="E1400" s="16">
        <v>3.59</v>
      </c>
      <c r="F1400" s="16">
        <v>6.79</v>
      </c>
    </row>
    <row r="1401">
      <c r="A1401" s="16" t="s">
        <v>4972</v>
      </c>
      <c r="B1401" s="23" t="s">
        <v>1288</v>
      </c>
      <c r="C1401" s="16" t="s">
        <v>1502</v>
      </c>
      <c r="D1401" s="16">
        <v>1.0</v>
      </c>
      <c r="E1401" s="16">
        <v>12.29</v>
      </c>
      <c r="F1401" s="16">
        <v>12.29</v>
      </c>
    </row>
    <row r="1402">
      <c r="A1402" s="16" t="s">
        <v>4974</v>
      </c>
      <c r="B1402" s="16" t="s">
        <v>4975</v>
      </c>
      <c r="C1402" s="16" t="s">
        <v>1547</v>
      </c>
      <c r="D1402" s="16">
        <v>1.0</v>
      </c>
      <c r="E1402" s="16">
        <v>12277.92</v>
      </c>
      <c r="F1402" s="16">
        <v>12277.92</v>
      </c>
    </row>
    <row r="1403">
      <c r="A1403" s="16" t="s">
        <v>4977</v>
      </c>
      <c r="B1403" s="16" t="s">
        <v>4975</v>
      </c>
      <c r="C1403" s="16" t="s">
        <v>1549</v>
      </c>
      <c r="D1403" s="16">
        <v>1.0</v>
      </c>
      <c r="E1403" s="16">
        <v>1240.07</v>
      </c>
      <c r="F1403" s="16">
        <v>1240.07</v>
      </c>
    </row>
    <row r="1404">
      <c r="A1404" s="16" t="s">
        <v>4978</v>
      </c>
      <c r="B1404" s="16" t="s">
        <v>4975</v>
      </c>
      <c r="C1404" s="16" t="s">
        <v>1551</v>
      </c>
      <c r="D1404" s="16">
        <v>1.0</v>
      </c>
      <c r="E1404" s="16">
        <v>186.45</v>
      </c>
      <c r="F1404" s="16">
        <v>186.45</v>
      </c>
    </row>
    <row r="1405">
      <c r="A1405" s="16" t="s">
        <v>4979</v>
      </c>
      <c r="B1405" s="16" t="s">
        <v>1301</v>
      </c>
      <c r="C1405" s="16" t="s">
        <v>4980</v>
      </c>
      <c r="D1405" s="16">
        <v>2.0</v>
      </c>
      <c r="E1405" s="16">
        <v>34.99</v>
      </c>
      <c r="F1405" s="16">
        <v>69.98</v>
      </c>
    </row>
    <row r="1406">
      <c r="A1406" s="16" t="s">
        <v>4981</v>
      </c>
      <c r="B1406" s="16" t="s">
        <v>1313</v>
      </c>
      <c r="C1406" s="16" t="s">
        <v>1580</v>
      </c>
      <c r="D1406" s="16">
        <v>1.0</v>
      </c>
      <c r="E1406" s="16">
        <v>5.99</v>
      </c>
      <c r="F1406" s="16">
        <v>5.99</v>
      </c>
    </row>
    <row r="1407">
      <c r="A1407" s="16" t="s">
        <v>4984</v>
      </c>
      <c r="B1407" s="16" t="s">
        <v>1313</v>
      </c>
      <c r="C1407" s="16" t="s">
        <v>1502</v>
      </c>
      <c r="D1407" s="16">
        <v>2.0</v>
      </c>
      <c r="E1407" s="16">
        <v>12.29</v>
      </c>
      <c r="F1407" s="16">
        <v>24.58</v>
      </c>
    </row>
    <row r="1408">
      <c r="A1408" s="16" t="s">
        <v>4986</v>
      </c>
      <c r="B1408" s="16" t="s">
        <v>1313</v>
      </c>
      <c r="C1408" s="16" t="s">
        <v>1583</v>
      </c>
      <c r="D1408" s="16">
        <v>0.57</v>
      </c>
      <c r="E1408" s="16">
        <v>7.99</v>
      </c>
      <c r="F1408" s="16">
        <v>4.55</v>
      </c>
    </row>
    <row r="1409">
      <c r="A1409" s="16" t="s">
        <v>4988</v>
      </c>
      <c r="B1409" s="16" t="s">
        <v>1313</v>
      </c>
      <c r="C1409" s="16" t="s">
        <v>4989</v>
      </c>
      <c r="D1409" s="16">
        <v>4.0</v>
      </c>
      <c r="E1409" s="16">
        <v>8.99</v>
      </c>
      <c r="F1409" s="16">
        <v>35.96</v>
      </c>
    </row>
    <row r="1410">
      <c r="A1410" s="16" t="s">
        <v>4990</v>
      </c>
      <c r="B1410" s="16" t="s">
        <v>1313</v>
      </c>
      <c r="C1410" s="16" t="s">
        <v>1565</v>
      </c>
      <c r="D1410" s="16">
        <v>3.0</v>
      </c>
      <c r="E1410" s="16">
        <v>14.99</v>
      </c>
      <c r="F1410" s="16">
        <v>44.97</v>
      </c>
    </row>
    <row r="1411">
      <c r="A1411" s="16" t="s">
        <v>4991</v>
      </c>
      <c r="B1411" s="16" t="s">
        <v>1313</v>
      </c>
      <c r="C1411" s="16" t="s">
        <v>4720</v>
      </c>
      <c r="D1411" s="16">
        <v>0.65</v>
      </c>
      <c r="E1411" s="16">
        <v>3.59</v>
      </c>
      <c r="F1411" s="16">
        <v>2.33</v>
      </c>
    </row>
    <row r="1412">
      <c r="A1412" s="16" t="s">
        <v>4993</v>
      </c>
      <c r="B1412" s="16" t="s">
        <v>1373</v>
      </c>
      <c r="C1412" s="16" t="s">
        <v>2586</v>
      </c>
      <c r="D1412" s="16">
        <v>1.0</v>
      </c>
      <c r="E1412" s="16">
        <v>4.0</v>
      </c>
      <c r="F1412" s="16">
        <v>4.0</v>
      </c>
    </row>
    <row r="1413">
      <c r="A1413" s="16" t="s">
        <v>4996</v>
      </c>
      <c r="B1413" s="23" t="s">
        <v>1357</v>
      </c>
      <c r="C1413" s="16" t="s">
        <v>4720</v>
      </c>
      <c r="D1413" s="16">
        <v>3.158</v>
      </c>
      <c r="E1413" s="16">
        <v>3.95</v>
      </c>
      <c r="F1413" s="16">
        <v>12.47</v>
      </c>
    </row>
    <row r="1414">
      <c r="A1414" s="16" t="s">
        <v>4998</v>
      </c>
      <c r="B1414" s="16" t="s">
        <v>1363</v>
      </c>
      <c r="C1414" s="16" t="s">
        <v>4720</v>
      </c>
      <c r="D1414" s="16">
        <v>1.49</v>
      </c>
      <c r="E1414" s="16">
        <v>3.95</v>
      </c>
      <c r="F1414" s="16">
        <v>5.89</v>
      </c>
    </row>
    <row r="1415">
      <c r="A1415" s="16" t="s">
        <v>4999</v>
      </c>
      <c r="B1415" s="16" t="s">
        <v>1363</v>
      </c>
      <c r="C1415" s="16" t="s">
        <v>1539</v>
      </c>
      <c r="D1415" s="16">
        <v>2.674</v>
      </c>
      <c r="E1415" s="16">
        <v>10.9</v>
      </c>
      <c r="F1415" s="16">
        <v>29.15</v>
      </c>
    </row>
    <row r="1416">
      <c r="A1416" s="16" t="s">
        <v>5000</v>
      </c>
      <c r="B1416" s="16" t="s">
        <v>1363</v>
      </c>
      <c r="C1416" s="16" t="s">
        <v>1496</v>
      </c>
      <c r="D1416" s="16">
        <v>10.0</v>
      </c>
      <c r="E1416" s="16">
        <v>16.5</v>
      </c>
      <c r="F1416" s="16">
        <v>165.0</v>
      </c>
    </row>
    <row r="1417">
      <c r="A1417" s="16" t="s">
        <v>5001</v>
      </c>
      <c r="B1417" s="16" t="s">
        <v>1425</v>
      </c>
      <c r="C1417" s="16" t="s">
        <v>467</v>
      </c>
      <c r="D1417" s="16">
        <v>1.0</v>
      </c>
      <c r="E1417" s="16">
        <v>380.0</v>
      </c>
      <c r="F1417" s="16">
        <v>380.0</v>
      </c>
    </row>
    <row r="1418">
      <c r="A1418" s="16" t="s">
        <v>5004</v>
      </c>
      <c r="B1418" s="16" t="s">
        <v>1410</v>
      </c>
      <c r="C1418" s="16" t="s">
        <v>467</v>
      </c>
      <c r="D1418" s="16">
        <v>1.0</v>
      </c>
      <c r="E1418" s="16">
        <v>242.0</v>
      </c>
      <c r="F1418" s="16">
        <v>242.0</v>
      </c>
    </row>
    <row r="1419">
      <c r="A1419" s="16" t="s">
        <v>5005</v>
      </c>
      <c r="B1419" s="23" t="s">
        <v>1418</v>
      </c>
      <c r="C1419" s="16" t="s">
        <v>467</v>
      </c>
      <c r="D1419" s="16">
        <v>1.0</v>
      </c>
      <c r="E1419" s="16">
        <v>171.0</v>
      </c>
      <c r="F1419" s="16">
        <v>171.0</v>
      </c>
    </row>
    <row r="1420">
      <c r="A1420" s="16" t="s">
        <v>5006</v>
      </c>
      <c r="B1420" s="16">
        <v>1954.0</v>
      </c>
      <c r="C1420" s="16" t="s">
        <v>1164</v>
      </c>
      <c r="D1420" s="16">
        <v>1.0</v>
      </c>
      <c r="E1420" s="16">
        <v>588.95</v>
      </c>
      <c r="F1420" s="16">
        <v>588.95</v>
      </c>
    </row>
    <row r="1421">
      <c r="A1421" s="16" t="s">
        <v>5007</v>
      </c>
      <c r="B1421" s="16">
        <v>1955.0</v>
      </c>
      <c r="C1421" s="16" t="s">
        <v>197</v>
      </c>
      <c r="D1421" s="16">
        <v>1.0</v>
      </c>
      <c r="E1421" s="16">
        <v>179.9</v>
      </c>
      <c r="F1421" s="16">
        <v>179.9</v>
      </c>
    </row>
    <row r="1422">
      <c r="A1422" s="16" t="s">
        <v>5008</v>
      </c>
      <c r="B1422" s="16">
        <v>1957.0</v>
      </c>
      <c r="C1422" s="16" t="s">
        <v>347</v>
      </c>
      <c r="D1422" s="16">
        <v>1.0</v>
      </c>
      <c r="E1422" s="16">
        <v>1829.01</v>
      </c>
      <c r="F1422" s="16">
        <v>1829.01</v>
      </c>
    </row>
    <row r="1423">
      <c r="A1423" s="16" t="s">
        <v>5011</v>
      </c>
      <c r="B1423" s="16" t="s">
        <v>5012</v>
      </c>
      <c r="C1423" s="16" t="s">
        <v>1496</v>
      </c>
      <c r="D1423" s="16">
        <v>10.0</v>
      </c>
      <c r="E1423" s="16">
        <v>16.5</v>
      </c>
      <c r="F1423" s="16">
        <v>165.0</v>
      </c>
    </row>
    <row r="1424">
      <c r="A1424" s="16" t="s">
        <v>5013</v>
      </c>
      <c r="B1424" s="16" t="s">
        <v>5012</v>
      </c>
      <c r="C1424" s="16" t="s">
        <v>1483</v>
      </c>
      <c r="D1424" s="16">
        <v>10.46</v>
      </c>
      <c r="E1424" s="16">
        <v>29.5</v>
      </c>
      <c r="F1424" s="16">
        <v>308.57</v>
      </c>
    </row>
    <row r="1425">
      <c r="A1425" s="16" t="s">
        <v>5014</v>
      </c>
      <c r="B1425" s="16" t="s">
        <v>5015</v>
      </c>
      <c r="C1425" s="16" t="s">
        <v>5016</v>
      </c>
      <c r="D1425" s="16">
        <v>1.0</v>
      </c>
      <c r="E1425" s="16">
        <v>5017.76</v>
      </c>
      <c r="F1425" s="16">
        <v>5017.76</v>
      </c>
    </row>
    <row r="1426">
      <c r="A1426" s="16" t="s">
        <v>5017</v>
      </c>
      <c r="B1426" s="16" t="s">
        <v>5015</v>
      </c>
      <c r="C1426" s="16" t="s">
        <v>1549</v>
      </c>
      <c r="D1426" s="16">
        <v>1.0</v>
      </c>
      <c r="E1426" s="16">
        <v>506.79</v>
      </c>
      <c r="F1426" s="16">
        <v>506.79</v>
      </c>
    </row>
    <row r="1427">
      <c r="A1427" s="16" t="s">
        <v>5019</v>
      </c>
      <c r="B1427" s="16" t="s">
        <v>1436</v>
      </c>
      <c r="C1427" s="16" t="s">
        <v>897</v>
      </c>
      <c r="D1427" s="16">
        <v>1.0</v>
      </c>
      <c r="E1427" s="16">
        <v>13.0</v>
      </c>
      <c r="F1427" s="16">
        <v>13.0</v>
      </c>
    </row>
    <row r="1428">
      <c r="A1428" s="16" t="s">
        <v>5021</v>
      </c>
      <c r="B1428" s="16" t="s">
        <v>1444</v>
      </c>
      <c r="C1428" s="16" t="s">
        <v>3790</v>
      </c>
      <c r="D1428" s="16">
        <v>1.0</v>
      </c>
      <c r="E1428" s="16">
        <v>11.99</v>
      </c>
      <c r="F1428" s="16">
        <v>11.99</v>
      </c>
    </row>
    <row r="1429">
      <c r="A1429" s="16" t="s">
        <v>5022</v>
      </c>
      <c r="B1429" s="16" t="s">
        <v>1444</v>
      </c>
      <c r="C1429" s="16" t="s">
        <v>3790</v>
      </c>
      <c r="D1429" s="16">
        <v>1.0</v>
      </c>
      <c r="E1429" s="16">
        <v>4.99</v>
      </c>
      <c r="F1429" s="16">
        <v>4.99</v>
      </c>
    </row>
    <row r="1430">
      <c r="A1430" s="16" t="s">
        <v>5023</v>
      </c>
      <c r="B1430" s="16" t="s">
        <v>1444</v>
      </c>
      <c r="C1430" s="16" t="s">
        <v>5024</v>
      </c>
      <c r="D1430" s="16">
        <v>1.0</v>
      </c>
      <c r="E1430" s="16">
        <v>9.99</v>
      </c>
      <c r="F1430" s="16">
        <v>9.99</v>
      </c>
    </row>
    <row r="1431">
      <c r="A1431" s="16" t="s">
        <v>5025</v>
      </c>
      <c r="B1431" s="16" t="s">
        <v>5026</v>
      </c>
      <c r="C1431" s="16" t="s">
        <v>1565</v>
      </c>
      <c r="D1431" s="16">
        <v>2.0</v>
      </c>
      <c r="E1431" s="16">
        <v>17.99</v>
      </c>
      <c r="F1431" s="16">
        <v>35.98</v>
      </c>
    </row>
    <row r="1432">
      <c r="A1432" s="16" t="s">
        <v>5027</v>
      </c>
      <c r="B1432" s="16" t="s">
        <v>5026</v>
      </c>
      <c r="C1432" s="16" t="s">
        <v>1743</v>
      </c>
      <c r="D1432" s="16">
        <v>2.0</v>
      </c>
      <c r="E1432" s="16">
        <v>9.99</v>
      </c>
      <c r="F1432" s="16">
        <v>19.98</v>
      </c>
    </row>
    <row r="1433">
      <c r="A1433" s="16" t="s">
        <v>5030</v>
      </c>
      <c r="B1433" s="16" t="s">
        <v>5026</v>
      </c>
      <c r="C1433" s="16" t="s">
        <v>1502</v>
      </c>
      <c r="D1433" s="16">
        <v>3.0</v>
      </c>
      <c r="E1433" s="16">
        <v>7.99</v>
      </c>
      <c r="F1433" s="16">
        <v>23.97</v>
      </c>
    </row>
    <row r="1434">
      <c r="A1434" s="16" t="s">
        <v>5033</v>
      </c>
      <c r="B1434" s="16" t="s">
        <v>5034</v>
      </c>
      <c r="C1434" s="16" t="s">
        <v>1496</v>
      </c>
      <c r="D1434" s="16">
        <v>10.0</v>
      </c>
      <c r="E1434" s="16">
        <v>16.5</v>
      </c>
      <c r="F1434" s="16">
        <v>165.0</v>
      </c>
    </row>
    <row r="1435">
      <c r="A1435" s="16" t="s">
        <v>5035</v>
      </c>
      <c r="B1435" s="16" t="s">
        <v>5034</v>
      </c>
      <c r="C1435" s="16" t="s">
        <v>1483</v>
      </c>
      <c r="D1435" s="16">
        <v>11.495</v>
      </c>
      <c r="E1435" s="16">
        <v>29.5</v>
      </c>
      <c r="F1435" s="16">
        <v>339.1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.13"/>
    <col customWidth="1" min="14" max="14" width="10.13"/>
    <col customWidth="1" min="15" max="15" width="12.0"/>
    <col customWidth="1" min="16" max="16" width="12.75"/>
    <col customWidth="1" min="17" max="17" width="12.38"/>
    <col customWidth="1" min="18" max="18" width="0.63"/>
    <col customWidth="1" min="19" max="19" width="10.13"/>
    <col customWidth="1" min="20" max="20" width="9.88"/>
    <col customWidth="1" min="21" max="21" width="12.5"/>
    <col customWidth="1" min="22" max="22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30" t="s">
        <v>1840</v>
      </c>
      <c r="O2" s="28"/>
      <c r="P2" s="28"/>
      <c r="Q2" s="28"/>
      <c r="R2" s="28"/>
      <c r="S2" s="28"/>
      <c r="T2" s="28"/>
      <c r="U2" s="28"/>
      <c r="V2" s="29"/>
    </row>
    <row r="3">
      <c r="A3" s="31" t="s">
        <v>1847</v>
      </c>
      <c r="B3" s="32"/>
      <c r="C3" s="33" t="str">
        <f>B4</f>
        <v>Marcelo 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>Helena Cardoso</v>
      </c>
      <c r="J3" s="32"/>
      <c r="K3" s="34" t="str">
        <f>B8</f>
        <v/>
      </c>
      <c r="L3" s="35"/>
      <c r="M3" s="36"/>
      <c r="N3" s="37" t="str">
        <f>B4</f>
        <v>Marcelo </v>
      </c>
      <c r="O3" s="28"/>
      <c r="P3" s="28"/>
      <c r="Q3" s="29"/>
      <c r="R3" s="38"/>
      <c r="S3" s="39" t="str">
        <f>B5</f>
        <v>Mariane</v>
      </c>
      <c r="T3" s="28"/>
      <c r="U3" s="28"/>
      <c r="V3" s="29"/>
    </row>
    <row r="4" ht="15.75" customHeight="1">
      <c r="A4" s="40" t="s">
        <v>132</v>
      </c>
      <c r="B4" s="41" t="s">
        <v>1894</v>
      </c>
      <c r="C4" s="42" t="s">
        <v>1900</v>
      </c>
      <c r="D4" s="43">
        <f>SUMIFS(M29:M504,J29:J504,C4,K29:K504,C3)+SUMIF(P96:P138,A4,Q96:Q138)+D9</f>
        <v>0</v>
      </c>
      <c r="E4" s="44" t="s">
        <v>1900</v>
      </c>
      <c r="F4" s="43">
        <f>SUMIFS(M29:M504,J29:J504,E4,K29:K504,E3)+SUMIF(P96:P138,A5,Q96:Q138)+F9</f>
        <v>0</v>
      </c>
      <c r="G4" s="44" t="s">
        <v>1900</v>
      </c>
      <c r="H4" s="43">
        <f>SUMIFS(M29:M504,J29:J504,C4,K29:K504,G3)+SUMIF(P96:P138,A6,Q96:Q138)+H9</f>
        <v>0</v>
      </c>
      <c r="I4" s="44" t="s">
        <v>1900</v>
      </c>
      <c r="J4" s="43">
        <f>SUMIFS(M29:M504,J29:J504,C4,K29:K504,I3)+SUMIF(P96:P138,A7,Q96:Q138)+J9</f>
        <v>0</v>
      </c>
      <c r="K4" s="44" t="s">
        <v>1900</v>
      </c>
      <c r="L4" s="45">
        <f>SUMIFS(M29:M504,J29:J504,C4,K29:K504,K3)+SUMIF(P96:P138,A8,Q96:Q138)+L9</f>
        <v>0</v>
      </c>
      <c r="M4" s="26"/>
      <c r="N4" s="46" t="str">
        <f>IFERROR(__xludf.DUMMYFUNCTION("query(C28:L504,""select Col1,Col3,Col8,Col9 where (Col8 = 'Adiantamento' or Col8 = 'Consumo') and Col9 = '""&amp;B4&amp;""'"",1)"),"Data")</f>
        <v>Data</v>
      </c>
      <c r="O4" s="47" t="str">
        <f>IFERROR(__xludf.DUMMYFUNCTION("""COMPUTED_VALUE"""),"Valor ")</f>
        <v>Valor </v>
      </c>
      <c r="P4" s="47" t="str">
        <f>IFERROR(__xludf.DUMMYFUNCTION("""COMPUTED_VALUE"""),"Tipo")</f>
        <v>Tipo</v>
      </c>
      <c r="Q4" s="48" t="str">
        <f>IFERROR(__xludf.DUMMYFUNCTION("""COMPUTED_VALUE"""),"Funcionário")</f>
        <v>Funcionário</v>
      </c>
      <c r="R4" s="49"/>
      <c r="S4" s="50" t="str">
        <f>IFERROR(__xludf.DUMMYFUNCTION("query(C28:L504,""select Col1,Col3,Col8,Col9 where (Col8 = 'Adiantamento' or Col8 = 'Consumo') and Col9 = '""&amp;B5&amp;""'"",1)"),"Data")</f>
        <v>Data</v>
      </c>
      <c r="T4" s="50" t="str">
        <f>IFERROR(__xludf.DUMMYFUNCTION("""COMPUTED_VALUE"""),"Valor ")</f>
        <v>Valor </v>
      </c>
      <c r="U4" s="50" t="str">
        <f>IFERROR(__xludf.DUMMYFUNCTION("""COMPUTED_VALUE"""),"Tipo")</f>
        <v>Tipo</v>
      </c>
      <c r="V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SUMIFS(M29:M504,J29:J504,C5,K29:K504,C3)</f>
        <v>0</v>
      </c>
      <c r="E5" s="44" t="s">
        <v>2019</v>
      </c>
      <c r="F5" s="43">
        <f>SUMIFS(M29:M504,J29:J504,C5,K29:K504,E3)</f>
        <v>0</v>
      </c>
      <c r="G5" s="44" t="s">
        <v>2019</v>
      </c>
      <c r="H5" s="43">
        <f>SUMIFS(M29:M504,J29:J504,C5,K29:K504,G3)</f>
        <v>0</v>
      </c>
      <c r="I5" s="44" t="s">
        <v>2019</v>
      </c>
      <c r="J5" s="43">
        <f>SUMIFS(M29:M504,J29:J504,C5,K29:K504,I3)</f>
        <v>0</v>
      </c>
      <c r="K5" s="44" t="s">
        <v>2019</v>
      </c>
      <c r="L5" s="45">
        <f>SUMIFS(M29:M504,J29:J504,C5,K29:K504,K3)</f>
        <v>0</v>
      </c>
      <c r="M5" s="26"/>
      <c r="N5" s="52"/>
      <c r="O5" s="53"/>
      <c r="P5" s="53"/>
      <c r="Q5" s="54"/>
      <c r="R5" s="55"/>
      <c r="S5" s="53"/>
      <c r="T5" s="53"/>
      <c r="U5" s="53"/>
      <c r="V5" s="54"/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0</v>
      </c>
      <c r="G6" s="44" t="s">
        <v>2079</v>
      </c>
      <c r="H6" s="43">
        <f>H5*0.8</f>
        <v>0</v>
      </c>
      <c r="I6" s="44" t="s">
        <v>2079</v>
      </c>
      <c r="J6" s="43">
        <f>J5*0.8</f>
        <v>0</v>
      </c>
      <c r="K6" s="57" t="s">
        <v>2079</v>
      </c>
      <c r="L6" s="45">
        <f>L5*0.8</f>
        <v>0</v>
      </c>
      <c r="M6" s="26"/>
      <c r="N6" s="52"/>
      <c r="O6" s="53"/>
      <c r="P6" s="53"/>
      <c r="Q6" s="54"/>
      <c r="R6" s="55"/>
      <c r="S6" s="53"/>
      <c r="T6" s="53"/>
      <c r="U6" s="53"/>
      <c r="V6" s="54"/>
    </row>
    <row r="7" ht="14.25" customHeight="1">
      <c r="A7" s="40" t="s">
        <v>754</v>
      </c>
      <c r="B7" s="41" t="s">
        <v>2117</v>
      </c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52"/>
      <c r="O7" s="53"/>
      <c r="P7" s="53"/>
      <c r="Q7" s="54"/>
      <c r="R7" s="55"/>
      <c r="S7" s="53"/>
      <c r="T7" s="53"/>
      <c r="U7" s="53"/>
      <c r="V7" s="54"/>
    </row>
    <row r="8" ht="14.25" customHeight="1">
      <c r="B8" s="41"/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52"/>
      <c r="O8" s="53"/>
      <c r="P8" s="53"/>
      <c r="Q8" s="54"/>
      <c r="R8" s="55"/>
      <c r="S8" s="53"/>
      <c r="T8" s="53"/>
      <c r="U8" s="53"/>
      <c r="V8" s="54"/>
    </row>
    <row r="9">
      <c r="A9" s="40"/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52"/>
      <c r="O9" s="53"/>
      <c r="P9" s="53"/>
      <c r="Q9" s="54"/>
      <c r="R9" s="55"/>
      <c r="S9" s="53"/>
      <c r="T9" s="53"/>
      <c r="U9" s="53"/>
      <c r="V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52"/>
      <c r="O10" s="79"/>
      <c r="P10" s="79"/>
      <c r="Q10" s="80"/>
      <c r="R10" s="81"/>
      <c r="S10" s="79"/>
      <c r="T10" s="79"/>
      <c r="U10" s="79"/>
      <c r="V10" s="80"/>
    </row>
    <row r="11">
      <c r="A11" s="82"/>
      <c r="B11" s="83"/>
      <c r="C11" s="84" t="s">
        <v>1900</v>
      </c>
      <c r="D11" s="85">
        <f>SUMIFS(M29:M511,J29:J511,C11,K29:K511,C10)+SUMIF(P96:P138,A9,Q96:Q138)+D16</f>
        <v>0</v>
      </c>
      <c r="E11" s="86" t="s">
        <v>1900</v>
      </c>
      <c r="F11" s="85">
        <f>SUMIFS(M29:M511,J29:J511,E11,K29:K511,E10)+SUMIF(P96:P138,A10,Q96:Q138)+F16</f>
        <v>0</v>
      </c>
      <c r="G11" s="86" t="s">
        <v>1900</v>
      </c>
      <c r="H11" s="85">
        <f>SUMIFS(M29:M511,J29:J511,C11,K29:K511,G10)+SUMIF(P96:P138,A11,Q96:Q138)+H16</f>
        <v>0</v>
      </c>
      <c r="I11" s="86" t="s">
        <v>1900</v>
      </c>
      <c r="J11" s="85">
        <f>SUMIFS(M29:M511,J29:J511,C11,K29:K511,I10)+SUMIF(P96:P138,A11,Q96:Q138)+J16</f>
        <v>0</v>
      </c>
      <c r="K11" s="86" t="s">
        <v>1900</v>
      </c>
      <c r="L11" s="87">
        <f>SUMIFS(M29:M511,J29:J511,C11,K29:K511,K10)+SUMIF(P96:P138,A13,Q96:Q138)+L16</f>
        <v>0</v>
      </c>
      <c r="M11" s="25"/>
      <c r="N11" s="88"/>
      <c r="O11" s="89"/>
      <c r="P11" s="89"/>
      <c r="Q11" s="90"/>
      <c r="R11" s="91"/>
      <c r="S11" s="89"/>
      <c r="T11" s="89"/>
      <c r="U11" s="89"/>
      <c r="V11" s="90"/>
    </row>
    <row r="12">
      <c r="A12" s="82"/>
      <c r="B12" s="83"/>
      <c r="C12" s="84" t="s">
        <v>2019</v>
      </c>
      <c r="D12" s="85">
        <f>SUMIFS(M36:M511,J36:J511,C12,K36:K511,C10)</f>
        <v>0</v>
      </c>
      <c r="E12" s="86" t="s">
        <v>2019</v>
      </c>
      <c r="F12" s="85">
        <f>SUMIFS(M29:M511,J29:J511,C12,K29:K511,E10)</f>
        <v>0</v>
      </c>
      <c r="G12" s="86" t="s">
        <v>2019</v>
      </c>
      <c r="H12" s="85">
        <f>SUMIFS(M36:M511,J36:J511,C12,K36:K511,G10)</f>
        <v>0</v>
      </c>
      <c r="I12" s="86" t="s">
        <v>2019</v>
      </c>
      <c r="J12" s="85">
        <f>SUMIFS(M29:M511,J29:J511,C12,K29:K511,I10)</f>
        <v>0</v>
      </c>
      <c r="K12" s="86" t="s">
        <v>2019</v>
      </c>
      <c r="L12" s="87">
        <f>SUMIFS(M29:M511,J29:J511,C12,K29:K511,K10)</f>
        <v>0</v>
      </c>
      <c r="M12" s="25"/>
      <c r="N12" s="88"/>
      <c r="O12" s="89"/>
      <c r="P12" s="89"/>
      <c r="Q12" s="90"/>
      <c r="R12" s="91"/>
      <c r="S12" s="89"/>
      <c r="T12" s="89"/>
      <c r="U12" s="89"/>
      <c r="V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88"/>
      <c r="O13" s="89"/>
      <c r="P13" s="89"/>
      <c r="Q13" s="90"/>
      <c r="R13" s="91"/>
      <c r="S13" s="89"/>
      <c r="T13" s="89"/>
      <c r="U13" s="89"/>
      <c r="V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88"/>
      <c r="O14" s="89"/>
      <c r="P14" s="89"/>
      <c r="Q14" s="90"/>
      <c r="R14" s="91"/>
      <c r="S14" s="89"/>
      <c r="T14" s="89"/>
      <c r="U14" s="89"/>
      <c r="V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88"/>
      <c r="O15" s="89"/>
      <c r="P15" s="89"/>
      <c r="Q15" s="90"/>
      <c r="R15" s="91"/>
      <c r="S15" s="89"/>
      <c r="T15" s="89"/>
      <c r="U15" s="89"/>
      <c r="V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88"/>
      <c r="O16" s="89"/>
      <c r="P16" s="89"/>
      <c r="Q16" s="90"/>
      <c r="R16" s="91"/>
      <c r="S16" s="89"/>
      <c r="T16" s="89"/>
      <c r="U16" s="89"/>
      <c r="V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88"/>
      <c r="O17" s="89"/>
      <c r="P17" s="89"/>
      <c r="Q17" s="90"/>
      <c r="R17" s="91"/>
      <c r="S17" s="89"/>
      <c r="T17" s="89"/>
      <c r="U17" s="89"/>
      <c r="V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108"/>
      <c r="O18" s="109"/>
      <c r="P18" s="109"/>
      <c r="Q18" s="109"/>
      <c r="R18" s="110"/>
      <c r="S18" s="109"/>
      <c r="T18" s="109"/>
      <c r="U18" s="109"/>
      <c r="V18" s="111"/>
    </row>
    <row r="19">
      <c r="A19" s="24"/>
      <c r="B19" s="24"/>
      <c r="C19" s="112"/>
      <c r="D19" s="113"/>
      <c r="E19" s="112"/>
      <c r="F19" s="114"/>
      <c r="G19" s="115" t="s">
        <v>2425</v>
      </c>
      <c r="H19" s="116">
        <f>((H20+H21)-H22)-H25</f>
        <v>21150</v>
      </c>
      <c r="I19" s="117" t="s">
        <v>2436</v>
      </c>
      <c r="J19" s="118" t="s">
        <v>2438</v>
      </c>
      <c r="K19" s="119" t="s">
        <v>2440</v>
      </c>
      <c r="L19" s="113"/>
      <c r="M19" s="25"/>
      <c r="N19" s="120"/>
      <c r="O19" s="121"/>
      <c r="P19" s="121"/>
      <c r="Q19" s="121"/>
      <c r="R19" s="122"/>
      <c r="S19" s="123" t="str">
        <f>B7</f>
        <v>Helena Cardoso</v>
      </c>
      <c r="T19" s="106"/>
      <c r="U19" s="106"/>
      <c r="V19" s="124"/>
    </row>
    <row r="20">
      <c r="A20" s="125"/>
      <c r="B20" s="125"/>
      <c r="C20" s="126" t="s">
        <v>1900</v>
      </c>
      <c r="D20" s="127">
        <f>SUMIFS(M29:M504,J29:J504,C20,K29:K504,C19)+SUMIF(P102:P138,A9,Q102:Q138)+D25</f>
        <v>0</v>
      </c>
      <c r="E20" s="126" t="s">
        <v>1900</v>
      </c>
      <c r="F20" s="128">
        <f>SUMIFS(M29:M504,J29:J504,C20,K29:K504,E19)+SUMIF(P102:P138,A10,Q102:Q138)+F25</f>
        <v>0</v>
      </c>
      <c r="G20" s="129" t="s">
        <v>2473</v>
      </c>
      <c r="H20" s="130">
        <v>0.0</v>
      </c>
      <c r="I20" s="131">
        <f>SUMIF(J29:J504,I19,M29:M504)</f>
        <v>0</v>
      </c>
      <c r="J20" s="132">
        <f>SUMIF(J29:J504,J19,M29:M504)</f>
        <v>635.28</v>
      </c>
      <c r="K20" s="133" t="s">
        <v>2491</v>
      </c>
      <c r="L20" s="134"/>
      <c r="M20" s="25"/>
      <c r="N20" s="135"/>
      <c r="O20" s="136"/>
      <c r="P20" s="136"/>
      <c r="Q20" s="136"/>
      <c r="R20" s="49"/>
      <c r="S20" s="50" t="str">
        <f>IFERROR(__xludf.DUMMYFUNCTION("query(C28:L504,""select Col1,Col3,Col8,Col9 where (Col8 = 'Adiantamento' or Col8 = 'Consumo') and Col9 = '""&amp;B7&amp;""'"",1)"),"Data")</f>
        <v>Data</v>
      </c>
      <c r="T20" s="50" t="str">
        <f>IFERROR(__xludf.DUMMYFUNCTION("""COMPUTED_VALUE"""),"Valor ")</f>
        <v>Valor </v>
      </c>
      <c r="U20" s="50" t="str">
        <f>IFERROR(__xludf.DUMMYFUNCTION("""COMPUTED_VALUE"""),"Tipo")</f>
        <v>Tipo</v>
      </c>
      <c r="V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SUMIFS(M29:M504,J29:J504,C21,K29:K504,C19)</f>
        <v>0</v>
      </c>
      <c r="E21" s="126" t="s">
        <v>2019</v>
      </c>
      <c r="F21" s="128">
        <f>SUMIFS(M29:M504,J29:J504,E21,K29:K504,E19)</f>
        <v>0</v>
      </c>
      <c r="G21" s="86" t="s">
        <v>2522</v>
      </c>
      <c r="H21" s="127">
        <f>SUMIFS(M29:M504,D29:D504,"Saída",J29:J504,"Sangria")</f>
        <v>21150</v>
      </c>
      <c r="I21" s="138"/>
      <c r="J21" s="139"/>
      <c r="K21" s="133" t="s">
        <v>2530</v>
      </c>
      <c r="L21" s="134"/>
      <c r="M21" s="25"/>
      <c r="N21" s="108"/>
      <c r="O21" s="53"/>
      <c r="P21" s="53"/>
      <c r="Q21" s="54"/>
      <c r="R21" s="55"/>
      <c r="S21" s="53"/>
      <c r="T21" s="53"/>
      <c r="U21" s="53"/>
      <c r="V21" s="54"/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SUMIFS(M29:M504,D29:D504,"Entrada",J29:J504,"Sangria")</f>
        <v>0</v>
      </c>
      <c r="I22" s="144" t="s">
        <v>2556</v>
      </c>
      <c r="J22" s="145"/>
      <c r="K22" s="133" t="s">
        <v>2559</v>
      </c>
      <c r="L22" s="134"/>
      <c r="M22" s="25"/>
      <c r="N22" s="52"/>
      <c r="O22" s="53"/>
      <c r="P22" s="53"/>
      <c r="Q22" s="54"/>
      <c r="R22" s="55"/>
      <c r="S22" s="53"/>
      <c r="T22" s="53"/>
      <c r="U22" s="53"/>
      <c r="V22" s="54"/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SUMIF(J29:J504,I22,M29:M504)</f>
        <v>0</v>
      </c>
      <c r="J23" s="152"/>
      <c r="K23" s="133" t="s">
        <v>2578</v>
      </c>
      <c r="L23" s="134"/>
      <c r="M23" s="25"/>
      <c r="N23" s="52"/>
      <c r="O23" s="53"/>
      <c r="P23" s="53"/>
      <c r="Q23" s="54"/>
      <c r="R23" s="55"/>
      <c r="S23" s="53"/>
      <c r="T23" s="53"/>
      <c r="U23" s="53"/>
      <c r="V23" s="54"/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SUMIF(L29:L504,G24,M29:M504)</f>
        <v>0</v>
      </c>
      <c r="I24" s="157" t="s">
        <v>2593</v>
      </c>
      <c r="J24" s="150"/>
      <c r="K24" s="133" t="s">
        <v>2594</v>
      </c>
      <c r="L24" s="134"/>
      <c r="M24" s="25"/>
      <c r="N24" s="52"/>
      <c r="O24" s="53"/>
      <c r="P24" s="53"/>
      <c r="Q24" s="54"/>
      <c r="R24" s="55"/>
      <c r="S24" s="53"/>
      <c r="T24" s="53"/>
      <c r="U24" s="53"/>
      <c r="V24" s="54"/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SUMIF(L29:L504,G25,M29:M504)</f>
        <v>0</v>
      </c>
      <c r="I25" s="151">
        <f>SUMIF(J29:J504,I24,M29:M504)</f>
        <v>0</v>
      </c>
      <c r="J25" s="152"/>
      <c r="K25" s="162"/>
      <c r="L25" s="163"/>
      <c r="M25" s="26"/>
      <c r="N25" s="52"/>
      <c r="O25" s="53"/>
      <c r="P25" s="53"/>
      <c r="Q25" s="54"/>
      <c r="R25" s="55"/>
      <c r="S25" s="53"/>
      <c r="T25" s="53"/>
      <c r="U25" s="53"/>
      <c r="V25" s="54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52"/>
      <c r="O26" s="79"/>
      <c r="P26" s="79"/>
      <c r="Q26" s="80"/>
      <c r="R26" s="81"/>
      <c r="S26" s="79"/>
      <c r="T26" s="79"/>
      <c r="U26" s="79"/>
      <c r="V26" s="80"/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04"/>
      <c r="M27" s="167"/>
      <c r="N27" s="88"/>
      <c r="O27" s="89"/>
      <c r="P27" s="89"/>
      <c r="Q27" s="90"/>
      <c r="R27" s="91"/>
      <c r="S27" s="89"/>
      <c r="T27" s="89"/>
      <c r="U27" s="89"/>
      <c r="V27" s="90"/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177" t="s">
        <v>2647</v>
      </c>
      <c r="M28" s="167"/>
      <c r="N28" s="88"/>
      <c r="O28" s="89"/>
      <c r="P28" s="89"/>
      <c r="Q28" s="90"/>
      <c r="R28" s="91"/>
      <c r="S28" s="89"/>
      <c r="T28" s="89"/>
      <c r="U28" s="89"/>
      <c r="V28" s="90"/>
    </row>
    <row r="29" ht="14.25" customHeight="1">
      <c r="A29" s="178"/>
      <c r="B29" s="12">
        <v>1517573.0</v>
      </c>
      <c r="C29" s="13">
        <v>45815.63079861111</v>
      </c>
      <c r="D29" s="179" t="s">
        <v>152</v>
      </c>
      <c r="E29" s="180" t="s">
        <v>146</v>
      </c>
      <c r="F29" s="181"/>
      <c r="G29" s="179" t="s">
        <v>2661</v>
      </c>
      <c r="H29" s="182"/>
      <c r="I29" s="182"/>
      <c r="J29" s="183" t="s">
        <v>2669</v>
      </c>
      <c r="K29" s="183"/>
      <c r="L29" s="184" t="str">
        <f>IFERROR(__xludf.DUMMYFUNCTION("ifna(IF(and(D29=""Saída"",J29=""Sangria""),if(sum(QUERY(IMPORTRANGE(""https://docs.google.com/spreadsheets/d/1E4szPcLzsqlw4uyBAoJ61L1ChCgpz4wVP8tHfHW1g_c"",""BD M Sangrias!a:i""),""select Col6 where Col7 = 'Depositada' and Col9 = '""&amp;K29&amp;""' and Col6 = """&amp;"&amp;M29&amp;"" and Col4 = date '""&amp;YEAR(C29)&amp;""-""&amp;MONTH(C29)&amp;""-""&amp;DAY(C29)&amp;""'""))&gt;0,""Depositada"",if(sum(QUERY(IMPORTRANGE(""https://docs.google.com/spreadsheets/d/1EcLIvUgMoBC5as4ikW0wuQsGH5yVZ6cQ1y16qEfgPnk"",""BD M Sangrias!a:i""),""select Col6 where Col7"&amp;" = 'Caixa Atendimento' and Col9 = '""&amp;K29&amp;""' and Col6 = ""&amp;M29&amp;"" and Col4 = date '""&amp;YEAR(C29)&amp;""-""&amp;MONTH(C29)&amp;""-""&amp;DAY(C29)&amp;""'""))&gt;0,""Caixa Atendimento"",""Caixa Sangria"")),""""),""Caixa Sangria"")"),"")</f>
        <v/>
      </c>
      <c r="M29" s="185">
        <f>IFERROR(__xludf.DUMMYFUNCTION("ifna(VALUE(REGEXEXTRACT(E29,""[0-9.]+[,]+[0-9]+"")))"),400.0)</f>
        <v>400</v>
      </c>
      <c r="N29" s="88"/>
      <c r="O29" s="89"/>
      <c r="P29" s="89"/>
      <c r="Q29" s="90"/>
      <c r="R29" s="91"/>
      <c r="S29" s="89"/>
      <c r="T29" s="89"/>
      <c r="U29" s="89"/>
      <c r="V29" s="90"/>
    </row>
    <row r="30" ht="14.25" customHeight="1">
      <c r="A30" s="178"/>
      <c r="B30" s="12">
        <v>1517898.0</v>
      </c>
      <c r="C30" s="13">
        <v>45815.72136574074</v>
      </c>
      <c r="D30" s="179" t="s">
        <v>152</v>
      </c>
      <c r="E30" s="180" t="s">
        <v>200</v>
      </c>
      <c r="F30" s="181"/>
      <c r="G30" s="179" t="s">
        <v>1126</v>
      </c>
      <c r="H30" s="186"/>
      <c r="I30" s="186"/>
      <c r="J30" s="187" t="s">
        <v>2669</v>
      </c>
      <c r="K30" s="187"/>
      <c r="L30" s="184" t="str">
        <f>IFERROR(__xludf.DUMMYFUNCTION("ifna(IF(and(D30=""Saída"",J30=""Sangria""),if(sum(QUERY(IMPORTRANGE(""https://docs.google.com/spreadsheets/d/1E4szPcLzsqlw4uyBAoJ61L1ChCgpz4wVP8tHfHW1g_c"",""BD M Sangrias!a:i""),""select Col6 where Col7 = 'Depositada' and Col9 = '""&amp;K30&amp;""' and Col6 = """&amp;"&amp;M30&amp;"" and Col4 = date '""&amp;YEAR(C30)&amp;""-""&amp;MONTH(C30)&amp;""-""&amp;DAY(C30)&amp;""'""))&gt;0,""Depositada"",if(sum(QUERY(IMPORTRANGE(""https://docs.google.com/spreadsheets/d/1EcLIvUgMoBC5as4ikW0wuQsGH5yVZ6cQ1y16qEfgPnk"",""BD M Sangrias!a:i""),""select Col6 where Col7"&amp;" = 'Caixa Atendimento' and Col9 = '""&amp;K30&amp;""' and Col6 = ""&amp;M30&amp;"" and Col4 = date '""&amp;YEAR(C30)&amp;""-""&amp;MONTH(C30)&amp;""-""&amp;DAY(C30)&amp;""'""))&gt;0,""Caixa Atendimento"",""Caixa Sangria"")),""""),""Caixa Sangria"")"),"")</f>
        <v/>
      </c>
      <c r="M30" s="185">
        <f>IFERROR(__xludf.DUMMYFUNCTION("ifna(VALUE(REGEXEXTRACT(E30,""[0-9.]+[,]+[0-9]+"")))"),300.0)</f>
        <v>300</v>
      </c>
      <c r="N30" s="88"/>
      <c r="O30" s="89"/>
      <c r="P30" s="89"/>
      <c r="Q30" s="90"/>
      <c r="R30" s="91"/>
      <c r="S30" s="89"/>
      <c r="T30" s="89"/>
      <c r="U30" s="89"/>
      <c r="V30" s="90"/>
    </row>
    <row r="31" ht="14.25" customHeight="1">
      <c r="A31" s="178"/>
      <c r="B31" s="12">
        <v>1517900.0</v>
      </c>
      <c r="C31" s="13">
        <v>45815.72158564815</v>
      </c>
      <c r="D31" s="179" t="s">
        <v>81</v>
      </c>
      <c r="E31" s="180" t="s">
        <v>2730</v>
      </c>
      <c r="F31" s="181"/>
      <c r="G31" s="179" t="s">
        <v>2732</v>
      </c>
      <c r="H31" s="186"/>
      <c r="I31" s="186"/>
      <c r="J31" s="187" t="s">
        <v>2735</v>
      </c>
      <c r="K31" s="187" t="s">
        <v>1894</v>
      </c>
      <c r="L31" s="184" t="str">
        <f>IFERROR(__xludf.DUMMYFUNCTION("ifna(IF(and(D31=""Saída"",J31=""Sangria""),if(sum(QUERY(IMPORTRANGE(""https://docs.google.com/spreadsheets/d/1E4szPcLzsqlw4uyBAoJ61L1ChCgpz4wVP8tHfHW1g_c"",""BD M Sangrias!a:i""),""select Col6 where Col7 = 'Depositada' and Col9 = '""&amp;K31&amp;""' and Col6 = """&amp;"&amp;M31&amp;"" and Col4 = date '""&amp;YEAR(C31)&amp;""-""&amp;MONTH(C31)&amp;""-""&amp;DAY(C31)&amp;""'""))&gt;0,""Depositada"",if(sum(QUERY(IMPORTRANGE(""https://docs.google.com/spreadsheets/d/1EcLIvUgMoBC5as4ikW0wuQsGH5yVZ6cQ1y16qEfgPnk"",""BD M Sangrias!a:i""),""select Col6 where Col7"&amp;" = 'Caixa Atendimento' and Col9 = '""&amp;K31&amp;""' and Col6 = ""&amp;M31&amp;"" and Col4 = date '""&amp;YEAR(C31)&amp;""-""&amp;MONTH(C31)&amp;""-""&amp;DAY(C31)&amp;""'""))&gt;0,""Caixa Atendimento"",""Caixa Sangria"")),""""),""Caixa Sangria"")"),"#REF!")</f>
        <v>#REF!</v>
      </c>
      <c r="M31" s="185">
        <f>IFERROR(__xludf.DUMMYFUNCTION("ifna(VALUE(REGEXEXTRACT(E31,""[0-9.]+[,]+[0-9]+"")))"),1600.0)</f>
        <v>1600</v>
      </c>
      <c r="N31" s="88"/>
      <c r="O31" s="89"/>
      <c r="P31" s="89"/>
      <c r="Q31" s="90"/>
      <c r="R31" s="91"/>
      <c r="S31" s="89"/>
      <c r="T31" s="89"/>
      <c r="U31" s="89"/>
      <c r="V31" s="90"/>
    </row>
    <row r="32" ht="14.25" customHeight="1">
      <c r="A32" s="178"/>
      <c r="B32" s="12">
        <v>1518358.0</v>
      </c>
      <c r="C32" s="13">
        <v>45815.87739583333</v>
      </c>
      <c r="D32" s="179" t="s">
        <v>81</v>
      </c>
      <c r="E32" s="180" t="s">
        <v>200</v>
      </c>
      <c r="F32" s="181"/>
      <c r="G32" s="179" t="s">
        <v>2756</v>
      </c>
      <c r="H32" s="186"/>
      <c r="I32" s="186"/>
      <c r="J32" s="187" t="s">
        <v>2735</v>
      </c>
      <c r="K32" s="187" t="s">
        <v>1894</v>
      </c>
      <c r="L32" s="184" t="str">
        <f>IFERROR(__xludf.DUMMYFUNCTION("ifna(IF(and(D32=""Saída"",J32=""Sangria""),if(sum(QUERY(IMPORTRANGE(""https://docs.google.com/spreadsheets/d/1E4szPcLzsqlw4uyBAoJ61L1ChCgpz4wVP8tHfHW1g_c"",""BD M Sangrias!a:i""),""select Col6 where Col7 = 'Depositada' and Col9 = '""&amp;K32&amp;""' and Col6 = """&amp;"&amp;M32&amp;"" and Col4 = date '""&amp;YEAR(C32)&amp;""-""&amp;MONTH(C32)&amp;""-""&amp;DAY(C32)&amp;""'""))&gt;0,""Depositada"",if(sum(QUERY(IMPORTRANGE(""https://docs.google.com/spreadsheets/d/1EcLIvUgMoBC5as4ikW0wuQsGH5yVZ6cQ1y16qEfgPnk"",""BD M Sangrias!a:i""),""select Col6 where Col7"&amp;" = 'Caixa Atendimento' and Col9 = '""&amp;K32&amp;""' and Col6 = ""&amp;M32&amp;"" and Col4 = date '""&amp;YEAR(C32)&amp;""-""&amp;MONTH(C32)&amp;""-""&amp;DAY(C32)&amp;""'""))&gt;0,""Caixa Atendimento"",""Caixa Sangria"")),""""),""Caixa Sangria"")"),"#REF!")</f>
        <v>#REF!</v>
      </c>
      <c r="M32" s="185">
        <f>IFERROR(__xludf.DUMMYFUNCTION("ifna(VALUE(REGEXEXTRACT(E32,""[0-9.]+[,]+[0-9]+"")))"),300.0)</f>
        <v>300</v>
      </c>
      <c r="N32" s="88"/>
      <c r="O32" s="89"/>
      <c r="P32" s="89"/>
      <c r="Q32" s="90"/>
      <c r="R32" s="91"/>
      <c r="S32" s="89"/>
      <c r="T32" s="89"/>
      <c r="U32" s="89"/>
      <c r="V32" s="90"/>
    </row>
    <row r="33" ht="14.25" customHeight="1">
      <c r="A33" s="178"/>
      <c r="B33" s="12">
        <v>1518408.0</v>
      </c>
      <c r="C33" s="13">
        <v>45815.89056712963</v>
      </c>
      <c r="D33" s="179" t="s">
        <v>152</v>
      </c>
      <c r="E33" s="180" t="s">
        <v>713</v>
      </c>
      <c r="F33" s="181"/>
      <c r="G33" s="179" t="s">
        <v>1126</v>
      </c>
      <c r="H33" s="186"/>
      <c r="I33" s="186"/>
      <c r="J33" s="187" t="s">
        <v>2669</v>
      </c>
      <c r="K33" s="187"/>
      <c r="L33" s="184" t="str">
        <f>IFERROR(__xludf.DUMMYFUNCTION("ifna(IF(and(D33=""Saída"",J33=""Sangria""),if(sum(QUERY(IMPORTRANGE(""https://docs.google.com/spreadsheets/d/1E4szPcLzsqlw4uyBAoJ61L1ChCgpz4wVP8tHfHW1g_c"",""BD M Sangrias!a:i""),""select Col6 where Col7 = 'Depositada' and Col9 = '""&amp;K33&amp;""' and Col6 = """&amp;"&amp;M33&amp;"" and Col4 = date '""&amp;YEAR(C33)&amp;""-""&amp;MONTH(C33)&amp;""-""&amp;DAY(C33)&amp;""'""))&gt;0,""Depositada"",if(sum(QUERY(IMPORTRANGE(""https://docs.google.com/spreadsheets/d/1EcLIvUgMoBC5as4ikW0wuQsGH5yVZ6cQ1y16qEfgPnk"",""BD M Sangrias!a:i""),""select Col6 where Col7"&amp;" = 'Caixa Atendimento' and Col9 = '""&amp;K33&amp;""' and Col6 = ""&amp;M33&amp;"" and Col4 = date '""&amp;YEAR(C33)&amp;""-""&amp;MONTH(C33)&amp;""-""&amp;DAY(C33)&amp;""'""))&gt;0,""Caixa Atendimento"",""Caixa Sangria"")),""""),""Caixa Sangria"")"),"")</f>
        <v/>
      </c>
      <c r="M33" s="185">
        <f>IFERROR(__xludf.DUMMYFUNCTION("ifna(VALUE(REGEXEXTRACT(E33,""[0-9.]+[,]+[0-9]+"")))"),50.0)</f>
        <v>50</v>
      </c>
      <c r="N33" s="88"/>
      <c r="O33" s="89"/>
      <c r="P33" s="89"/>
      <c r="Q33" s="90"/>
      <c r="R33" s="91"/>
      <c r="S33" s="89"/>
      <c r="T33" s="89"/>
      <c r="U33" s="89"/>
      <c r="V33" s="90"/>
    </row>
    <row r="34" ht="14.25" customHeight="1">
      <c r="A34" s="178"/>
      <c r="B34" s="12">
        <v>1518502.0</v>
      </c>
      <c r="C34" s="13">
        <v>45815.90993055556</v>
      </c>
      <c r="D34" s="179" t="s">
        <v>81</v>
      </c>
      <c r="E34" s="180" t="s">
        <v>2793</v>
      </c>
      <c r="F34" s="181"/>
      <c r="G34" s="179" t="s">
        <v>2796</v>
      </c>
      <c r="H34" s="186"/>
      <c r="I34" s="186"/>
      <c r="J34" s="187" t="s">
        <v>2438</v>
      </c>
      <c r="K34" s="187"/>
      <c r="L34" s="184" t="str">
        <f>IFERROR(__xludf.DUMMYFUNCTION("ifna(IF(and(D34=""Saída"",J34=""Sangria""),if(sum(QUERY(IMPORTRANGE(""https://docs.google.com/spreadsheets/d/1E4szPcLzsqlw4uyBAoJ61L1ChCgpz4wVP8tHfHW1g_c"",""BD M Sangrias!a:i""),""select Col6 where Col7 = 'Depositada' and Col9 = '""&amp;K34&amp;""' and Col6 = """&amp;"&amp;M34&amp;"" and Col4 = date '""&amp;YEAR(C34)&amp;""-""&amp;MONTH(C34)&amp;""-""&amp;DAY(C34)&amp;""'""))&gt;0,""Depositada"",if(sum(QUERY(IMPORTRANGE(""https://docs.google.com/spreadsheets/d/1EcLIvUgMoBC5as4ikW0wuQsGH5yVZ6cQ1y16qEfgPnk"",""BD M Sangrias!a:i""),""select Col6 where Col7"&amp;" = 'Caixa Atendimento' and Col9 = '""&amp;K34&amp;""' and Col6 = ""&amp;M34&amp;"" and Col4 = date '""&amp;YEAR(C34)&amp;""-""&amp;MONTH(C34)&amp;""-""&amp;DAY(C34)&amp;""'""))&gt;0,""Caixa Atendimento"",""Caixa Sangria"")),""""),""Caixa Sangria"")"),"")</f>
        <v/>
      </c>
      <c r="M34" s="185">
        <f>IFERROR(__xludf.DUMMYFUNCTION("ifna(VALUE(REGEXEXTRACT(E34,""[0-9.]+[,]+[0-9]+"")))"),42.85)</f>
        <v>42.85</v>
      </c>
      <c r="N34" s="108"/>
      <c r="O34" s="109"/>
      <c r="P34" s="109"/>
      <c r="Q34" s="109"/>
      <c r="R34" s="110"/>
      <c r="S34" s="109"/>
      <c r="T34" s="109"/>
      <c r="U34" s="109"/>
      <c r="V34" s="111"/>
    </row>
    <row r="35" ht="18.75" customHeight="1">
      <c r="A35" s="178"/>
      <c r="B35" s="12">
        <v>1518503.0</v>
      </c>
      <c r="C35" s="13">
        <v>45815.90993055556</v>
      </c>
      <c r="D35" s="179" t="s">
        <v>81</v>
      </c>
      <c r="E35" s="180" t="s">
        <v>2818</v>
      </c>
      <c r="F35" s="181"/>
      <c r="G35" s="179" t="s">
        <v>2820</v>
      </c>
      <c r="H35" s="186"/>
      <c r="I35" s="186"/>
      <c r="J35" s="187" t="s">
        <v>1782</v>
      </c>
      <c r="K35" s="187"/>
      <c r="L35" s="184" t="str">
        <f>IFERROR(__xludf.DUMMYFUNCTION("ifna(IF(and(D35=""Saída"",J35=""Sangria""),if(sum(QUERY(IMPORTRANGE(""https://docs.google.com/spreadsheets/d/1E4szPcLzsqlw4uyBAoJ61L1ChCgpz4wVP8tHfHW1g_c"",""BD M Sangrias!a:i""),""select Col6 where Col7 = 'Depositada' and Col9 = '""&amp;K35&amp;""' and Col6 = """&amp;"&amp;M35&amp;"" and Col4 = date '""&amp;YEAR(C35)&amp;""-""&amp;MONTH(C35)&amp;""-""&amp;DAY(C35)&amp;""'""))&gt;0,""Depositada"",if(sum(QUERY(IMPORTRANGE(""https://docs.google.com/spreadsheets/d/1EcLIvUgMoBC5as4ikW0wuQsGH5yVZ6cQ1y16qEfgPnk"",""BD M Sangrias!a:i""),""select Col6 where Col7"&amp;" = 'Caixa Atendimento' and Col9 = '""&amp;K35&amp;""' and Col6 = ""&amp;M35&amp;"" and Col4 = date '""&amp;YEAR(C35)&amp;""-""&amp;MONTH(C35)&amp;""-""&amp;DAY(C35)&amp;""'""))&gt;0,""Caixa Atendimento"",""Caixa Sangria"")),""""),""Caixa Sangria"")"),"")</f>
        <v/>
      </c>
      <c r="M35" s="185">
        <f>IFERROR(__xludf.DUMMYFUNCTION("ifna(VALUE(REGEXEXTRACT(E35,""[0-9.]+[,]+[0-9]+"")))"),111.0)</f>
        <v>111</v>
      </c>
    </row>
    <row r="36" ht="14.25" customHeight="1">
      <c r="A36" s="178"/>
      <c r="B36" s="12">
        <v>1518538.0</v>
      </c>
      <c r="C36" s="13">
        <v>45815.915</v>
      </c>
      <c r="D36" s="179" t="s">
        <v>81</v>
      </c>
      <c r="E36" s="180" t="s">
        <v>2834</v>
      </c>
      <c r="F36" s="181"/>
      <c r="G36" s="179" t="s">
        <v>2838</v>
      </c>
      <c r="H36" s="186"/>
      <c r="I36" s="186"/>
      <c r="J36" s="187" t="s">
        <v>1782</v>
      </c>
      <c r="K36" s="187"/>
      <c r="L36" s="184" t="str">
        <f>IFERROR(__xludf.DUMMYFUNCTION("ifna(IF(and(D36=""Saída"",J36=""Sangria""),if(sum(QUERY(IMPORTRANGE(""https://docs.google.com/spreadsheets/d/1E4szPcLzsqlw4uyBAoJ61L1ChCgpz4wVP8tHfHW1g_c"",""BD M Sangrias!a:i""),""select Col6 where Col7 = 'Depositada' and Col9 = '""&amp;K36&amp;""' and Col6 = """&amp;"&amp;M36&amp;"" and Col4 = date '""&amp;YEAR(C36)&amp;""-""&amp;MONTH(C36)&amp;""-""&amp;DAY(C36)&amp;""'""))&gt;0,""Depositada"",if(sum(QUERY(IMPORTRANGE(""https://docs.google.com/spreadsheets/d/1EcLIvUgMoBC5as4ikW0wuQsGH5yVZ6cQ1y16qEfgPnk"",""BD M Sangrias!a:i""),""select Col6 where Col7"&amp;" = 'Caixa Atendimento' and Col9 = '""&amp;K36&amp;""' and Col6 = ""&amp;M36&amp;"" and Col4 = date '""&amp;YEAR(C36)&amp;""-""&amp;MONTH(C36)&amp;""-""&amp;DAY(C36)&amp;""'""))&gt;0,""Caixa Atendimento"",""Caixa Sangria"")),""""),""Caixa Sangria"")"),"")</f>
        <v/>
      </c>
      <c r="M36" s="185">
        <f>IFERROR(__xludf.DUMMYFUNCTION("ifna(VALUE(REGEXEXTRACT(E36,""[0-9.]+[,]+[0-9]+"")))"),78.0)</f>
        <v>78</v>
      </c>
    </row>
    <row r="37" ht="14.25" customHeight="1">
      <c r="A37" s="178"/>
      <c r="B37" s="12">
        <v>1518544.0</v>
      </c>
      <c r="C37" s="13">
        <v>45815.91579861111</v>
      </c>
      <c r="D37" s="179" t="s">
        <v>81</v>
      </c>
      <c r="E37" s="180" t="s">
        <v>823</v>
      </c>
      <c r="F37" s="181"/>
      <c r="G37" s="179" t="s">
        <v>2860</v>
      </c>
      <c r="H37" s="186"/>
      <c r="I37" s="186"/>
      <c r="J37" s="187" t="s">
        <v>1782</v>
      </c>
      <c r="K37" s="187"/>
      <c r="L37" s="184" t="str">
        <f>IFERROR(__xludf.DUMMYFUNCTION("ifna(IF(and(D37=""Saída"",J37=""Sangria""),if(sum(QUERY(IMPORTRANGE(""https://docs.google.com/spreadsheets/d/1E4szPcLzsqlw4uyBAoJ61L1ChCgpz4wVP8tHfHW1g_c"",""BD M Sangrias!a:i""),""select Col6 where Col7 = 'Depositada' and Col9 = '""&amp;K37&amp;""' and Col6 = """&amp;"&amp;M37&amp;"" and Col4 = date '""&amp;YEAR(C37)&amp;""-""&amp;MONTH(C37)&amp;""-""&amp;DAY(C37)&amp;""'""))&gt;0,""Depositada"",if(sum(QUERY(IMPORTRANGE(""https://docs.google.com/spreadsheets/d/1EcLIvUgMoBC5as4ikW0wuQsGH5yVZ6cQ1y16qEfgPnk"",""BD M Sangrias!a:i""),""select Col6 where Col7"&amp;" = 'Caixa Atendimento' and Col9 = '""&amp;K37&amp;""' and Col6 = ""&amp;M37&amp;"" and Col4 = date '""&amp;YEAR(C37)&amp;""-""&amp;MONTH(C37)&amp;""-""&amp;DAY(C37)&amp;""'""))&gt;0,""Caixa Atendimento"",""Caixa Sangria"")),""""),""Caixa Sangria"")"),"")</f>
        <v/>
      </c>
      <c r="M37" s="185">
        <f>IFERROR(__xludf.DUMMYFUNCTION("ifna(VALUE(REGEXEXTRACT(E37,""[0-9.]+[,]+[0-9]+"")))"),120.0)</f>
        <v>120</v>
      </c>
    </row>
    <row r="38" ht="14.25" customHeight="1">
      <c r="A38" s="178"/>
      <c r="B38" s="12">
        <v>1518545.0</v>
      </c>
      <c r="C38" s="13">
        <v>45815.9158912037</v>
      </c>
      <c r="D38" s="179" t="s">
        <v>152</v>
      </c>
      <c r="E38" s="180" t="s">
        <v>713</v>
      </c>
      <c r="F38" s="188"/>
      <c r="G38" s="179" t="s">
        <v>1126</v>
      </c>
      <c r="H38" s="186"/>
      <c r="I38" s="186"/>
      <c r="J38" s="187" t="s">
        <v>2669</v>
      </c>
      <c r="K38" s="187"/>
      <c r="L38" s="184" t="str">
        <f>IFERROR(__xludf.DUMMYFUNCTION("ifna(IF(and(D38=""Saída"",J38=""Sangria""),if(sum(QUERY(IMPORTRANGE(""https://docs.google.com/spreadsheets/d/1E4szPcLzsqlw4uyBAoJ61L1ChCgpz4wVP8tHfHW1g_c"",""BD M Sangrias!a:i""),""select Col6 where Col7 = 'Depositada' and Col9 = '""&amp;K38&amp;""' and Col6 = """&amp;"&amp;M38&amp;"" and Col4 = date '""&amp;YEAR(C38)&amp;""-""&amp;MONTH(C38)&amp;""-""&amp;DAY(C38)&amp;""'""))&gt;0,""Depositada"",if(sum(QUERY(IMPORTRANGE(""https://docs.google.com/spreadsheets/d/1EcLIvUgMoBC5as4ikW0wuQsGH5yVZ6cQ1y16qEfgPnk"",""BD M Sangrias!a:i""),""select Col6 where Col7"&amp;" = 'Caixa Atendimento' and Col9 = '""&amp;K38&amp;""' and Col6 = ""&amp;M38&amp;"" and Col4 = date '""&amp;YEAR(C38)&amp;""-""&amp;MONTH(C38)&amp;""-""&amp;DAY(C38)&amp;""'""))&gt;0,""Caixa Atendimento"",""Caixa Sangria"")),""""),""Caixa Sangria"")"),"")</f>
        <v/>
      </c>
      <c r="M38" s="185">
        <f>IFERROR(__xludf.DUMMYFUNCTION("ifna(VALUE(REGEXEXTRACT(E38,""[0-9.]+[,]+[0-9]+"")))"),50.0)</f>
        <v>50</v>
      </c>
    </row>
    <row r="39" ht="21.75" customHeight="1">
      <c r="A39" s="178"/>
      <c r="B39" s="12">
        <v>1519168.0</v>
      </c>
      <c r="C39" s="13">
        <v>45816.582662037035</v>
      </c>
      <c r="D39" s="179" t="s">
        <v>81</v>
      </c>
      <c r="E39" s="180" t="s">
        <v>2877</v>
      </c>
      <c r="F39" s="181"/>
      <c r="G39" s="179" t="s">
        <v>2881</v>
      </c>
      <c r="H39" s="186"/>
      <c r="I39" s="186"/>
      <c r="J39" s="187" t="s">
        <v>2438</v>
      </c>
      <c r="K39" s="187"/>
      <c r="L39" s="184" t="str">
        <f>IFERROR(__xludf.DUMMYFUNCTION("ifna(IF(and(D39=""Saída"",J39=""Sangria""),if(sum(QUERY(IMPORTRANGE(""https://docs.google.com/spreadsheets/d/1E4szPcLzsqlw4uyBAoJ61L1ChCgpz4wVP8tHfHW1g_c"",""BD M Sangrias!a:i""),""select Col6 where Col7 = 'Depositada' and Col9 = '""&amp;K39&amp;""' and Col6 = """&amp;"&amp;M39&amp;"" and Col4 = date '""&amp;YEAR(C39)&amp;""-""&amp;MONTH(C39)&amp;""-""&amp;DAY(C39)&amp;""'""))&gt;0,""Depositada"",if(sum(QUERY(IMPORTRANGE(""https://docs.google.com/spreadsheets/d/1EcLIvUgMoBC5as4ikW0wuQsGH5yVZ6cQ1y16qEfgPnk"",""BD M Sangrias!a:i""),""select Col6 where Col7"&amp;" = 'Caixa Atendimento' and Col9 = '""&amp;K39&amp;""' and Col6 = ""&amp;M39&amp;"" and Col4 = date '""&amp;YEAR(C39)&amp;""-""&amp;MONTH(C39)&amp;""-""&amp;DAY(C39)&amp;""'""))&gt;0,""Caixa Atendimento"",""Caixa Sangria"")),""""),""Caixa Sangria"")"),"")</f>
        <v/>
      </c>
      <c r="M39" s="185">
        <f>IFERROR(__xludf.DUMMYFUNCTION("ifna(VALUE(REGEXEXTRACT(E39,""[0-9.]+[,]+[0-9]+"")))"),29.0)</f>
        <v>29</v>
      </c>
    </row>
    <row r="40" ht="14.25" customHeight="1">
      <c r="A40" s="178"/>
      <c r="B40" s="12">
        <v>1519172.0</v>
      </c>
      <c r="C40" s="13">
        <v>45816.583136574074</v>
      </c>
      <c r="D40" s="179" t="s">
        <v>81</v>
      </c>
      <c r="E40" s="180" t="s">
        <v>1075</v>
      </c>
      <c r="F40" s="181"/>
      <c r="G40" s="179" t="s">
        <v>2881</v>
      </c>
      <c r="H40" s="186"/>
      <c r="I40" s="186"/>
      <c r="J40" s="187" t="s">
        <v>2438</v>
      </c>
      <c r="K40" s="187"/>
      <c r="L40" s="184" t="str">
        <f>IFERROR(__xludf.DUMMYFUNCTION("ifna(IF(and(D40=""Saída"",J40=""Sangria""),if(sum(QUERY(IMPORTRANGE(""https://docs.google.com/spreadsheets/d/1E4szPcLzsqlw4uyBAoJ61L1ChCgpz4wVP8tHfHW1g_c"",""BD M Sangrias!a:i""),""select Col6 where Col7 = 'Depositada' and Col9 = '""&amp;K40&amp;""' and Col6 = """&amp;"&amp;M40&amp;"" and Col4 = date '""&amp;YEAR(C40)&amp;""-""&amp;MONTH(C40)&amp;""-""&amp;DAY(C40)&amp;""'""))&gt;0,""Depositada"",if(sum(QUERY(IMPORTRANGE(""https://docs.google.com/spreadsheets/d/1EcLIvUgMoBC5as4ikW0wuQsGH5yVZ6cQ1y16qEfgPnk"",""BD M Sangrias!a:i""),""select Col6 where Col7"&amp;" = 'Caixa Atendimento' and Col9 = '""&amp;K40&amp;""' and Col6 = ""&amp;M40&amp;"" and Col4 = date '""&amp;YEAR(C40)&amp;""-""&amp;MONTH(C40)&amp;""-""&amp;DAY(C40)&amp;""'""))&gt;0,""Caixa Atendimento"",""Caixa Sangria"")),""""),""Caixa Sangria"")"),"")</f>
        <v/>
      </c>
      <c r="M40" s="185">
        <f>IFERROR(__xludf.DUMMYFUNCTION("ifna(VALUE(REGEXEXTRACT(E40,""[0-9.]+[,]+[0-9]+"")))"),19.0)</f>
        <v>19</v>
      </c>
    </row>
    <row r="41" ht="14.25" customHeight="1">
      <c r="A41" s="178"/>
      <c r="B41" s="12">
        <v>1519550.0</v>
      </c>
      <c r="C41" s="13">
        <v>45816.717094907406</v>
      </c>
      <c r="D41" s="179" t="s">
        <v>81</v>
      </c>
      <c r="E41" s="180" t="s">
        <v>2900</v>
      </c>
      <c r="F41" s="181"/>
      <c r="G41" s="179" t="s">
        <v>2902</v>
      </c>
      <c r="H41" s="186"/>
      <c r="I41" s="186"/>
      <c r="J41" s="187" t="s">
        <v>2735</v>
      </c>
      <c r="K41" s="187" t="s">
        <v>1894</v>
      </c>
      <c r="L41" s="184" t="str">
        <f>IFERROR(__xludf.DUMMYFUNCTION("ifna(IF(and(D41=""Saída"",J41=""Sangria""),if(sum(QUERY(IMPORTRANGE(""https://docs.google.com/spreadsheets/d/1E4szPcLzsqlw4uyBAoJ61L1ChCgpz4wVP8tHfHW1g_c"",""BD M Sangrias!a:i""),""select Col6 where Col7 = 'Depositada' and Col9 = '""&amp;K41&amp;""' and Col6 = """&amp;"&amp;M41&amp;"" and Col4 = date '""&amp;YEAR(C41)&amp;""-""&amp;MONTH(C41)&amp;""-""&amp;DAY(C41)&amp;""'""))&gt;0,""Depositada"",if(sum(QUERY(IMPORTRANGE(""https://docs.google.com/spreadsheets/d/1EcLIvUgMoBC5as4ikW0wuQsGH5yVZ6cQ1y16qEfgPnk"",""BD M Sangrias!a:i""),""select Col6 where Col7"&amp;" = 'Caixa Atendimento' and Col9 = '""&amp;K41&amp;""' and Col6 = ""&amp;M41&amp;"" and Col4 = date '""&amp;YEAR(C41)&amp;""-""&amp;MONTH(C41)&amp;""-""&amp;DAY(C41)&amp;""'""))&gt;0,""Caixa Atendimento"",""Caixa Sangria"")),""""),""Caixa Sangria"")"),"#REF!")</f>
        <v>#REF!</v>
      </c>
      <c r="M41" s="185">
        <f>IFERROR(__xludf.DUMMYFUNCTION("ifna(VALUE(REGEXEXTRACT(E41,""[0-9.]+[,]+[0-9]+"")))"),2300.0)</f>
        <v>2300</v>
      </c>
    </row>
    <row r="42" ht="14.25" customHeight="1">
      <c r="A42" s="178"/>
      <c r="B42" s="12">
        <v>1519939.0</v>
      </c>
      <c r="C42" s="13">
        <v>45816.80359953704</v>
      </c>
      <c r="D42" s="179" t="s">
        <v>81</v>
      </c>
      <c r="E42" s="180" t="s">
        <v>823</v>
      </c>
      <c r="F42" s="181"/>
      <c r="G42" s="179" t="s">
        <v>1782</v>
      </c>
      <c r="H42" s="186"/>
      <c r="I42" s="186"/>
      <c r="J42" s="187" t="s">
        <v>1782</v>
      </c>
      <c r="K42" s="187"/>
      <c r="L42" s="184" t="str">
        <f>IFERROR(__xludf.DUMMYFUNCTION("ifna(IF(and(D42=""Saída"",J42=""Sangria""),if(sum(QUERY(IMPORTRANGE(""https://docs.google.com/spreadsheets/d/1E4szPcLzsqlw4uyBAoJ61L1ChCgpz4wVP8tHfHW1g_c"",""BD M Sangrias!a:i""),""select Col6 where Col7 = 'Depositada' and Col9 = '""&amp;K42&amp;""' and Col6 = """&amp;"&amp;M42&amp;"" and Col4 = date '""&amp;YEAR(C42)&amp;""-""&amp;MONTH(C42)&amp;""-""&amp;DAY(C42)&amp;""'""))&gt;0,""Depositada"",if(sum(QUERY(IMPORTRANGE(""https://docs.google.com/spreadsheets/d/1EcLIvUgMoBC5as4ikW0wuQsGH5yVZ6cQ1y16qEfgPnk"",""BD M Sangrias!a:i""),""select Col6 where Col7"&amp;" = 'Caixa Atendimento' and Col9 = '""&amp;K42&amp;""' and Col6 = ""&amp;M42&amp;"" and Col4 = date '""&amp;YEAR(C42)&amp;""-""&amp;MONTH(C42)&amp;""-""&amp;DAY(C42)&amp;""'""))&gt;0,""Caixa Atendimento"",""Caixa Sangria"")),""""),""Caixa Sangria"")"),"")</f>
        <v/>
      </c>
      <c r="M42" s="185">
        <f>IFERROR(__xludf.DUMMYFUNCTION("ifna(VALUE(REGEXEXTRACT(E42,""[0-9.]+[,]+[0-9]+"")))"),120.0)</f>
        <v>120</v>
      </c>
    </row>
    <row r="43" ht="14.25" customHeight="1">
      <c r="A43" s="178"/>
      <c r="B43" s="12">
        <v>1520028.0</v>
      </c>
      <c r="C43" s="13">
        <v>45816.82886574074</v>
      </c>
      <c r="D43" s="179" t="s">
        <v>81</v>
      </c>
      <c r="E43" s="180" t="s">
        <v>200</v>
      </c>
      <c r="F43" s="181"/>
      <c r="G43" s="179" t="s">
        <v>2924</v>
      </c>
      <c r="H43" s="189"/>
      <c r="I43" s="189"/>
      <c r="J43" s="187" t="s">
        <v>2735</v>
      </c>
      <c r="K43" s="187" t="s">
        <v>1894</v>
      </c>
      <c r="L43" s="184" t="str">
        <f>IFERROR(__xludf.DUMMYFUNCTION("ifna(IF(and(D43=""Saída"",J43=""Sangria""),if(sum(QUERY(IMPORTRANGE(""https://docs.google.com/spreadsheets/d/1E4szPcLzsqlw4uyBAoJ61L1ChCgpz4wVP8tHfHW1g_c"",""BD M Sangrias!a:i""),""select Col6 where Col7 = 'Depositada' and Col9 = '""&amp;K43&amp;""' and Col6 = """&amp;"&amp;M43&amp;"" and Col4 = date '""&amp;YEAR(C43)&amp;""-""&amp;MONTH(C43)&amp;""-""&amp;DAY(C43)&amp;""'""))&gt;0,""Depositada"",if(sum(QUERY(IMPORTRANGE(""https://docs.google.com/spreadsheets/d/1EcLIvUgMoBC5as4ikW0wuQsGH5yVZ6cQ1y16qEfgPnk"",""BD M Sangrias!a:i""),""select Col6 where Col7"&amp;" = 'Caixa Atendimento' and Col9 = '""&amp;K43&amp;""' and Col6 = ""&amp;M43&amp;"" and Col4 = date '""&amp;YEAR(C43)&amp;""-""&amp;MONTH(C43)&amp;""-""&amp;DAY(C43)&amp;""'""))&gt;0,""Caixa Atendimento"",""Caixa Sangria"")),""""),""Caixa Sangria"")"),"#REF!")</f>
        <v>#REF!</v>
      </c>
      <c r="M43" s="185">
        <f>IFERROR(__xludf.DUMMYFUNCTION("ifna(VALUE(REGEXEXTRACT(E43,""[0-9.]+[,]+[0-9]+"")))"),300.0)</f>
        <v>300</v>
      </c>
    </row>
    <row r="44" ht="14.25" customHeight="1">
      <c r="A44" s="178"/>
      <c r="B44" s="12">
        <v>1520860.0</v>
      </c>
      <c r="C44" s="13">
        <v>45816.9637037037</v>
      </c>
      <c r="D44" s="179" t="s">
        <v>81</v>
      </c>
      <c r="E44" s="180" t="s">
        <v>2938</v>
      </c>
      <c r="F44" s="181"/>
      <c r="G44" s="179" t="s">
        <v>2939</v>
      </c>
      <c r="H44" s="189"/>
      <c r="I44" s="189"/>
      <c r="J44" s="187" t="s">
        <v>1782</v>
      </c>
      <c r="K44" s="187"/>
      <c r="L44" s="184" t="str">
        <f>IFERROR(__xludf.DUMMYFUNCTION("ifna(IF(and(D44=""Saída"",J44=""Sangria""),if(sum(QUERY(IMPORTRANGE(""https://docs.google.com/spreadsheets/d/1E4szPcLzsqlw4uyBAoJ61L1ChCgpz4wVP8tHfHW1g_c"",""BD M Sangrias!a:i""),""select Col6 where Col7 = 'Depositada' and Col9 = '""&amp;K44&amp;""' and Col6 = """&amp;"&amp;M44&amp;"" and Col4 = date '""&amp;YEAR(C44)&amp;""-""&amp;MONTH(C44)&amp;""-""&amp;DAY(C44)&amp;""'""))&gt;0,""Depositada"",if(sum(QUERY(IMPORTRANGE(""https://docs.google.com/spreadsheets/d/1EcLIvUgMoBC5as4ikW0wuQsGH5yVZ6cQ1y16qEfgPnk"",""BD M Sangrias!a:i""),""select Col6 where Col7"&amp;" = 'Caixa Atendimento' and Col9 = '""&amp;K44&amp;""' and Col6 = ""&amp;M44&amp;"" and Col4 = date '""&amp;YEAR(C44)&amp;""-""&amp;MONTH(C44)&amp;""-""&amp;DAY(C44)&amp;""'""))&gt;0,""Caixa Atendimento"",""Caixa Sangria"")),""""),""Caixa Sangria"")"),"")</f>
        <v/>
      </c>
      <c r="M44" s="185">
        <f>IFERROR(__xludf.DUMMYFUNCTION("ifna(VALUE(REGEXEXTRACT(E44,""[0-9.]+[,]+[0-9]+"")))"),122.0)</f>
        <v>122</v>
      </c>
    </row>
    <row r="45" ht="14.25" customHeight="1">
      <c r="A45" s="178"/>
      <c r="B45" s="12">
        <v>1520861.0</v>
      </c>
      <c r="C45" s="13">
        <v>45816.96417824074</v>
      </c>
      <c r="D45" s="179" t="s">
        <v>81</v>
      </c>
      <c r="E45" s="180" t="s">
        <v>2949</v>
      </c>
      <c r="F45" s="181"/>
      <c r="G45" s="179" t="s">
        <v>2952</v>
      </c>
      <c r="H45" s="190"/>
      <c r="I45" s="190"/>
      <c r="J45" s="187" t="s">
        <v>1782</v>
      </c>
      <c r="K45" s="187"/>
      <c r="L45" s="184" t="str">
        <f>IFERROR(__xludf.DUMMYFUNCTION("ifna(IF(and(D45=""Saída"",J45=""Sangria""),if(sum(QUERY(IMPORTRANGE(""https://docs.google.com/spreadsheets/d/1E4szPcLzsqlw4uyBAoJ61L1ChCgpz4wVP8tHfHW1g_c"",""BD M Sangrias!a:i""),""select Col6 where Col7 = 'Depositada' and Col9 = '""&amp;K45&amp;""' and Col6 = """&amp;"&amp;M45&amp;"" and Col4 = date '""&amp;YEAR(C45)&amp;""-""&amp;MONTH(C45)&amp;""-""&amp;DAY(C45)&amp;""'""))&gt;0,""Depositada"",if(sum(QUERY(IMPORTRANGE(""https://docs.google.com/spreadsheets/d/1EcLIvUgMoBC5as4ikW0wuQsGH5yVZ6cQ1y16qEfgPnk"",""BD M Sangrias!a:i""),""select Col6 where Col7"&amp;" = 'Caixa Atendimento' and Col9 = '""&amp;K45&amp;""' and Col6 = ""&amp;M45&amp;"" and Col4 = date '""&amp;YEAR(C45)&amp;""-""&amp;MONTH(C45)&amp;""-""&amp;DAY(C45)&amp;""'""))&gt;0,""Caixa Atendimento"",""Caixa Sangria"")),""""),""Caixa Sangria"")"),"")</f>
        <v/>
      </c>
      <c r="M45" s="185">
        <f>IFERROR(__xludf.DUMMYFUNCTION("ifna(VALUE(REGEXEXTRACT(E45,""[0-9.]+[,]+[0-9]+"")))"),121.0)</f>
        <v>121</v>
      </c>
    </row>
    <row r="46" ht="18.75" customHeight="1">
      <c r="A46" s="178"/>
      <c r="B46" s="12">
        <v>1521062.0</v>
      </c>
      <c r="C46" s="13">
        <v>45817.51641203704</v>
      </c>
      <c r="D46" s="179" t="s">
        <v>81</v>
      </c>
      <c r="E46" s="180" t="s">
        <v>146</v>
      </c>
      <c r="F46" s="181"/>
      <c r="G46" s="179" t="s">
        <v>128</v>
      </c>
      <c r="H46" s="190"/>
      <c r="I46" s="190"/>
      <c r="J46" s="187" t="s">
        <v>2735</v>
      </c>
      <c r="K46" s="187" t="s">
        <v>1894</v>
      </c>
      <c r="L46" s="184" t="str">
        <f>IFERROR(__xludf.DUMMYFUNCTION("ifna(IF(and(D46=""Saída"",J46=""Sangria""),if(sum(QUERY(IMPORTRANGE(""https://docs.google.com/spreadsheets/d/1E4szPcLzsqlw4uyBAoJ61L1ChCgpz4wVP8tHfHW1g_c"",""BD M Sangrias!a:i""),""select Col6 where Col7 = 'Depositada' and Col9 = '""&amp;K46&amp;""' and Col6 = """&amp;"&amp;M46&amp;"" and Col4 = date '""&amp;YEAR(C46)&amp;""-""&amp;MONTH(C46)&amp;""-""&amp;DAY(C46)&amp;""'""))&gt;0,""Depositada"",if(sum(QUERY(IMPORTRANGE(""https://docs.google.com/spreadsheets/d/1EcLIvUgMoBC5as4ikW0wuQsGH5yVZ6cQ1y16qEfgPnk"",""BD M Sangrias!a:i""),""select Col6 where Col7"&amp;" = 'Caixa Atendimento' and Col9 = '""&amp;K46&amp;""' and Col6 = ""&amp;M46&amp;"" and Col4 = date '""&amp;YEAR(C46)&amp;""-""&amp;MONTH(C46)&amp;""-""&amp;DAY(C46)&amp;""'""))&gt;0,""Caixa Atendimento"",""Caixa Sangria"")),""""),""Caixa Sangria"")"),"#REF!")</f>
        <v>#REF!</v>
      </c>
      <c r="M46" s="185">
        <f>IFERROR(__xludf.DUMMYFUNCTION("ifna(VALUE(REGEXEXTRACT(E46,""[0-9.]+[,]+[0-9]+"")))"),400.0)</f>
        <v>400</v>
      </c>
    </row>
    <row r="47" ht="14.25" customHeight="1">
      <c r="A47" s="178"/>
      <c r="B47" s="12">
        <v>1521814.0</v>
      </c>
      <c r="C47" s="13">
        <v>45817.84695601852</v>
      </c>
      <c r="D47" s="179" t="s">
        <v>81</v>
      </c>
      <c r="E47" s="180" t="s">
        <v>2975</v>
      </c>
      <c r="F47" s="181"/>
      <c r="G47" s="179" t="s">
        <v>2881</v>
      </c>
      <c r="H47" s="190"/>
      <c r="I47" s="190"/>
      <c r="J47" s="187" t="s">
        <v>2438</v>
      </c>
      <c r="K47" s="191"/>
      <c r="L47" s="184" t="str">
        <f>IFERROR(__xludf.DUMMYFUNCTION("ifna(IF(and(D47=""Saída"",J47=""Sangria""),if(sum(QUERY(IMPORTRANGE(""https://docs.google.com/spreadsheets/d/1E4szPcLzsqlw4uyBAoJ61L1ChCgpz4wVP8tHfHW1g_c"",""BD M Sangrias!a:i""),""select Col6 where Col7 = 'Depositada' and Col9 = '""&amp;K48&amp;""' and Col6 = """&amp;"&amp;M47&amp;"" and Col4 = date '""&amp;YEAR(C47)&amp;""-""&amp;MONTH(C47)&amp;""-""&amp;DAY(C47)&amp;""'""))&gt;0,""Depositada"",if(sum(QUERY(IMPORTRANGE(""https://docs.google.com/spreadsheets/d/1EcLIvUgMoBC5as4ikW0wuQsGH5yVZ6cQ1y16qEfgPnk"",""BD M Sangrias!a:i""),""select Col6 where Col7"&amp;" = 'Caixa Atendimento' and Col9 = '""&amp;K48&amp;""' and Col6 = ""&amp;M47&amp;"" and Col4 = date '""&amp;YEAR(C47)&amp;""-""&amp;MONTH(C47)&amp;""-""&amp;DAY(C47)&amp;""'""))&gt;0,""Caixa Atendimento"",""Caixa Sangria"")),""""),""Caixa Sangria"")"),"")</f>
        <v/>
      </c>
      <c r="M47" s="185">
        <f>IFERROR(__xludf.DUMMYFUNCTION("ifna(VALUE(REGEXEXTRACT(E47,""[0-9.]+[,]+[0-9]+"")))"),38.62)</f>
        <v>38.62</v>
      </c>
    </row>
    <row r="48">
      <c r="A48" s="178"/>
      <c r="B48" s="12">
        <v>1521872.0</v>
      </c>
      <c r="C48" s="13">
        <v>45817.87814814815</v>
      </c>
      <c r="D48" s="179" t="s">
        <v>152</v>
      </c>
      <c r="E48" s="180" t="s">
        <v>416</v>
      </c>
      <c r="F48" s="188"/>
      <c r="G48" s="179" t="s">
        <v>1126</v>
      </c>
      <c r="H48" s="190"/>
      <c r="I48" s="190"/>
      <c r="J48" s="187" t="s">
        <v>2669</v>
      </c>
      <c r="K48" s="187"/>
      <c r="L48" s="184" t="str">
        <f>IFERROR(__xludf.DUMMYFUNCTION("ifna(IF(and(D48=""Saída"",J48=""Sangria""),if(sum(QUERY(IMPORTRANGE(""https://docs.google.com/spreadsheets/d/1E4szPcLzsqlw4uyBAoJ61L1ChCgpz4wVP8tHfHW1g_c"",""BD M Sangrias!a:i""),""select Col6 where Col7 = 'Depositada' and Col9 = '""&amp;#REF!&amp;""' and Col6 = "&amp;"""&amp;M48&amp;"" and Col4 = date '""&amp;YEAR(C48)&amp;""-""&amp;MONTH(C48)&amp;""-""&amp;DAY(C48)&amp;""'""))&gt;0,""Depositada"",if(sum(QUERY(IMPORTRANGE(""https://docs.google.com/spreadsheets/d/1EcLIvUgMoBC5as4ikW0wuQsGH5yVZ6cQ1y16qEfgPnk"",""BD M Sangrias!a:i""),""select Col6 where Co"&amp;"l7 = 'Caixa Atendimento' and Col9 = '""&amp;#REF!&amp;""' and Col6 = ""&amp;M48&amp;"" and Col4 = date '""&amp;YEAR(C48)&amp;""-""&amp;MONTH(C48)&amp;""-""&amp;DAY(C48)&amp;""'""))&gt;0,""Caixa Atendimento"",""Caixa Sangria"")),""""),""Caixa Sangria"")"),"")</f>
        <v/>
      </c>
      <c r="M48" s="185">
        <f>IFERROR(__xludf.DUMMYFUNCTION("ifna(VALUE(REGEXEXTRACT(E48,""[0-9.]+[,]+[0-9]+"")))"),100.0)</f>
        <v>100</v>
      </c>
      <c r="N48" s="193" t="str">
        <f>B8</f>
        <v/>
      </c>
      <c r="O48" s="106"/>
      <c r="P48" s="106"/>
      <c r="Q48" s="106"/>
      <c r="R48" s="122"/>
      <c r="S48" s="123" t="str">
        <f>B9</f>
        <v/>
      </c>
      <c r="T48" s="106"/>
      <c r="U48" s="106"/>
      <c r="V48" s="124"/>
    </row>
    <row r="49" ht="14.25" customHeight="1">
      <c r="A49" s="178"/>
      <c r="B49" s="12">
        <v>1521975.0</v>
      </c>
      <c r="C49" s="13">
        <v>45817.90809027778</v>
      </c>
      <c r="D49" s="179" t="s">
        <v>81</v>
      </c>
      <c r="E49" s="180" t="s">
        <v>416</v>
      </c>
      <c r="F49" s="181"/>
      <c r="G49" s="179" t="s">
        <v>3012</v>
      </c>
      <c r="H49" s="190"/>
      <c r="I49" s="190"/>
      <c r="J49" s="187" t="s">
        <v>1782</v>
      </c>
      <c r="K49" s="187"/>
      <c r="L49" s="184" t="str">
        <f>IFERROR(__xludf.DUMMYFUNCTION("ifna(IF(and(D49=""Saída"",J49=""Sangria""),if(sum(QUERY(IMPORTRANGE(""https://docs.google.com/spreadsheets/d/1E4szPcLzsqlw4uyBAoJ61L1ChCgpz4wVP8tHfHW1g_c"",""BD M Sangrias!a:i""),""select Col6 where Col7 = 'Depositada' and Col9 = '""&amp;K49&amp;""' and Col6 = """&amp;"&amp;M49&amp;"" and Col4 = date '""&amp;YEAR(C49)&amp;""-""&amp;MONTH(C49)&amp;""-""&amp;DAY(C49)&amp;""'""))&gt;0,""Depositada"",if(sum(QUERY(IMPORTRANGE(""https://docs.google.com/spreadsheets/d/1EcLIvUgMoBC5as4ikW0wuQsGH5yVZ6cQ1y16qEfgPnk"",""BD M Sangrias!a:i""),""select Col6 where Col7"&amp;" = 'Caixa Atendimento' and Col9 = '""&amp;K49&amp;""' and Col6 = ""&amp;M49&amp;"" and Col4 = date '""&amp;YEAR(C49)&amp;""-""&amp;MONTH(C49)&amp;""-""&amp;DAY(C49)&amp;""'""))&gt;0,""Caixa Atendimento"",""Caixa Sangria"")),""""),""Caixa Sangria"")"),"")</f>
        <v/>
      </c>
      <c r="M49" s="185">
        <f>IFERROR(__xludf.DUMMYFUNCTION("ifna(VALUE(REGEXEXTRACT(E49,""[0-9.]+[,]+[0-9]+"")))"),100.0)</f>
        <v>100</v>
      </c>
      <c r="N49" s="46" t="str">
        <f>IFERROR(__xludf.DUMMYFUNCTION("query(C28:L504,""select Col1,Col3,Col8,Col9 where (Col8 = 'Adiantamento' or Col8 = 'Consumo') and Col9 = '""&amp;B8&amp;""'"",1)"),"Data")</f>
        <v>Data</v>
      </c>
      <c r="O49" s="47" t="str">
        <f>IFERROR(__xludf.DUMMYFUNCTION("""COMPUTED_VALUE"""),"Valor ")</f>
        <v>Valor </v>
      </c>
      <c r="P49" s="47" t="str">
        <f>IFERROR(__xludf.DUMMYFUNCTION("""COMPUTED_VALUE"""),"Tipo")</f>
        <v>Tipo</v>
      </c>
      <c r="Q49" s="47" t="str">
        <f>IFERROR(__xludf.DUMMYFUNCTION("""COMPUTED_VALUE"""),"Funcionário")</f>
        <v>Funcionário</v>
      </c>
      <c r="R49" s="49"/>
      <c r="S49" s="50" t="str">
        <f>IFERROR(__xludf.DUMMYFUNCTION("query(C28:L504,""select Col1,Col3,Col8,Col9 where (Col8 = 'Adiantamento' or Col8 = 'Consumo') and Col9 = '""&amp;B9&amp;""'"",1)"),"Data")</f>
        <v>Data</v>
      </c>
      <c r="T49" s="50" t="str">
        <f>IFERROR(__xludf.DUMMYFUNCTION("""COMPUTED_VALUE"""),"Valor ")</f>
        <v>Valor </v>
      </c>
      <c r="U49" s="50" t="str">
        <f>IFERROR(__xludf.DUMMYFUNCTION("""COMPUTED_VALUE"""),"Tipo")</f>
        <v>Tipo</v>
      </c>
      <c r="V49" s="51" t="str">
        <f>IFERROR(__xludf.DUMMYFUNCTION("""COMPUTED_VALUE"""),"Funcionário")</f>
        <v>Funcionário</v>
      </c>
    </row>
    <row r="50" ht="14.25" customHeight="1">
      <c r="A50" s="178"/>
      <c r="B50" s="12">
        <v>1521979.0</v>
      </c>
      <c r="C50" s="13">
        <v>45817.90929398148</v>
      </c>
      <c r="D50" s="179" t="s">
        <v>81</v>
      </c>
      <c r="E50" s="180" t="s">
        <v>220</v>
      </c>
      <c r="F50" s="181"/>
      <c r="G50" s="179" t="s">
        <v>2756</v>
      </c>
      <c r="H50" s="190"/>
      <c r="I50" s="190"/>
      <c r="J50" s="187" t="s">
        <v>2735</v>
      </c>
      <c r="K50" s="187" t="s">
        <v>1894</v>
      </c>
      <c r="L50" s="184" t="str">
        <f>IFERROR(__xludf.DUMMYFUNCTION("ifna(IF(and(D50=""Saída"",J50=""Sangria""),if(sum(QUERY(IMPORTRANGE(""https://docs.google.com/spreadsheets/d/1E4szPcLzsqlw4uyBAoJ61L1ChCgpz4wVP8tHfHW1g_c"",""BD M Sangrias!a:i""),""select Col6 where Col7 = 'Depositada' and Col9 = '""&amp;K50&amp;""' and Col6 = """&amp;"&amp;M50&amp;"" and Col4 = date '""&amp;YEAR(C50)&amp;""-""&amp;MONTH(C50)&amp;""-""&amp;DAY(C50)&amp;""'""))&gt;0,""Depositada"",if(sum(QUERY(IMPORTRANGE(""https://docs.google.com/spreadsheets/d/1EcLIvUgMoBC5as4ikW0wuQsGH5yVZ6cQ1y16qEfgPnk"",""BD M Sangrias!a:i""),""select Col6 where Col7"&amp;" = 'Caixa Atendimento' and Col9 = '""&amp;K50&amp;""' and Col6 = ""&amp;M50&amp;"" and Col4 = date '""&amp;YEAR(C50)&amp;""-""&amp;MONTH(C50)&amp;""-""&amp;DAY(C50)&amp;""'""))&gt;0,""Caixa Atendimento"",""Caixa Sangria"")),""""),""Caixa Sangria"")"),"#REF!")</f>
        <v>#REF!</v>
      </c>
      <c r="M50" s="185">
        <f>IFERROR(__xludf.DUMMYFUNCTION("ifna(VALUE(REGEXEXTRACT(E50,""[0-9.]+[,]+[0-9]+"")))"),1400.0)</f>
        <v>1400</v>
      </c>
      <c r="N50" s="52"/>
      <c r="O50" s="53"/>
      <c r="P50" s="53"/>
      <c r="Q50" s="53"/>
      <c r="R50" s="55"/>
      <c r="S50" s="53"/>
      <c r="T50" s="53"/>
      <c r="U50" s="53"/>
      <c r="V50" s="54"/>
    </row>
    <row r="51" ht="19.5" customHeight="1">
      <c r="A51" s="178"/>
      <c r="B51" s="12">
        <v>1521984.0</v>
      </c>
      <c r="C51" s="13">
        <v>45817.90991898148</v>
      </c>
      <c r="D51" s="179" t="s">
        <v>152</v>
      </c>
      <c r="E51" s="180" t="s">
        <v>3042</v>
      </c>
      <c r="F51" s="181"/>
      <c r="G51" s="179" t="s">
        <v>1126</v>
      </c>
      <c r="H51" s="190"/>
      <c r="I51" s="190"/>
      <c r="J51" s="187" t="s">
        <v>2669</v>
      </c>
      <c r="K51" s="187"/>
      <c r="L51" s="184" t="str">
        <f>IFERROR(__xludf.DUMMYFUNCTION("ifna(IF(and(D51=""Saída"",J51=""Sangria""),if(sum(QUERY(IMPORTRANGE(""https://docs.google.com/spreadsheets/d/1E4szPcLzsqlw4uyBAoJ61L1ChCgpz4wVP8tHfHW1g_c"",""BD M Sangrias!a:i""),""select Col6 where Col7 = 'Depositada' and Col9 = '""&amp;K51&amp;""' and Col6 = """&amp;"&amp;M51&amp;"" and Col4 = date '""&amp;YEAR(C51)&amp;""-""&amp;MONTH(C51)&amp;""-""&amp;DAY(C51)&amp;""'""))&gt;0,""Depositada"",if(sum(QUERY(IMPORTRANGE(""https://docs.google.com/spreadsheets/d/1EcLIvUgMoBC5as4ikW0wuQsGH5yVZ6cQ1y16qEfgPnk"",""BD M Sangrias!a:i""),""select Col6 where Col7"&amp;" = 'Caixa Atendimento' and Col9 = '""&amp;K51&amp;""' and Col6 = ""&amp;M51&amp;"" and Col4 = date '""&amp;YEAR(C51)&amp;""-""&amp;MONTH(C51)&amp;""-""&amp;DAY(C51)&amp;""'""))&gt;0,""Caixa Atendimento"",""Caixa Sangria"")),""""),""Caixa Sangria"")"),"")</f>
        <v/>
      </c>
      <c r="M51" s="185">
        <f>IFERROR(__xludf.DUMMYFUNCTION("ifna(VALUE(REGEXEXTRACT(E51,""[0-9.]+[,]+[0-9]+"")))"),16.0)</f>
        <v>16</v>
      </c>
      <c r="N51" s="52"/>
      <c r="O51" s="53"/>
      <c r="P51" s="53"/>
      <c r="Q51" s="53"/>
      <c r="R51" s="55"/>
      <c r="S51" s="53"/>
      <c r="T51" s="53"/>
      <c r="U51" s="53"/>
      <c r="V51" s="54"/>
    </row>
    <row r="52" ht="14.25" customHeight="1">
      <c r="A52" s="178"/>
      <c r="B52" s="12">
        <v>1522658.0</v>
      </c>
      <c r="C52" s="13">
        <v>45818.69913194444</v>
      </c>
      <c r="D52" s="179" t="s">
        <v>152</v>
      </c>
      <c r="E52" s="180" t="s">
        <v>713</v>
      </c>
      <c r="F52" s="181"/>
      <c r="G52" s="179" t="s">
        <v>158</v>
      </c>
      <c r="H52" s="190"/>
      <c r="I52" s="190"/>
      <c r="J52" s="187" t="s">
        <v>2669</v>
      </c>
      <c r="K52" s="187"/>
      <c r="L52" s="184" t="str">
        <f>IFERROR(__xludf.DUMMYFUNCTION("ifna(IF(and(D52=""Saída"",J52=""Sangria""),if(sum(QUERY(IMPORTRANGE(""https://docs.google.com/spreadsheets/d/1E4szPcLzsqlw4uyBAoJ61L1ChCgpz4wVP8tHfHW1g_c"",""BD M Sangrias!a:i""),""select Col6 where Col7 = 'Depositada' and Col9 = '""&amp;K52&amp;""' and Col6 = """&amp;"&amp;M52&amp;"" and Col4 = date '""&amp;YEAR(C52)&amp;""-""&amp;MONTH(C52)&amp;""-""&amp;DAY(C52)&amp;""'""))&gt;0,""Depositada"",if(sum(QUERY(IMPORTRANGE(""https://docs.google.com/spreadsheets/d/1EcLIvUgMoBC5as4ikW0wuQsGH5yVZ6cQ1y16qEfgPnk"",""BD M Sangrias!a:i""),""select Col6 where Col7"&amp;" = 'Caixa Atendimento' and Col9 = '""&amp;K52&amp;""' and Col6 = ""&amp;M52&amp;"" and Col4 = date '""&amp;YEAR(C52)&amp;""-""&amp;MONTH(C52)&amp;""-""&amp;DAY(C52)&amp;""'""))&gt;0,""Caixa Atendimento"",""Caixa Sangria"")),""""),""Caixa Sangria"")"),"")</f>
        <v/>
      </c>
      <c r="M52" s="185">
        <f>IFERROR(__xludf.DUMMYFUNCTION("ifna(VALUE(REGEXEXTRACT(E52,""[0-9.]+[,]+[0-9]+"")))"),50.0)</f>
        <v>50</v>
      </c>
      <c r="N52" s="52"/>
      <c r="O52" s="53"/>
      <c r="P52" s="53"/>
      <c r="Q52" s="53"/>
      <c r="R52" s="55"/>
      <c r="S52" s="53"/>
      <c r="T52" s="53"/>
      <c r="U52" s="53"/>
      <c r="V52" s="54"/>
    </row>
    <row r="53" ht="14.25" customHeight="1">
      <c r="A53" s="178"/>
      <c r="B53" s="12">
        <v>1522689.0</v>
      </c>
      <c r="C53" s="13">
        <v>45818.70630787037</v>
      </c>
      <c r="D53" s="179" t="s">
        <v>81</v>
      </c>
      <c r="E53" s="180" t="s">
        <v>3072</v>
      </c>
      <c r="F53" s="181"/>
      <c r="G53" s="179" t="s">
        <v>3073</v>
      </c>
      <c r="H53" s="190"/>
      <c r="I53" s="190"/>
      <c r="J53" s="187" t="s">
        <v>2735</v>
      </c>
      <c r="K53" s="187" t="s">
        <v>1894</v>
      </c>
      <c r="L53" s="184" t="str">
        <f>IFERROR(__xludf.DUMMYFUNCTION("ifna(IF(and(D53=""Saída"",J53=""Sangria""),if(sum(QUERY(IMPORTRANGE(""https://docs.google.com/spreadsheets/d/1E4szPcLzsqlw4uyBAoJ61L1ChCgpz4wVP8tHfHW1g_c"",""BD M Sangrias!a:i""),""select Col6 where Col7 = 'Depositada' and Col9 = '""&amp;K53&amp;""' and Col6 = """&amp;"&amp;M53&amp;"" and Col4 = date '""&amp;YEAR(C53)&amp;""-""&amp;MONTH(C53)&amp;""-""&amp;DAY(C53)&amp;""'""))&gt;0,""Depositada"",if(sum(QUERY(IMPORTRANGE(""https://docs.google.com/spreadsheets/d/1EcLIvUgMoBC5as4ikW0wuQsGH5yVZ6cQ1y16qEfgPnk"",""BD M Sangrias!a:i""),""select Col6 where Col7"&amp;" = 'Caixa Atendimento' and Col9 = '""&amp;K53&amp;""' and Col6 = ""&amp;M53&amp;"" and Col4 = date '""&amp;YEAR(C53)&amp;""-""&amp;MONTH(C53)&amp;""-""&amp;DAY(C53)&amp;""'""))&gt;0,""Caixa Atendimento"",""Caixa Sangria"")),""""),""Caixa Sangria"")"),"#REF!")</f>
        <v>#REF!</v>
      </c>
      <c r="M53" s="185">
        <f>IFERROR(__xludf.DUMMYFUNCTION("ifna(VALUE(REGEXEXTRACT(E53,""[0-9.]+[,]+[0-9]+"")))"),1630.0)</f>
        <v>1630</v>
      </c>
      <c r="N53" s="52"/>
      <c r="O53" s="53"/>
      <c r="P53" s="53"/>
      <c r="Q53" s="53"/>
      <c r="R53" s="55"/>
      <c r="S53" s="53"/>
      <c r="T53" s="53"/>
      <c r="U53" s="53"/>
      <c r="V53" s="54"/>
    </row>
    <row r="54" ht="14.25" customHeight="1">
      <c r="A54" s="178"/>
      <c r="B54" s="12">
        <v>1524456.0</v>
      </c>
      <c r="C54" s="13">
        <v>45819.947060185186</v>
      </c>
      <c r="D54" s="179" t="s">
        <v>152</v>
      </c>
      <c r="E54" s="180" t="s">
        <v>3084</v>
      </c>
      <c r="F54" s="181"/>
      <c r="G54" s="179" t="s">
        <v>158</v>
      </c>
      <c r="H54" s="190"/>
      <c r="I54" s="190"/>
      <c r="J54" s="187" t="s">
        <v>2669</v>
      </c>
      <c r="K54" s="187"/>
      <c r="L54" s="184" t="str">
        <f>IFERROR(__xludf.DUMMYFUNCTION("ifna(IF(and(D54=""Saída"",J54=""Sangria""),if(sum(QUERY(IMPORTRANGE(""https://docs.google.com/spreadsheets/d/1E4szPcLzsqlw4uyBAoJ61L1ChCgpz4wVP8tHfHW1g_c"",""BD M Sangrias!a:i""),""select Col6 where Col7 = 'Depositada' and Col9 = '""&amp;K54&amp;""' and Col6 = """&amp;"&amp;M54&amp;"" and Col4 = date '""&amp;YEAR(C54)&amp;""-""&amp;MONTH(C54)&amp;""-""&amp;DAY(C54)&amp;""'""))&gt;0,""Depositada"",if(sum(QUERY(IMPORTRANGE(""https://docs.google.com/spreadsheets/d/1EcLIvUgMoBC5as4ikW0wuQsGH5yVZ6cQ1y16qEfgPnk"",""BD M Sangrias!a:i""),""select Col6 where Col7"&amp;" = 'Caixa Atendimento' and Col9 = '""&amp;K54&amp;""' and Col6 = ""&amp;M54&amp;"" and Col4 = date '""&amp;YEAR(C54)&amp;""-""&amp;MONTH(C54)&amp;""-""&amp;DAY(C54)&amp;""'""))&gt;0,""Caixa Atendimento"",""Caixa Sangria"")),""""),""Caixa Sangria"")"),"")</f>
        <v/>
      </c>
      <c r="M54" s="185">
        <f>IFERROR(__xludf.DUMMYFUNCTION("ifna(VALUE(REGEXEXTRACT(E54,""[0-9.]+[,]+[0-9]+"")))"),87.5)</f>
        <v>87.5</v>
      </c>
      <c r="N54" s="52"/>
      <c r="O54" s="53"/>
      <c r="P54" s="53"/>
      <c r="Q54" s="53"/>
      <c r="R54" s="55"/>
      <c r="S54" s="53"/>
      <c r="T54" s="53"/>
      <c r="U54" s="53"/>
      <c r="V54" s="54"/>
    </row>
    <row r="55" ht="14.25" customHeight="1">
      <c r="A55" s="178"/>
      <c r="B55" s="12">
        <v>1524458.0</v>
      </c>
      <c r="C55" s="13">
        <v>45819.94799768519</v>
      </c>
      <c r="D55" s="179" t="s">
        <v>81</v>
      </c>
      <c r="E55" s="180" t="s">
        <v>943</v>
      </c>
      <c r="F55" s="181"/>
      <c r="G55" s="179" t="s">
        <v>3104</v>
      </c>
      <c r="H55" s="190"/>
      <c r="I55" s="190"/>
      <c r="J55" s="187" t="s">
        <v>2735</v>
      </c>
      <c r="K55" s="187" t="s">
        <v>1894</v>
      </c>
      <c r="L55" s="184" t="str">
        <f>IFERROR(__xludf.DUMMYFUNCTION("ifna(IF(and(D55=""Saída"",J55=""Sangria""),if(sum(QUERY(IMPORTRANGE(""https://docs.google.com/spreadsheets/d/1E4szPcLzsqlw4uyBAoJ61L1ChCgpz4wVP8tHfHW1g_c"",""BD M Sangrias!a:i""),""select Col6 where Col7 = 'Depositada' and Col9 = '""&amp;K55&amp;""' and Col6 = """&amp;"&amp;M55&amp;"" and Col4 = date '""&amp;YEAR(C55)&amp;""-""&amp;MONTH(C55)&amp;""-""&amp;DAY(C55)&amp;""'""))&gt;0,""Depositada"",if(sum(QUERY(IMPORTRANGE(""https://docs.google.com/spreadsheets/d/1EcLIvUgMoBC5as4ikW0wuQsGH5yVZ6cQ1y16qEfgPnk"",""BD M Sangrias!a:i""),""select Col6 where Col7"&amp;" = 'Caixa Atendimento' and Col9 = '""&amp;K55&amp;""' and Col6 = ""&amp;M55&amp;"" and Col4 = date '""&amp;YEAR(C55)&amp;""-""&amp;MONTH(C55)&amp;""-""&amp;DAY(C55)&amp;""'""))&gt;0,""Caixa Atendimento"",""Caixa Sangria"")),""""),""Caixa Sangria"")"),"#REF!")</f>
        <v>#REF!</v>
      </c>
      <c r="M55" s="185">
        <f>IFERROR(__xludf.DUMMYFUNCTION("ifna(VALUE(REGEXEXTRACT(E55,""[0-9.]+[,]+[0-9]+"")))"),800.0)</f>
        <v>800</v>
      </c>
      <c r="N55" s="52"/>
      <c r="O55" s="79"/>
      <c r="P55" s="79"/>
      <c r="Q55" s="79"/>
      <c r="R55" s="81"/>
      <c r="S55" s="79"/>
      <c r="T55" s="79"/>
      <c r="U55" s="79"/>
      <c r="V55" s="80"/>
    </row>
    <row r="56" ht="14.25" customHeight="1">
      <c r="A56" s="178"/>
      <c r="B56" s="12">
        <v>1524480.0</v>
      </c>
      <c r="C56" s="13">
        <v>45819.95957175926</v>
      </c>
      <c r="D56" s="179" t="s">
        <v>81</v>
      </c>
      <c r="E56" s="180" t="s">
        <v>3126</v>
      </c>
      <c r="F56" s="181"/>
      <c r="G56" s="179" t="s">
        <v>3129</v>
      </c>
      <c r="H56" s="190"/>
      <c r="I56" s="190"/>
      <c r="J56" s="187" t="s">
        <v>1782</v>
      </c>
      <c r="K56" s="187"/>
      <c r="L56" s="184" t="str">
        <f>IFERROR(__xludf.DUMMYFUNCTION("ifna(IF(and(D56=""Saída"",J56=""Sangria""),if(sum(QUERY(IMPORTRANGE(""https://docs.google.com/spreadsheets/d/1E4szPcLzsqlw4uyBAoJ61L1ChCgpz4wVP8tHfHW1g_c"",""BD M Sangrias!a:i""),""select Col6 where Col7 = 'Depositada' and Col9 = '""&amp;K56&amp;""' and Col6 = """&amp;"&amp;M56&amp;"" and Col4 = date '""&amp;YEAR(C56)&amp;""-""&amp;MONTH(C56)&amp;""-""&amp;DAY(C56)&amp;""'""))&gt;0,""Depositada"",if(sum(QUERY(IMPORTRANGE(""https://docs.google.com/spreadsheets/d/1EcLIvUgMoBC5as4ikW0wuQsGH5yVZ6cQ1y16qEfgPnk"",""BD M Sangrias!a:i""),""select Col6 where Col7"&amp;" = 'Caixa Atendimento' and Col9 = '""&amp;K56&amp;""' and Col6 = ""&amp;M56&amp;"" and Col4 = date '""&amp;YEAR(C56)&amp;""-""&amp;MONTH(C56)&amp;""-""&amp;DAY(C56)&amp;""'""))&gt;0,""Caixa Atendimento"",""Caixa Sangria"")),""""),""Caixa Sangria"")"),"")</f>
        <v/>
      </c>
      <c r="M56" s="185">
        <f>IFERROR(__xludf.DUMMYFUNCTION("ifna(VALUE(REGEXEXTRACT(E56,""[0-9.]+[,]+[0-9]+"")))"),117.78)</f>
        <v>117.78</v>
      </c>
      <c r="N56" s="88"/>
      <c r="O56" s="89"/>
      <c r="P56" s="89"/>
      <c r="Q56" s="89"/>
      <c r="R56" s="91"/>
      <c r="S56" s="89"/>
      <c r="T56" s="89"/>
      <c r="U56" s="89"/>
      <c r="V56" s="90"/>
    </row>
    <row r="57" ht="17.25" customHeight="1">
      <c r="A57" s="178"/>
      <c r="B57" s="12">
        <v>1524484.0</v>
      </c>
      <c r="C57" s="13">
        <v>45819.960173611114</v>
      </c>
      <c r="D57" s="179" t="s">
        <v>81</v>
      </c>
      <c r="E57" s="180" t="s">
        <v>3146</v>
      </c>
      <c r="F57" s="181"/>
      <c r="G57" s="179" t="s">
        <v>3149</v>
      </c>
      <c r="H57" s="190"/>
      <c r="I57" s="190"/>
      <c r="J57" s="187" t="s">
        <v>3151</v>
      </c>
      <c r="K57" s="187"/>
      <c r="L57" s="184" t="str">
        <f>IFERROR(__xludf.DUMMYFUNCTION("ifna(IF(and(D57=""Saída"",J57=""Sangria""),if(sum(QUERY(IMPORTRANGE(""https://docs.google.com/spreadsheets/d/1E4szPcLzsqlw4uyBAoJ61L1ChCgpz4wVP8tHfHW1g_c"",""BD M Sangrias!a:i""),""select Col6 where Col7 = 'Depositada' and Col9 = '""&amp;K57&amp;""' and Col6 = """&amp;"&amp;M57&amp;"" and Col4 = date '""&amp;YEAR(C57)&amp;""-""&amp;MONTH(C57)&amp;""-""&amp;DAY(C57)&amp;""'""))&gt;0,""Depositada"",if(sum(QUERY(IMPORTRANGE(""https://docs.google.com/spreadsheets/d/1EcLIvUgMoBC5as4ikW0wuQsGH5yVZ6cQ1y16qEfgPnk"",""BD M Sangrias!a:i""),""select Col6 where Col7"&amp;" = 'Caixa Atendimento' and Col9 = '""&amp;K57&amp;""' and Col6 = ""&amp;M57&amp;"" and Col4 = date '""&amp;YEAR(C57)&amp;""-""&amp;MONTH(C57)&amp;""-""&amp;DAY(C57)&amp;""'""))&gt;0,""Caixa Atendimento"",""Caixa Sangria"")),""""),""Caixa Sangria"")"),"")</f>
        <v/>
      </c>
      <c r="M57" s="185">
        <f>IFERROR(__xludf.DUMMYFUNCTION("ifna(VALUE(REGEXEXTRACT(E57,""[0-9.]+[,]+[0-9]+"")))"),60.44)</f>
        <v>60.44</v>
      </c>
      <c r="N57" s="88"/>
      <c r="O57" s="89"/>
      <c r="P57" s="89"/>
      <c r="Q57" s="89"/>
      <c r="R57" s="91"/>
      <c r="S57" s="89"/>
      <c r="T57" s="89"/>
      <c r="U57" s="89"/>
      <c r="V57" s="90"/>
    </row>
    <row r="58" ht="14.25" customHeight="1">
      <c r="A58" s="178"/>
      <c r="B58" s="12">
        <v>1524486.0</v>
      </c>
      <c r="C58" s="13">
        <v>45819.96053240741</v>
      </c>
      <c r="D58" s="179" t="s">
        <v>81</v>
      </c>
      <c r="E58" s="180" t="s">
        <v>3165</v>
      </c>
      <c r="F58" s="188"/>
      <c r="G58" s="179" t="s">
        <v>3166</v>
      </c>
      <c r="H58" s="190"/>
      <c r="I58" s="190"/>
      <c r="J58" s="187" t="s">
        <v>3151</v>
      </c>
      <c r="K58" s="187"/>
      <c r="L58" s="184" t="str">
        <f>IFERROR(__xludf.DUMMYFUNCTION("ifna(IF(and(D58=""Saída"",J58=""Sangria""),if(sum(QUERY(IMPORTRANGE(""https://docs.google.com/spreadsheets/d/1E4szPcLzsqlw4uyBAoJ61L1ChCgpz4wVP8tHfHW1g_c"",""BD M Sangrias!a:i""),""select Col6 where Col7 = 'Depositada' and Col9 = '""&amp;K58&amp;""' and Col6 = """&amp;"&amp;M58&amp;"" and Col4 = date '""&amp;YEAR(C58)&amp;""-""&amp;MONTH(C58)&amp;""-""&amp;DAY(C58)&amp;""'""))&gt;0,""Depositada"",if(sum(QUERY(IMPORTRANGE(""https://docs.google.com/spreadsheets/d/1EcLIvUgMoBC5as4ikW0wuQsGH5yVZ6cQ1y16qEfgPnk"",""BD M Sangrias!a:i""),""select Col6 where Col7"&amp;" = 'Caixa Atendimento' and Col9 = '""&amp;K58&amp;""' and Col6 = ""&amp;M58&amp;"" and Col4 = date '""&amp;YEAR(C58)&amp;""-""&amp;MONTH(C58)&amp;""-""&amp;DAY(C58)&amp;""'""))&gt;0,""Caixa Atendimento"",""Caixa Sangria"")),""""),""Caixa Sangria"")"),"")</f>
        <v/>
      </c>
      <c r="M58" s="185">
        <f>IFERROR(__xludf.DUMMYFUNCTION("ifna(VALUE(REGEXEXTRACT(E58,""[0-9.]+[,]+[0-9]+"")))"),19.1)</f>
        <v>19.1</v>
      </c>
      <c r="N58" s="88"/>
      <c r="O58" s="89"/>
      <c r="P58" s="89"/>
      <c r="Q58" s="89"/>
      <c r="R58" s="91"/>
      <c r="S58" s="89"/>
      <c r="T58" s="89"/>
      <c r="U58" s="89"/>
      <c r="V58" s="90"/>
    </row>
    <row r="59" ht="14.25" customHeight="1">
      <c r="A59" s="178"/>
      <c r="B59" s="12">
        <v>1524957.0</v>
      </c>
      <c r="C59" s="13">
        <v>45820.72487268518</v>
      </c>
      <c r="D59" s="179" t="s">
        <v>81</v>
      </c>
      <c r="E59" s="180" t="s">
        <v>3181</v>
      </c>
      <c r="F59" s="181"/>
      <c r="G59" s="179" t="s">
        <v>3183</v>
      </c>
      <c r="H59" s="190"/>
      <c r="I59" s="190"/>
      <c r="J59" s="187" t="s">
        <v>3151</v>
      </c>
      <c r="K59" s="187"/>
      <c r="L59" s="184" t="str">
        <f>IFERROR(__xludf.DUMMYFUNCTION("ifna(IF(and(D59=""Saída"",J59=""Sangria""),if(sum(QUERY(IMPORTRANGE(""https://docs.google.com/spreadsheets/d/1E4szPcLzsqlw4uyBAoJ61L1ChCgpz4wVP8tHfHW1g_c"",""BD M Sangrias!a:i""),""select Col6 where Col7 = 'Depositada' and Col9 = '""&amp;K59&amp;""' and Col6 = """&amp;"&amp;M59&amp;"" and Col4 = date '""&amp;YEAR(C59)&amp;""-""&amp;MONTH(C59)&amp;""-""&amp;DAY(C59)&amp;""'""))&gt;0,""Depositada"",if(sum(QUERY(IMPORTRANGE(""https://docs.google.com/spreadsheets/d/1EcLIvUgMoBC5as4ikW0wuQsGH5yVZ6cQ1y16qEfgPnk"",""BD M Sangrias!a:i""),""select Col6 where Col7"&amp;" = 'Caixa Atendimento' and Col9 = '""&amp;K59&amp;""' and Col6 = ""&amp;M59&amp;"" and Col4 = date '""&amp;YEAR(C59)&amp;""-""&amp;MONTH(C59)&amp;""-""&amp;DAY(C59)&amp;""'""))&gt;0,""Caixa Atendimento"",""Caixa Sangria"")),""""),""Caixa Sangria"")"),"")</f>
        <v/>
      </c>
      <c r="M59" s="185">
        <f>IFERROR(__xludf.DUMMYFUNCTION("ifna(VALUE(REGEXEXTRACT(E59,""[0-9.]+[,]+[0-9]+"")))"),50.07)</f>
        <v>50.07</v>
      </c>
      <c r="N59" s="88"/>
      <c r="O59" s="89"/>
      <c r="P59" s="89"/>
      <c r="Q59" s="89"/>
      <c r="R59" s="91"/>
      <c r="S59" s="89"/>
      <c r="T59" s="89"/>
      <c r="U59" s="89"/>
      <c r="V59" s="90"/>
    </row>
    <row r="60" ht="14.25" customHeight="1">
      <c r="A60" s="178"/>
      <c r="B60" s="12">
        <v>1525535.0</v>
      </c>
      <c r="C60" s="13">
        <v>45820.943819444445</v>
      </c>
      <c r="D60" s="179" t="s">
        <v>81</v>
      </c>
      <c r="E60" s="180" t="s">
        <v>343</v>
      </c>
      <c r="F60" s="181"/>
      <c r="G60" s="179" t="s">
        <v>3104</v>
      </c>
      <c r="H60" s="190"/>
      <c r="I60" s="190"/>
      <c r="J60" s="187" t="s">
        <v>2735</v>
      </c>
      <c r="K60" s="187" t="s">
        <v>1894</v>
      </c>
      <c r="L60" s="184" t="str">
        <f>IFERROR(__xludf.DUMMYFUNCTION("ifna(IF(and(D60=""Saída"",J60=""Sangria""),if(sum(QUERY(IMPORTRANGE(""https://docs.google.com/spreadsheets/d/1E4szPcLzsqlw4uyBAoJ61L1ChCgpz4wVP8tHfHW1g_c"",""BD M Sangrias!a:i""),""select Col6 where Col7 = 'Depositada' and Col9 = '""&amp;K60&amp;""' and Col6 = """&amp;"&amp;M60&amp;"" and Col4 = date '""&amp;YEAR(C60)&amp;""-""&amp;MONTH(C60)&amp;""-""&amp;DAY(C60)&amp;""'""))&gt;0,""Depositada"",if(sum(QUERY(IMPORTRANGE(""https://docs.google.com/spreadsheets/d/1EcLIvUgMoBC5as4ikW0wuQsGH5yVZ6cQ1y16qEfgPnk"",""BD M Sangrias!a:i""),""select Col6 where Col7"&amp;" = 'Caixa Atendimento' and Col9 = '""&amp;K60&amp;""' and Col6 = ""&amp;M60&amp;"" and Col4 = date '""&amp;YEAR(C60)&amp;""-""&amp;MONTH(C60)&amp;""-""&amp;DAY(C60)&amp;""'""))&gt;0,""Caixa Atendimento"",""Caixa Sangria"")),""""),""Caixa Sangria"")"),"#REF!")</f>
        <v>#REF!</v>
      </c>
      <c r="M60" s="185">
        <f>IFERROR(__xludf.DUMMYFUNCTION("ifna(VALUE(REGEXEXTRACT(E60,""[0-9.]+[,]+[0-9]+"")))"),550.0)</f>
        <v>550</v>
      </c>
      <c r="N60" s="194"/>
      <c r="O60" s="195"/>
      <c r="P60" s="196"/>
      <c r="Q60" s="197"/>
      <c r="R60" s="91"/>
      <c r="S60" s="89"/>
      <c r="T60" s="89"/>
      <c r="U60" s="89"/>
      <c r="V60" s="90"/>
    </row>
    <row r="61" ht="14.25" customHeight="1">
      <c r="A61" s="178"/>
      <c r="B61" s="12">
        <v>1526677.0</v>
      </c>
      <c r="C61" s="13">
        <v>45821.92755787037</v>
      </c>
      <c r="D61" s="179" t="s">
        <v>81</v>
      </c>
      <c r="E61" s="180" t="s">
        <v>910</v>
      </c>
      <c r="F61" s="181"/>
      <c r="G61" s="179" t="s">
        <v>3104</v>
      </c>
      <c r="H61" s="190"/>
      <c r="I61" s="190"/>
      <c r="J61" s="187" t="s">
        <v>2735</v>
      </c>
      <c r="K61" s="187" t="s">
        <v>1894</v>
      </c>
      <c r="L61" s="184" t="str">
        <f>IFERROR(__xludf.DUMMYFUNCTION("ifna(IF(and(D61=""Saída"",J61=""Sangria""),if(sum(QUERY(IMPORTRANGE(""https://docs.google.com/spreadsheets/d/1E4szPcLzsqlw4uyBAoJ61L1ChCgpz4wVP8tHfHW1g_c"",""BD M Sangrias!a:i""),""select Col6 where Col7 = 'Depositada' and Col9 = '""&amp;K61&amp;""' and Col6 = """&amp;"&amp;M61&amp;"" and Col4 = date '""&amp;YEAR(C61)&amp;""-""&amp;MONTH(C61)&amp;""-""&amp;DAY(C61)&amp;""'""))&gt;0,""Depositada"",if(sum(QUERY(IMPORTRANGE(""https://docs.google.com/spreadsheets/d/1EcLIvUgMoBC5as4ikW0wuQsGH5yVZ6cQ1y16qEfgPnk"",""BD M Sangrias!a:i""),""select Col6 where Col7"&amp;" = 'Caixa Atendimento' and Col9 = '""&amp;K61&amp;""' and Col6 = ""&amp;M61&amp;"" and Col4 = date '""&amp;YEAR(C61)&amp;""-""&amp;MONTH(C61)&amp;""-""&amp;DAY(C61)&amp;""'""))&gt;0,""Caixa Atendimento"",""Caixa Sangria"")),""""),""Caixa Sangria"")"),"#REF!")</f>
        <v>#REF!</v>
      </c>
      <c r="M61" s="185">
        <f>IFERROR(__xludf.DUMMYFUNCTION("ifna(VALUE(REGEXEXTRACT(E61,""[0-9.]+[,]+[0-9]+"")))"),1000.0)</f>
        <v>1000</v>
      </c>
      <c r="N61" s="88"/>
      <c r="O61" s="89"/>
      <c r="P61" s="89"/>
      <c r="Q61" s="89"/>
      <c r="R61" s="91"/>
      <c r="S61" s="89"/>
      <c r="T61" s="89"/>
      <c r="U61" s="89"/>
      <c r="V61" s="90"/>
    </row>
    <row r="62" ht="14.25" customHeight="1">
      <c r="A62" s="178"/>
      <c r="B62" s="12">
        <v>1527477.0</v>
      </c>
      <c r="C62" s="13">
        <v>45822.75784722222</v>
      </c>
      <c r="D62" s="179" t="s">
        <v>81</v>
      </c>
      <c r="E62" s="180" t="s">
        <v>3241</v>
      </c>
      <c r="F62" s="181"/>
      <c r="G62" s="179" t="s">
        <v>3243</v>
      </c>
      <c r="H62" s="190"/>
      <c r="I62" s="190"/>
      <c r="J62" s="187" t="s">
        <v>1782</v>
      </c>
      <c r="K62" s="187"/>
      <c r="L62" s="184" t="str">
        <f>IFERROR(__xludf.DUMMYFUNCTION("ifna(IF(and(D62=""Saída"",J62=""Sangria""),if(sum(QUERY(IMPORTRANGE(""https://docs.google.com/spreadsheets/d/1E4szPcLzsqlw4uyBAoJ61L1ChCgpz4wVP8tHfHW1g_c"",""BD M Sangrias!a:i""),""select Col6 where Col7 = 'Depositada' and Col9 = '""&amp;K62&amp;""' and Col6 = """&amp;"&amp;M62&amp;"" and Col4 = date '""&amp;YEAR(C62)&amp;""-""&amp;MONTH(C62)&amp;""-""&amp;DAY(C62)&amp;""'""))&gt;0,""Depositada"",if(sum(QUERY(IMPORTRANGE(""https://docs.google.com/spreadsheets/d/1EcLIvUgMoBC5as4ikW0wuQsGH5yVZ6cQ1y16qEfgPnk"",""BD M Sangrias!a:i""),""select Col6 where Col7"&amp;" = 'Caixa Atendimento' and Col9 = '""&amp;K62&amp;""' and Col6 = ""&amp;M62&amp;"" and Col4 = date '""&amp;YEAR(C62)&amp;""-""&amp;MONTH(C62)&amp;""-""&amp;DAY(C62)&amp;""'""))&gt;0,""Caixa Atendimento"",""Caixa Sangria"")),""""),""Caixa Sangria"")"),"")</f>
        <v/>
      </c>
      <c r="M62" s="185">
        <f>IFERROR(__xludf.DUMMYFUNCTION("ifna(VALUE(REGEXEXTRACT(E62,""[0-9.]+[,]+[0-9]+"")))"),45.5)</f>
        <v>45.5</v>
      </c>
      <c r="N62" s="88"/>
      <c r="O62" s="89"/>
      <c r="P62" s="89"/>
      <c r="Q62" s="89"/>
      <c r="R62" s="91"/>
      <c r="S62" s="89"/>
      <c r="T62" s="89"/>
      <c r="U62" s="89"/>
      <c r="V62" s="90"/>
    </row>
    <row r="63" ht="14.25" customHeight="1">
      <c r="A63" s="178"/>
      <c r="B63" s="12">
        <v>1527983.0</v>
      </c>
      <c r="C63" s="13">
        <v>45822.918217592596</v>
      </c>
      <c r="D63" s="179" t="s">
        <v>81</v>
      </c>
      <c r="E63" s="180" t="s">
        <v>446</v>
      </c>
      <c r="F63" s="181"/>
      <c r="G63" s="179" t="s">
        <v>3104</v>
      </c>
      <c r="H63" s="190"/>
      <c r="I63" s="190"/>
      <c r="J63" s="187" t="s">
        <v>2735</v>
      </c>
      <c r="K63" s="187" t="s">
        <v>1894</v>
      </c>
      <c r="L63" s="184" t="str">
        <f>IFERROR(__xludf.DUMMYFUNCTION("ifna(IF(and(D63=""Saída"",J63=""Sangria""),if(sum(QUERY(IMPORTRANGE(""https://docs.google.com/spreadsheets/d/1E4szPcLzsqlw4uyBAoJ61L1ChCgpz4wVP8tHfHW1g_c"",""BD M Sangrias!a:i""),""select Col6 where Col7 = 'Depositada' and Col9 = '""&amp;K63&amp;""' and Col6 = """&amp;"&amp;M63&amp;"" and Col4 = date '""&amp;YEAR(C63)&amp;""-""&amp;MONTH(C63)&amp;""-""&amp;DAY(C63)&amp;""'""))&gt;0,""Depositada"",if(sum(QUERY(IMPORTRANGE(""https://docs.google.com/spreadsheets/d/1EcLIvUgMoBC5as4ikW0wuQsGH5yVZ6cQ1y16qEfgPnk"",""BD M Sangrias!a:i""),""select Col6 where Col7"&amp;" = 'Caixa Atendimento' and Col9 = '""&amp;K63&amp;""' and Col6 = ""&amp;M63&amp;"" and Col4 = date '""&amp;YEAR(C63)&amp;""-""&amp;MONTH(C63)&amp;""-""&amp;DAY(C63)&amp;""'""))&gt;0,""Caixa Atendimento"",""Caixa Sangria"")),""""),""Caixa Sangria"")"),"#REF!")</f>
        <v>#REF!</v>
      </c>
      <c r="M63" s="185">
        <f>IFERROR(__xludf.DUMMYFUNCTION("ifna(VALUE(REGEXEXTRACT(E63,""[0-9.]+[,]+[0-9]+"")))"),700.0)</f>
        <v>700</v>
      </c>
      <c r="N63" s="108"/>
      <c r="O63" s="109"/>
      <c r="P63" s="109"/>
      <c r="Q63" s="109"/>
      <c r="R63" s="110"/>
      <c r="S63" s="109"/>
      <c r="T63" s="109"/>
      <c r="U63" s="109"/>
      <c r="V63" s="111"/>
    </row>
    <row r="64" ht="14.25" customHeight="1">
      <c r="A64" s="178"/>
      <c r="B64" s="12">
        <v>1528510.0</v>
      </c>
      <c r="C64" s="13">
        <v>45823.60865740741</v>
      </c>
      <c r="D64" s="179" t="s">
        <v>152</v>
      </c>
      <c r="E64" s="180" t="s">
        <v>1388</v>
      </c>
      <c r="F64" s="181"/>
      <c r="G64" s="179" t="s">
        <v>158</v>
      </c>
      <c r="H64" s="190"/>
      <c r="I64" s="190"/>
      <c r="J64" s="187" t="s">
        <v>2669</v>
      </c>
      <c r="K64" s="187"/>
      <c r="L64" s="184" t="str">
        <f>IFERROR(__xludf.DUMMYFUNCTION("ifna(IF(and(D64=""Saída"",J64=""Sangria""),if(sum(QUERY(IMPORTRANGE(""https://docs.google.com/spreadsheets/d/1E4szPcLzsqlw4uyBAoJ61L1ChCgpz4wVP8tHfHW1g_c"",""BD M Sangrias!a:i""),""select Col6 where Col7 = 'Depositada' and Col9 = '""&amp;K64&amp;""' and Col6 = """&amp;"&amp;M64&amp;"" and Col4 = date '""&amp;YEAR(C64)&amp;""-""&amp;MONTH(C64)&amp;""-""&amp;DAY(C64)&amp;""'""))&gt;0,""Depositada"",if(sum(QUERY(IMPORTRANGE(""https://docs.google.com/spreadsheets/d/1EcLIvUgMoBC5as4ikW0wuQsGH5yVZ6cQ1y16qEfgPnk"",""BD M Sangrias!a:i""),""select Col6 where Col7"&amp;" = 'Caixa Atendimento' and Col9 = '""&amp;K64&amp;""' and Col6 = ""&amp;M64&amp;"" and Col4 = date '""&amp;YEAR(C64)&amp;""-""&amp;MONTH(C64)&amp;""-""&amp;DAY(C64)&amp;""'""))&gt;0,""Caixa Atendimento"",""Caixa Sangria"")),""""),""Caixa Sangria"")"),"")</f>
        <v/>
      </c>
      <c r="M64" s="185">
        <f>IFERROR(__xludf.DUMMYFUNCTION("ifna(VALUE(REGEXEXTRACT(E64,""[0-9.]+[,]+[0-9]+"")))"),92.0)</f>
        <v>92</v>
      </c>
      <c r="R64" s="25"/>
    </row>
    <row r="65" ht="14.25" customHeight="1">
      <c r="A65" s="178"/>
      <c r="B65" s="12">
        <v>1528740.0</v>
      </c>
      <c r="C65" s="13">
        <v>45823.69070601852</v>
      </c>
      <c r="D65" s="179" t="s">
        <v>152</v>
      </c>
      <c r="E65" s="180" t="s">
        <v>416</v>
      </c>
      <c r="F65" s="181"/>
      <c r="G65" s="179" t="s">
        <v>158</v>
      </c>
      <c r="H65" s="190"/>
      <c r="I65" s="190"/>
      <c r="J65" s="187" t="s">
        <v>2669</v>
      </c>
      <c r="K65" s="187"/>
      <c r="L65" s="184" t="str">
        <f>IFERROR(__xludf.DUMMYFUNCTION("ifna(IF(and(D65=""Saída"",J65=""Sangria""),if(sum(QUERY(IMPORTRANGE(""https://docs.google.com/spreadsheets/d/1E4szPcLzsqlw4uyBAoJ61L1ChCgpz4wVP8tHfHW1g_c"",""BD M Sangrias!a:i""),""select Col6 where Col7 = 'Depositada' and Col9 = '""&amp;K65&amp;""' and Col6 = """&amp;"&amp;M65&amp;"" and Col4 = date '""&amp;YEAR(C65)&amp;""-""&amp;MONTH(C65)&amp;""-""&amp;DAY(C65)&amp;""'""))&gt;0,""Depositada"",if(sum(QUERY(IMPORTRANGE(""https://docs.google.com/spreadsheets/d/1EcLIvUgMoBC5as4ikW0wuQsGH5yVZ6cQ1y16qEfgPnk"",""BD M Sangrias!a:i""),""select Col6 where Col7"&amp;" = 'Caixa Atendimento' and Col9 = '""&amp;K65&amp;""' and Col6 = ""&amp;M65&amp;"" and Col4 = date '""&amp;YEAR(C65)&amp;""-""&amp;MONTH(C65)&amp;""-""&amp;DAY(C65)&amp;""'""))&gt;0,""Caixa Atendimento"",""Caixa Sangria"")),""""),""Caixa Sangria"")"),"")</f>
        <v/>
      </c>
      <c r="M65" s="185">
        <f>IFERROR(__xludf.DUMMYFUNCTION("ifna(VALUE(REGEXEXTRACT(E65,""[0-9.]+[,]+[0-9]+"")))"),100.0)</f>
        <v>100</v>
      </c>
      <c r="R65" s="25"/>
    </row>
    <row r="66" ht="14.25" customHeight="1">
      <c r="A66" s="178"/>
      <c r="B66" s="12">
        <v>1529118.0</v>
      </c>
      <c r="C66" s="13">
        <v>45823.78303240741</v>
      </c>
      <c r="D66" s="179" t="s">
        <v>81</v>
      </c>
      <c r="E66" s="180" t="s">
        <v>3291</v>
      </c>
      <c r="F66" s="181"/>
      <c r="G66" s="179" t="s">
        <v>3295</v>
      </c>
      <c r="H66" s="190"/>
      <c r="I66" s="190"/>
      <c r="J66" s="187" t="s">
        <v>2438</v>
      </c>
      <c r="K66" s="187"/>
      <c r="L66" s="184" t="str">
        <f>IFERROR(__xludf.DUMMYFUNCTION("ifna(IF(and(D66=""Saída"",J66=""Sangria""),if(sum(QUERY(IMPORTRANGE(""https://docs.google.com/spreadsheets/d/1E4szPcLzsqlw4uyBAoJ61L1ChCgpz4wVP8tHfHW1g_c"",""BD M Sangrias!a:i""),""select Col6 where Col7 = 'Depositada' and Col9 = '""&amp;K66&amp;""' and Col6 = """&amp;"&amp;M66&amp;"" and Col4 = date '""&amp;YEAR(C66)&amp;""-""&amp;MONTH(C66)&amp;""-""&amp;DAY(C66)&amp;""'""))&gt;0,""Depositada"",if(sum(QUERY(IMPORTRANGE(""https://docs.google.com/spreadsheets/d/1EcLIvUgMoBC5as4ikW0wuQsGH5yVZ6cQ1y16qEfgPnk"",""BD M Sangrias!a:i""),""select Col6 where Col7"&amp;" = 'Caixa Atendimento' and Col9 = '""&amp;K66&amp;""' and Col6 = ""&amp;M66&amp;"" and Col4 = date '""&amp;YEAR(C66)&amp;""-""&amp;MONTH(C66)&amp;""-""&amp;DAY(C66)&amp;""'""))&gt;0,""Caixa Atendimento"",""Caixa Sangria"")),""""),""Caixa Sangria"")"),"")</f>
        <v/>
      </c>
      <c r="M66" s="185">
        <f>IFERROR(__xludf.DUMMYFUNCTION("ifna(VALUE(REGEXEXTRACT(E66,""[0-9.]+[,]+[0-9]+"")))"),108.06)</f>
        <v>108.06</v>
      </c>
      <c r="R66" s="25"/>
    </row>
    <row r="67" ht="14.25" customHeight="1">
      <c r="A67" s="178"/>
      <c r="B67" s="12">
        <v>1530107.0</v>
      </c>
      <c r="C67" s="13">
        <v>45823.965949074074</v>
      </c>
      <c r="D67" s="179" t="s">
        <v>81</v>
      </c>
      <c r="E67" s="180" t="s">
        <v>811</v>
      </c>
      <c r="F67" s="181"/>
      <c r="G67" s="179" t="s">
        <v>3312</v>
      </c>
      <c r="H67" s="190"/>
      <c r="I67" s="190"/>
      <c r="J67" s="187" t="s">
        <v>1782</v>
      </c>
      <c r="K67" s="187"/>
      <c r="L67" s="184" t="str">
        <f>IFERROR(__xludf.DUMMYFUNCTION("ifna(IF(and(D67=""Saída"",J67=""Sangria""),if(sum(QUERY(IMPORTRANGE(""https://docs.google.com/spreadsheets/d/1E4szPcLzsqlw4uyBAoJ61L1ChCgpz4wVP8tHfHW1g_c"",""BD M Sangrias!a:i""),""select Col6 where Col7 = 'Depositada' and Col9 = '""&amp;K67&amp;""' and Col6 = """&amp;"&amp;M67&amp;"" and Col4 = date '""&amp;YEAR(C67)&amp;""-""&amp;MONTH(C67)&amp;""-""&amp;DAY(C67)&amp;""'""))&gt;0,""Depositada"",if(sum(QUERY(IMPORTRANGE(""https://docs.google.com/spreadsheets/d/1EcLIvUgMoBC5as4ikW0wuQsGH5yVZ6cQ1y16qEfgPnk"",""BD M Sangrias!a:i""),""select Col6 where Col7"&amp;" = 'Caixa Atendimento' and Col9 = '""&amp;K67&amp;""' and Col6 = ""&amp;M67&amp;"" and Col4 = date '""&amp;YEAR(C67)&amp;""-""&amp;MONTH(C67)&amp;""-""&amp;DAY(C67)&amp;""'""))&gt;0,""Caixa Atendimento"",""Caixa Sangria"")),""""),""Caixa Sangria"")"),"")</f>
        <v/>
      </c>
      <c r="M67" s="185">
        <f>IFERROR(__xludf.DUMMYFUNCTION("ifna(VALUE(REGEXEXTRACT(E67,""[0-9.]+[,]+[0-9]+"")))"),110.0)</f>
        <v>110</v>
      </c>
      <c r="R67" s="25"/>
    </row>
    <row r="68">
      <c r="A68" s="178"/>
      <c r="B68" s="12">
        <v>1530112.0</v>
      </c>
      <c r="C68" s="13">
        <v>45823.966886574075</v>
      </c>
      <c r="D68" s="179" t="s">
        <v>81</v>
      </c>
      <c r="E68" s="180" t="s">
        <v>3334</v>
      </c>
      <c r="F68" s="188"/>
      <c r="G68" s="179" t="s">
        <v>114</v>
      </c>
      <c r="H68" s="190"/>
      <c r="I68" s="190"/>
      <c r="J68" s="187" t="s">
        <v>3151</v>
      </c>
      <c r="K68" s="187"/>
      <c r="L68" s="184" t="str">
        <f>IFERROR(__xludf.DUMMYFUNCTION("ifna(IF(and(D68=""Saída"",J68=""Sangria""),if(sum(QUERY(IMPORTRANGE(""https://docs.google.com/spreadsheets/d/1E4szPcLzsqlw4uyBAoJ61L1ChCgpz4wVP8tHfHW1g_c"",""BD M Sangrias!a:i""),""select Col6 where Col7 = 'Depositada' and Col9 = '""&amp;K68&amp;""' and Col6 = """&amp;"&amp;M68&amp;"" and Col4 = date '""&amp;YEAR(C68)&amp;""-""&amp;MONTH(C68)&amp;""-""&amp;DAY(C68)&amp;""'""))&gt;0,""Depositada"",if(sum(QUERY(IMPORTRANGE(""https://docs.google.com/spreadsheets/d/1EcLIvUgMoBC5as4ikW0wuQsGH5yVZ6cQ1y16qEfgPnk"",""BD M Sangrias!a:i""),""select Col6 where Col7"&amp;" = 'Caixa Atendimento' and Col9 = '""&amp;K68&amp;""' and Col6 = ""&amp;M68&amp;"" and Col4 = date '""&amp;YEAR(C68)&amp;""-""&amp;MONTH(C68)&amp;""-""&amp;DAY(C68)&amp;""'""))&gt;0,""Caixa Atendimento"",""Caixa Sangria"")),""""),""Caixa Sangria"")"),"")</f>
        <v/>
      </c>
      <c r="M68" s="185">
        <f>IFERROR(__xludf.DUMMYFUNCTION("ifna(VALUE(REGEXEXTRACT(E68,""[0-9.]+[,]+[0-9]+"")))"),204.0)</f>
        <v>204</v>
      </c>
      <c r="N68" s="193" t="str">
        <f>B10</f>
        <v/>
      </c>
      <c r="O68" s="106"/>
      <c r="P68" s="106"/>
      <c r="Q68" s="106"/>
      <c r="R68" s="122"/>
      <c r="S68" s="123" t="str">
        <f>B11</f>
        <v/>
      </c>
      <c r="T68" s="106"/>
      <c r="U68" s="106"/>
      <c r="V68" s="124"/>
    </row>
    <row r="69" ht="14.25" customHeight="1">
      <c r="A69" s="178"/>
      <c r="B69" s="12">
        <v>1530166.0</v>
      </c>
      <c r="C69" s="13">
        <v>45823.98064814815</v>
      </c>
      <c r="D69" s="179" t="s">
        <v>81</v>
      </c>
      <c r="E69" s="180" t="s">
        <v>3362</v>
      </c>
      <c r="F69" s="181"/>
      <c r="G69" s="179" t="s">
        <v>128</v>
      </c>
      <c r="H69" s="190"/>
      <c r="I69" s="190"/>
      <c r="J69" s="187" t="s">
        <v>2735</v>
      </c>
      <c r="K69" s="187" t="s">
        <v>1894</v>
      </c>
      <c r="L69" s="184" t="str">
        <f>IFERROR(__xludf.DUMMYFUNCTION("ifna(IF(and(D69=""Saída"",J69=""Sangria""),if(sum(QUERY(IMPORTRANGE(""https://docs.google.com/spreadsheets/d/1E4szPcLzsqlw4uyBAoJ61L1ChCgpz4wVP8tHfHW1g_c"",""BD M Sangrias!a:i""),""select Col6 where Col7 = 'Depositada' and Col9 = '""&amp;K69&amp;""' and Col6 = """&amp;"&amp;M69&amp;"" and Col4 = date '""&amp;YEAR(C69)&amp;""-""&amp;MONTH(C69)&amp;""-""&amp;DAY(C69)&amp;""'""))&gt;0,""Depositada"",if(sum(QUERY(IMPORTRANGE(""https://docs.google.com/spreadsheets/d/1EcLIvUgMoBC5as4ikW0wuQsGH5yVZ6cQ1y16qEfgPnk"",""BD M Sangrias!a:i""),""select Col6 where Col7"&amp;" = 'Caixa Atendimento' and Col9 = '""&amp;K69&amp;""' and Col6 = ""&amp;M69&amp;"" and Col4 = date '""&amp;YEAR(C69)&amp;""-""&amp;MONTH(C69)&amp;""-""&amp;DAY(C69)&amp;""'""))&gt;0,""Caixa Atendimento"",""Caixa Sangria"")),""""),""Caixa Sangria"")"),"#REF!")</f>
        <v>#REF!</v>
      </c>
      <c r="M69" s="185">
        <f>IFERROR(__xludf.DUMMYFUNCTION("ifna(VALUE(REGEXEXTRACT(E69,""[0-9.]+[,]+[0-9]+"")))"),2150.0)</f>
        <v>2150</v>
      </c>
      <c r="N69" s="46" t="str">
        <f>IFERROR(__xludf.DUMMYFUNCTION("query(C28:L504,""select Col1,Col3,Col8,Col9 where (Col8 = 'Adiantamento' or Col8 = 'Consumo') and Col9 = '""&amp;B10&amp;""'"",1)"),"Data")</f>
        <v>Data</v>
      </c>
      <c r="O69" s="47" t="str">
        <f>IFERROR(__xludf.DUMMYFUNCTION("""COMPUTED_VALUE"""),"Valor ")</f>
        <v>Valor </v>
      </c>
      <c r="P69" s="47" t="str">
        <f>IFERROR(__xludf.DUMMYFUNCTION("""COMPUTED_VALUE"""),"Tipo")</f>
        <v>Tipo</v>
      </c>
      <c r="Q69" s="47" t="str">
        <f>IFERROR(__xludf.DUMMYFUNCTION("""COMPUTED_VALUE"""),"Funcionário")</f>
        <v>Funcionário</v>
      </c>
      <c r="R69" s="49"/>
      <c r="S69" s="50" t="str">
        <f>IFERROR(__xludf.DUMMYFUNCTION("query(C28:L504,""select Col1,Col3,Col8,Col9 where (Col8 = 'Adiantamento' or Col8 = 'Consumo') and Col9 = '""&amp;B11&amp;""'"",1)"),"Data")</f>
        <v>Data</v>
      </c>
      <c r="T69" s="50" t="str">
        <f>IFERROR(__xludf.DUMMYFUNCTION("""COMPUTED_VALUE"""),"Valor ")</f>
        <v>Valor </v>
      </c>
      <c r="U69" s="50" t="str">
        <f>IFERROR(__xludf.DUMMYFUNCTION("""COMPUTED_VALUE"""),"Tipo")</f>
        <v>Tipo</v>
      </c>
      <c r="V69" s="51" t="str">
        <f>IFERROR(__xludf.DUMMYFUNCTION("""COMPUTED_VALUE"""),"Funcionário")</f>
        <v>Funcionário</v>
      </c>
    </row>
    <row r="70" ht="14.25" customHeight="1">
      <c r="A70" s="178"/>
      <c r="B70" s="12">
        <v>1530512.0</v>
      </c>
      <c r="C70" s="13">
        <v>45824.64896990741</v>
      </c>
      <c r="D70" s="179" t="s">
        <v>152</v>
      </c>
      <c r="E70" s="180" t="s">
        <v>3384</v>
      </c>
      <c r="F70" s="181"/>
      <c r="G70" s="179" t="s">
        <v>158</v>
      </c>
      <c r="H70" s="190"/>
      <c r="I70" s="190"/>
      <c r="J70" s="187" t="s">
        <v>2669</v>
      </c>
      <c r="K70" s="187"/>
      <c r="L70" s="184" t="str">
        <f>IFERROR(__xludf.DUMMYFUNCTION("ifna(IF(and(D70=""Saída"",J70=""Sangria""),if(sum(QUERY(IMPORTRANGE(""https://docs.google.com/spreadsheets/d/1E4szPcLzsqlw4uyBAoJ61L1ChCgpz4wVP8tHfHW1g_c"",""BD M Sangrias!a:i""),""select Col6 where Col7 = 'Depositada' and Col9 = '""&amp;K70&amp;""' and Col6 = """&amp;"&amp;M70&amp;"" and Col4 = date '""&amp;YEAR(C70)&amp;""-""&amp;MONTH(C70)&amp;""-""&amp;DAY(C70)&amp;""'""))&gt;0,""Depositada"",if(sum(QUERY(IMPORTRANGE(""https://docs.google.com/spreadsheets/d/1EcLIvUgMoBC5as4ikW0wuQsGH5yVZ6cQ1y16qEfgPnk"",""BD M Sangrias!a:i""),""select Col6 where Col7"&amp;" = 'Caixa Atendimento' and Col9 = '""&amp;K70&amp;""' and Col6 = ""&amp;M70&amp;"" and Col4 = date '""&amp;YEAR(C70)&amp;""-""&amp;MONTH(C70)&amp;""-""&amp;DAY(C70)&amp;""'""))&gt;0,""Caixa Atendimento"",""Caixa Sangria"")),""""),""Caixa Sangria"")"),"")</f>
        <v/>
      </c>
      <c r="M70" s="185">
        <f>IFERROR(__xludf.DUMMYFUNCTION("ifna(VALUE(REGEXEXTRACT(E70,""[0-9.]+[,]+[0-9]+"")))"),51.0)</f>
        <v>51</v>
      </c>
      <c r="N70" s="52"/>
      <c r="O70" s="53"/>
      <c r="P70" s="53"/>
      <c r="Q70" s="53"/>
      <c r="R70" s="55"/>
      <c r="S70" s="53"/>
      <c r="T70" s="53"/>
      <c r="U70" s="53"/>
      <c r="V70" s="54"/>
    </row>
    <row r="71" ht="14.25" customHeight="1">
      <c r="A71" s="178"/>
      <c r="B71" s="12">
        <v>1531046.0</v>
      </c>
      <c r="C71" s="13">
        <v>45824.85895833333</v>
      </c>
      <c r="D71" s="179" t="s">
        <v>81</v>
      </c>
      <c r="E71" s="180" t="s">
        <v>3404</v>
      </c>
      <c r="F71" s="181"/>
      <c r="G71" s="179" t="s">
        <v>3407</v>
      </c>
      <c r="H71" s="190"/>
      <c r="I71" s="190"/>
      <c r="J71" s="187" t="s">
        <v>1782</v>
      </c>
      <c r="K71" s="187"/>
      <c r="L71" s="184" t="str">
        <f>IFERROR(__xludf.DUMMYFUNCTION("ifna(IF(and(D71=""Saída"",J71=""Sangria""),if(sum(QUERY(IMPORTRANGE(""https://docs.google.com/spreadsheets/d/1E4szPcLzsqlw4uyBAoJ61L1ChCgpz4wVP8tHfHW1g_c"",""BD M Sangrias!a:i""),""select Col6 where Col7 = 'Depositada' and Col9 = '""&amp;K71&amp;""' and Col6 = """&amp;"&amp;M71&amp;"" and Col4 = date '""&amp;YEAR(C71)&amp;""-""&amp;MONTH(C71)&amp;""-""&amp;DAY(C71)&amp;""'""))&gt;0,""Depositada"",if(sum(QUERY(IMPORTRANGE(""https://docs.google.com/spreadsheets/d/1EcLIvUgMoBC5as4ikW0wuQsGH5yVZ6cQ1y16qEfgPnk"",""BD M Sangrias!a:i""),""select Col6 where Col7"&amp;" = 'Caixa Atendimento' and Col9 = '""&amp;K71&amp;""' and Col6 = ""&amp;M71&amp;"" and Col4 = date '""&amp;YEAR(C71)&amp;""-""&amp;MONTH(C71)&amp;""-""&amp;DAY(C71)&amp;""'""))&gt;0,""Caixa Atendimento"",""Caixa Sangria"")),""""),""Caixa Sangria"")"),"")</f>
        <v/>
      </c>
      <c r="M71" s="185">
        <f>IFERROR(__xludf.DUMMYFUNCTION("ifna(VALUE(REGEXEXTRACT(E71,""[0-9.]+[,]+[0-9]+"")))"),70.2)</f>
        <v>70.2</v>
      </c>
      <c r="N71" s="52"/>
      <c r="O71" s="53"/>
      <c r="P71" s="53"/>
      <c r="Q71" s="53"/>
      <c r="R71" s="55"/>
      <c r="S71" s="53"/>
      <c r="T71" s="53"/>
      <c r="U71" s="53"/>
      <c r="V71" s="54"/>
    </row>
    <row r="72" ht="14.25" customHeight="1">
      <c r="A72" s="178"/>
      <c r="B72" s="12">
        <v>1531277.0</v>
      </c>
      <c r="C72" s="13">
        <v>45824.91960648148</v>
      </c>
      <c r="D72" s="179" t="s">
        <v>81</v>
      </c>
      <c r="E72" s="180" t="s">
        <v>3419</v>
      </c>
      <c r="F72" s="181"/>
      <c r="G72" s="179" t="s">
        <v>128</v>
      </c>
      <c r="H72" s="190"/>
      <c r="I72" s="190"/>
      <c r="J72" s="187" t="s">
        <v>2735</v>
      </c>
      <c r="K72" s="187" t="s">
        <v>1894</v>
      </c>
      <c r="L72" s="184" t="str">
        <f>IFERROR(__xludf.DUMMYFUNCTION("ifna(IF(and(D72=""Saída"",J72=""Sangria""),if(sum(QUERY(IMPORTRANGE(""https://docs.google.com/spreadsheets/d/1E4szPcLzsqlw4uyBAoJ61L1ChCgpz4wVP8tHfHW1g_c"",""BD M Sangrias!a:i""),""select Col6 where Col7 = 'Depositada' and Col9 = '""&amp;K72&amp;""' and Col6 = """&amp;"&amp;M72&amp;"" and Col4 = date '""&amp;YEAR(C72)&amp;""-""&amp;MONTH(C72)&amp;""-""&amp;DAY(C72)&amp;""'""))&gt;0,""Depositada"",if(sum(QUERY(IMPORTRANGE(""https://docs.google.com/spreadsheets/d/1EcLIvUgMoBC5as4ikW0wuQsGH5yVZ6cQ1y16qEfgPnk"",""BD M Sangrias!a:i""),""select Col6 where Col7"&amp;" = 'Caixa Atendimento' and Col9 = '""&amp;K72&amp;""' and Col6 = ""&amp;M72&amp;"" and Col4 = date '""&amp;YEAR(C72)&amp;""-""&amp;MONTH(C72)&amp;""-""&amp;DAY(C72)&amp;""'""))&gt;0,""Caixa Atendimento"",""Caixa Sangria"")),""""),""Caixa Sangria"")"),"#REF!")</f>
        <v>#REF!</v>
      </c>
      <c r="M72" s="185">
        <f>IFERROR(__xludf.DUMMYFUNCTION("ifna(VALUE(REGEXEXTRACT(E72,""[0-9.]+[,]+[0-9]+"")))"),1800.0)</f>
        <v>1800</v>
      </c>
      <c r="N72" s="52"/>
      <c r="O72" s="53"/>
      <c r="P72" s="53"/>
      <c r="Q72" s="53"/>
      <c r="R72" s="55"/>
      <c r="S72" s="53"/>
      <c r="T72" s="53"/>
      <c r="U72" s="53"/>
      <c r="V72" s="54"/>
    </row>
    <row r="73" ht="14.25" customHeight="1">
      <c r="A73" s="178"/>
      <c r="B73" s="12">
        <v>1531585.0</v>
      </c>
      <c r="C73" s="13">
        <v>45825.514814814815</v>
      </c>
      <c r="D73" s="179" t="s">
        <v>152</v>
      </c>
      <c r="E73" s="180" t="s">
        <v>834</v>
      </c>
      <c r="F73" s="181"/>
      <c r="G73" s="179" t="s">
        <v>158</v>
      </c>
      <c r="H73" s="190"/>
      <c r="I73" s="190"/>
      <c r="J73" s="187" t="s">
        <v>2669</v>
      </c>
      <c r="K73" s="187"/>
      <c r="L73" s="184" t="str">
        <f>IFERROR(__xludf.DUMMYFUNCTION("ifna(IF(and(D73=""Saída"",J73=""Sangria""),if(sum(QUERY(IMPORTRANGE(""https://docs.google.com/spreadsheets/d/1E4szPcLzsqlw4uyBAoJ61L1ChCgpz4wVP8tHfHW1g_c"",""BD M Sangrias!a:i""),""select Col6 where Col7 = 'Depositada' and Col9 = '""&amp;K73&amp;""' and Col6 = """&amp;"&amp;M73&amp;"" and Col4 = date '""&amp;YEAR(C73)&amp;""-""&amp;MONTH(C73)&amp;""-""&amp;DAY(C73)&amp;""'""))&gt;0,""Depositada"",if(sum(QUERY(IMPORTRANGE(""https://docs.google.com/spreadsheets/d/1EcLIvUgMoBC5as4ikW0wuQsGH5yVZ6cQ1y16qEfgPnk"",""BD M Sangrias!a:i""),""select Col6 where Col7"&amp;" = 'Caixa Atendimento' and Col9 = '""&amp;K73&amp;""' and Col6 = ""&amp;M73&amp;"" and Col4 = date '""&amp;YEAR(C73)&amp;""-""&amp;MONTH(C73)&amp;""-""&amp;DAY(C73)&amp;""'""))&gt;0,""Caixa Atendimento"",""Caixa Sangria"")),""""),""Caixa Sangria"")"),"")</f>
        <v/>
      </c>
      <c r="M73" s="185">
        <f>IFERROR(__xludf.DUMMYFUNCTION("ifna(VALUE(REGEXEXTRACT(E73,""[0-9.]+[,]+[0-9]+"")))"),15.0)</f>
        <v>15</v>
      </c>
      <c r="N73" s="52"/>
      <c r="O73" s="53"/>
      <c r="P73" s="53"/>
      <c r="Q73" s="53"/>
      <c r="R73" s="55"/>
      <c r="S73" s="53"/>
      <c r="T73" s="53"/>
      <c r="U73" s="53"/>
      <c r="V73" s="54"/>
    </row>
    <row r="74" ht="14.25" customHeight="1">
      <c r="A74" s="178"/>
      <c r="B74" s="12">
        <v>1531890.0</v>
      </c>
      <c r="C74" s="13">
        <v>45825.69076388889</v>
      </c>
      <c r="D74" s="179" t="s">
        <v>81</v>
      </c>
      <c r="E74" s="180" t="s">
        <v>3442</v>
      </c>
      <c r="F74" s="198"/>
      <c r="G74" s="179" t="s">
        <v>211</v>
      </c>
      <c r="H74" s="190"/>
      <c r="I74" s="190"/>
      <c r="J74" s="187" t="s">
        <v>3151</v>
      </c>
      <c r="K74" s="187"/>
      <c r="L74" s="184" t="str">
        <f>IFERROR(__xludf.DUMMYFUNCTION("ifna(IF(and(D74=""Saída"",J74=""Sangria""),if(sum(QUERY(IMPORTRANGE(""https://docs.google.com/spreadsheets/d/1E4szPcLzsqlw4uyBAoJ61L1ChCgpz4wVP8tHfHW1g_c"",""BD M Sangrias!a:i""),""select Col6 where Col7 = 'Depositada' and Col9 = '""&amp;K74&amp;""' and Col6 = """&amp;"&amp;M74&amp;"" and Col4 = date '""&amp;YEAR(C74)&amp;""-""&amp;MONTH(C74)&amp;""-""&amp;DAY(C74)&amp;""'""))&gt;0,""Depositada"",if(sum(QUERY(IMPORTRANGE(""https://docs.google.com/spreadsheets/d/1EcLIvUgMoBC5as4ikW0wuQsGH5yVZ6cQ1y16qEfgPnk"",""BD M Sangrias!a:i""),""select Col6 where Col7"&amp;" = 'Caixa Atendimento' and Col9 = '""&amp;K74&amp;""' and Col6 = ""&amp;M74&amp;"" and Col4 = date '""&amp;YEAR(C74)&amp;""-""&amp;MONTH(C74)&amp;""-""&amp;DAY(C74)&amp;""'""))&gt;0,""Caixa Atendimento"",""Caixa Sangria"")),""""),""Caixa Sangria"")"),"")</f>
        <v/>
      </c>
      <c r="M74" s="185">
        <f>IFERROR(__xludf.DUMMYFUNCTION("ifna(VALUE(REGEXEXTRACT(E74,""[0-9.]+[,]+[0-9]+"")))"),589.82)</f>
        <v>589.82</v>
      </c>
      <c r="N74" s="52"/>
      <c r="O74" s="53"/>
      <c r="P74" s="53"/>
      <c r="Q74" s="53"/>
      <c r="R74" s="55"/>
      <c r="S74" s="53"/>
      <c r="T74" s="53"/>
      <c r="U74" s="53"/>
      <c r="V74" s="54"/>
    </row>
    <row r="75" ht="14.25" customHeight="1">
      <c r="A75" s="178"/>
      <c r="B75" s="12">
        <v>1531893.0</v>
      </c>
      <c r="C75" s="13">
        <v>45825.692094907405</v>
      </c>
      <c r="D75" s="179" t="s">
        <v>81</v>
      </c>
      <c r="E75" s="180" t="s">
        <v>343</v>
      </c>
      <c r="F75" s="181"/>
      <c r="G75" s="179" t="s">
        <v>128</v>
      </c>
      <c r="H75" s="190"/>
      <c r="I75" s="190"/>
      <c r="J75" s="187" t="s">
        <v>2735</v>
      </c>
      <c r="K75" s="187" t="s">
        <v>1894</v>
      </c>
      <c r="L75" s="184" t="str">
        <f>IFERROR(__xludf.DUMMYFUNCTION("ifna(IF(and(D75=""Saída"",J75=""Sangria""),if(sum(QUERY(IMPORTRANGE(""https://docs.google.com/spreadsheets/d/1E4szPcLzsqlw4uyBAoJ61L1ChCgpz4wVP8tHfHW1g_c"",""BD M Sangrias!a:i""),""select Col6 where Col7 = 'Depositada' and Col9 = '""&amp;K75&amp;""' and Col6 = """&amp;"&amp;M75&amp;"" and Col4 = date '""&amp;YEAR(C75)&amp;""-""&amp;MONTH(C75)&amp;""-""&amp;DAY(C75)&amp;""'""))&gt;0,""Depositada"",if(sum(QUERY(IMPORTRANGE(""https://docs.google.com/spreadsheets/d/1EcLIvUgMoBC5as4ikW0wuQsGH5yVZ6cQ1y16qEfgPnk"",""BD M Sangrias!a:i""),""select Col6 where Col7"&amp;" = 'Caixa Atendimento' and Col9 = '""&amp;K75&amp;""' and Col6 = ""&amp;M75&amp;"" and Col4 = date '""&amp;YEAR(C75)&amp;""-""&amp;MONTH(C75)&amp;""-""&amp;DAY(C75)&amp;""'""))&gt;0,""Caixa Atendimento"",""Caixa Sangria"")),""""),""Caixa Sangria"")"),"#REF!")</f>
        <v>#REF!</v>
      </c>
      <c r="M75" s="185">
        <f>IFERROR(__xludf.DUMMYFUNCTION("ifna(VALUE(REGEXEXTRACT(E75,""[0-9.]+[,]+[0-9]+"")))"),550.0)</f>
        <v>550</v>
      </c>
      <c r="N75" s="52"/>
      <c r="O75" s="79"/>
      <c r="P75" s="79"/>
      <c r="Q75" s="79"/>
      <c r="R75" s="81"/>
      <c r="S75" s="79"/>
      <c r="T75" s="79"/>
      <c r="U75" s="79"/>
      <c r="V75" s="80"/>
    </row>
    <row r="76" ht="14.25" customHeight="1">
      <c r="A76" s="178"/>
      <c r="B76" s="12">
        <v>1532602.0</v>
      </c>
      <c r="C76" s="13">
        <v>45825.922939814816</v>
      </c>
      <c r="D76" s="179" t="s">
        <v>81</v>
      </c>
      <c r="E76" s="180" t="s">
        <v>3486</v>
      </c>
      <c r="F76" s="181"/>
      <c r="G76" s="179" t="s">
        <v>3104</v>
      </c>
      <c r="H76" s="190"/>
      <c r="I76" s="190"/>
      <c r="J76" s="187" t="s">
        <v>2735</v>
      </c>
      <c r="K76" s="187" t="s">
        <v>1894</v>
      </c>
      <c r="L76" s="184" t="str">
        <f>IFERROR(__xludf.DUMMYFUNCTION("ifna(IF(and(D76=""Saída"",J76=""Sangria""),if(sum(QUERY(IMPORTRANGE(""https://docs.google.com/spreadsheets/d/1E4szPcLzsqlw4uyBAoJ61L1ChCgpz4wVP8tHfHW1g_c"",""BD M Sangrias!a:i""),""select Col6 where Col7 = 'Depositada' and Col9 = '""&amp;K76&amp;""' and Col6 = """&amp;"&amp;M76&amp;"" and Col4 = date '""&amp;YEAR(C76)&amp;""-""&amp;MONTH(C76)&amp;""-""&amp;DAY(C76)&amp;""'""))&gt;0,""Depositada"",if(sum(QUERY(IMPORTRANGE(""https://docs.google.com/spreadsheets/d/1EcLIvUgMoBC5as4ikW0wuQsGH5yVZ6cQ1y16qEfgPnk"",""BD M Sangrias!a:i""),""select Col6 where Col7"&amp;" = 'Caixa Atendimento' and Col9 = '""&amp;K76&amp;""' and Col6 = ""&amp;M76&amp;"" and Col4 = date '""&amp;YEAR(C76)&amp;""-""&amp;MONTH(C76)&amp;""-""&amp;DAY(C76)&amp;""'""))&gt;0,""Caixa Atendimento"",""Caixa Sangria"")),""""),""Caixa Sangria"")"),"#REF!")</f>
        <v>#REF!</v>
      </c>
      <c r="M76" s="185">
        <f>IFERROR(__xludf.DUMMYFUNCTION("ifna(VALUE(REGEXEXTRACT(E76,""[0-9.]+[,]+[0-9]+"")))"),500.0)</f>
        <v>500</v>
      </c>
      <c r="N76" s="88"/>
      <c r="O76" s="89"/>
      <c r="P76" s="89"/>
      <c r="Q76" s="89"/>
      <c r="R76" s="91"/>
      <c r="S76" s="89"/>
      <c r="T76" s="89"/>
      <c r="U76" s="89"/>
      <c r="V76" s="90"/>
    </row>
    <row r="77" ht="14.25" customHeight="1">
      <c r="A77" s="178"/>
      <c r="B77" s="12">
        <v>1532925.0</v>
      </c>
      <c r="C77" s="13">
        <v>45826.556759259256</v>
      </c>
      <c r="D77" s="179" t="s">
        <v>152</v>
      </c>
      <c r="E77" s="180" t="s">
        <v>3499</v>
      </c>
      <c r="F77" s="181"/>
      <c r="G77" s="179" t="s">
        <v>267</v>
      </c>
      <c r="H77" s="190"/>
      <c r="I77" s="190"/>
      <c r="J77" s="187" t="s">
        <v>2669</v>
      </c>
      <c r="K77" s="187"/>
      <c r="L77" s="184" t="str">
        <f>IFERROR(__xludf.DUMMYFUNCTION("ifna(IF(and(D77=""Saída"",J77=""Sangria""),if(sum(QUERY(IMPORTRANGE(""https://docs.google.com/spreadsheets/d/1E4szPcLzsqlw4uyBAoJ61L1ChCgpz4wVP8tHfHW1g_c"",""BD M Sangrias!a:i""),""select Col6 where Col7 = 'Depositada' and Col9 = '""&amp;K77&amp;""' and Col6 = """&amp;"&amp;M77&amp;"" and Col4 = date '""&amp;YEAR(C77)&amp;""-""&amp;MONTH(C77)&amp;""-""&amp;DAY(C77)&amp;""'""))&gt;0,""Depositada"",if(sum(QUERY(IMPORTRANGE(""https://docs.google.com/spreadsheets/d/1EcLIvUgMoBC5as4ikW0wuQsGH5yVZ6cQ1y16qEfgPnk"",""BD M Sangrias!a:i""),""select Col6 where Col7"&amp;" = 'Caixa Atendimento' and Col9 = '""&amp;K77&amp;""' and Col6 = ""&amp;M77&amp;"" and Col4 = date '""&amp;YEAR(C77)&amp;""-""&amp;MONTH(C77)&amp;""-""&amp;DAY(C77)&amp;""'""))&gt;0,""Caixa Atendimento"",""Caixa Sangria"")),""""),""Caixa Sangria"")"),"")</f>
        <v/>
      </c>
      <c r="M77" s="185">
        <f>IFERROR(__xludf.DUMMYFUNCTION("ifna(VALUE(REGEXEXTRACT(E77,""[0-9.]+[,]+[0-9]+"")))"),107.55)</f>
        <v>107.55</v>
      </c>
      <c r="N77" s="194"/>
      <c r="O77" s="195"/>
      <c r="P77" s="196"/>
      <c r="Q77" s="197"/>
      <c r="R77" s="91"/>
      <c r="S77" s="89"/>
      <c r="T77" s="89"/>
      <c r="U77" s="89"/>
      <c r="V77" s="90"/>
    </row>
    <row r="78" ht="14.25" customHeight="1">
      <c r="A78" s="178"/>
      <c r="B78" s="12">
        <v>1533134.0</v>
      </c>
      <c r="C78" s="13">
        <v>45826.653229166666</v>
      </c>
      <c r="D78" s="179" t="s">
        <v>81</v>
      </c>
      <c r="E78" s="180" t="s">
        <v>3515</v>
      </c>
      <c r="F78" s="188"/>
      <c r="G78" s="179" t="s">
        <v>3518</v>
      </c>
      <c r="H78" s="190"/>
      <c r="I78" s="190"/>
      <c r="J78" s="199" t="s">
        <v>3521</v>
      </c>
      <c r="K78" s="187"/>
      <c r="L78" s="184" t="str">
        <f>IFERROR(__xludf.DUMMYFUNCTION("ifna(IF(and(D78=""Saída"",J78=""Sangria""),if(sum(QUERY(IMPORTRANGE(""https://docs.google.com/spreadsheets/d/1E4szPcLzsqlw4uyBAoJ61L1ChCgpz4wVP8tHfHW1g_c"",""BD M Sangrias!a:i""),""select Col6 where Col7 = 'Depositada' and Col9 = '""&amp;K78&amp;""' and Col6 = """&amp;"&amp;M78&amp;"" and Col4 = date '""&amp;YEAR(C78)&amp;""-""&amp;MONTH(C78)&amp;""-""&amp;DAY(C78)&amp;""'""))&gt;0,""Depositada"",if(sum(QUERY(IMPORTRANGE(""https://docs.google.com/spreadsheets/d/1EcLIvUgMoBC5as4ikW0wuQsGH5yVZ6cQ1y16qEfgPnk"",""BD M Sangrias!a:i""),""select Col6 where Col7"&amp;" = 'Caixa Atendimento' and Col9 = '""&amp;K78&amp;""' and Col6 = ""&amp;M78&amp;"" and Col4 = date '""&amp;YEAR(C78)&amp;""-""&amp;MONTH(C78)&amp;""-""&amp;DAY(C78)&amp;""'""))&gt;0,""Caixa Atendimento"",""Caixa Sangria"")),""""),""Caixa Sangria"")"),"")</f>
        <v/>
      </c>
      <c r="M78" s="185">
        <f>IFERROR(__xludf.DUMMYFUNCTION("ifna(VALUE(REGEXEXTRACT(E78,""[0-9.]+[,]+[0-9]+"")))"),240.0)</f>
        <v>240</v>
      </c>
      <c r="N78" s="194"/>
      <c r="O78" s="195"/>
      <c r="P78" s="196"/>
      <c r="Q78" s="197"/>
      <c r="R78" s="91"/>
      <c r="S78" s="89"/>
      <c r="T78" s="89"/>
      <c r="U78" s="89"/>
      <c r="V78" s="90"/>
    </row>
    <row r="79" ht="14.25" customHeight="1">
      <c r="A79" s="178"/>
      <c r="B79" s="12">
        <v>1533407.0</v>
      </c>
      <c r="C79" s="13">
        <v>45826.737175925926</v>
      </c>
      <c r="D79" s="179" t="s">
        <v>81</v>
      </c>
      <c r="E79" s="180" t="s">
        <v>3534</v>
      </c>
      <c r="F79" s="181"/>
      <c r="G79" s="179" t="s">
        <v>3538</v>
      </c>
      <c r="H79" s="190"/>
      <c r="I79" s="190"/>
      <c r="J79" s="187" t="s">
        <v>3151</v>
      </c>
      <c r="K79" s="187"/>
      <c r="L79" s="184" t="str">
        <f>IFERROR(__xludf.DUMMYFUNCTION("ifna(IF(and(D79=""Saída"",J79=""Sangria""),if(sum(QUERY(IMPORTRANGE(""https://docs.google.com/spreadsheets/d/1E4szPcLzsqlw4uyBAoJ61L1ChCgpz4wVP8tHfHW1g_c"",""BD M Sangrias!a:i""),""select Col6 where Col7 = 'Depositada' and Col9 = '""&amp;K79&amp;""' and Col6 = """&amp;"&amp;M79&amp;"" and Col4 = date '""&amp;YEAR(C79)&amp;""-""&amp;MONTH(C79)&amp;""-""&amp;DAY(C79)&amp;""'""))&gt;0,""Depositada"",if(sum(QUERY(IMPORTRANGE(""https://docs.google.com/spreadsheets/d/1EcLIvUgMoBC5as4ikW0wuQsGH5yVZ6cQ1y16qEfgPnk"",""BD M Sangrias!a:i""),""select Col6 where Col7"&amp;" = 'Caixa Atendimento' and Col9 = '""&amp;K79&amp;""' and Col6 = ""&amp;M79&amp;"" and Col4 = date '""&amp;YEAR(C79)&amp;""-""&amp;MONTH(C79)&amp;""-""&amp;DAY(C79)&amp;""'""))&gt;0,""Caixa Atendimento"",""Caixa Sangria"")),""""),""Caixa Sangria"")"),"")</f>
        <v/>
      </c>
      <c r="M79" s="185">
        <f>IFERROR(__xludf.DUMMYFUNCTION("ifna(VALUE(REGEXEXTRACT(E79,""[0-9.]+[,]+[0-9]+"")))"),132.6)</f>
        <v>132.6</v>
      </c>
      <c r="N79" s="194"/>
      <c r="O79" s="195"/>
      <c r="P79" s="196"/>
      <c r="Q79" s="197"/>
      <c r="R79" s="91"/>
      <c r="S79" s="89"/>
      <c r="T79" s="89"/>
      <c r="U79" s="89"/>
      <c r="V79" s="90"/>
    </row>
    <row r="80" ht="14.25" customHeight="1">
      <c r="A80" s="178"/>
      <c r="B80" s="12">
        <v>1533414.0</v>
      </c>
      <c r="C80" s="13">
        <v>45826.737662037034</v>
      </c>
      <c r="D80" s="179" t="s">
        <v>81</v>
      </c>
      <c r="E80" s="180" t="s">
        <v>669</v>
      </c>
      <c r="F80" s="181"/>
      <c r="G80" s="179" t="s">
        <v>3549</v>
      </c>
      <c r="H80" s="190"/>
      <c r="I80" s="190"/>
      <c r="J80" s="187" t="s">
        <v>3151</v>
      </c>
      <c r="K80" s="187"/>
      <c r="L80" s="184" t="str">
        <f>IFERROR(__xludf.DUMMYFUNCTION("ifna(IF(and(D80=""Saída"",J80=""Sangria""),if(sum(QUERY(IMPORTRANGE(""https://docs.google.com/spreadsheets/d/1E4szPcLzsqlw4uyBAoJ61L1ChCgpz4wVP8tHfHW1g_c"",""BD M Sangrias!a:i""),""select Col6 where Col7 = 'Depositada' and Col9 = '""&amp;K80&amp;""' and Col6 = """&amp;"&amp;M80&amp;"" and Col4 = date '""&amp;YEAR(C80)&amp;""-""&amp;MONTH(C80)&amp;""-""&amp;DAY(C80)&amp;""'""))&gt;0,""Depositada"",if(sum(QUERY(IMPORTRANGE(""https://docs.google.com/spreadsheets/d/1EcLIvUgMoBC5as4ikW0wuQsGH5yVZ6cQ1y16qEfgPnk"",""BD M Sangrias!a:i""),""select Col6 where Col7"&amp;" = 'Caixa Atendimento' and Col9 = '""&amp;K80&amp;""' and Col6 = ""&amp;M80&amp;"" and Col4 = date '""&amp;YEAR(C80)&amp;""-""&amp;MONTH(C80)&amp;""-""&amp;DAY(C80)&amp;""'""))&gt;0,""Caixa Atendimento"",""Caixa Sangria"")),""""),""Caixa Sangria"")"),"")</f>
        <v/>
      </c>
      <c r="M80" s="185">
        <f>IFERROR(__xludf.DUMMYFUNCTION("ifna(VALUE(REGEXEXTRACT(E80,""[0-9.]+[,]+[0-9]+"")))"),7.0)</f>
        <v>7</v>
      </c>
      <c r="N80" s="194"/>
      <c r="O80" s="195"/>
      <c r="P80" s="196"/>
      <c r="Q80" s="197"/>
      <c r="R80" s="91"/>
      <c r="S80" s="89"/>
      <c r="T80" s="89"/>
      <c r="U80" s="89"/>
      <c r="V80" s="90"/>
    </row>
    <row r="81" ht="14.25" customHeight="1">
      <c r="A81" s="178"/>
      <c r="B81" s="12">
        <v>1533420.0</v>
      </c>
      <c r="C81" s="13">
        <v>45826.738333333335</v>
      </c>
      <c r="D81" s="179" t="s">
        <v>81</v>
      </c>
      <c r="E81" s="180" t="s">
        <v>3567</v>
      </c>
      <c r="F81" s="181"/>
      <c r="G81" s="179" t="s">
        <v>3570</v>
      </c>
      <c r="H81" s="190"/>
      <c r="I81" s="190"/>
      <c r="J81" s="187" t="s">
        <v>3151</v>
      </c>
      <c r="K81" s="187"/>
      <c r="L81" s="184" t="str">
        <f>IFERROR(__xludf.DUMMYFUNCTION("ifna(IF(and(D81=""Saída"",J81=""Sangria""),if(sum(QUERY(IMPORTRANGE(""https://docs.google.com/spreadsheets/d/1E4szPcLzsqlw4uyBAoJ61L1ChCgpz4wVP8tHfHW1g_c"",""BD M Sangrias!a:i""),""select Col6 where Col7 = 'Depositada' and Col9 = '""&amp;K81&amp;""' and Col6 = """&amp;"&amp;M81&amp;"" and Col4 = date '""&amp;YEAR(C81)&amp;""-""&amp;MONTH(C81)&amp;""-""&amp;DAY(C81)&amp;""'""))&gt;0,""Depositada"",if(sum(QUERY(IMPORTRANGE(""https://docs.google.com/spreadsheets/d/1EcLIvUgMoBC5as4ikW0wuQsGH5yVZ6cQ1y16qEfgPnk"",""BD M Sangrias!a:i""),""select Col6 where Col7"&amp;" = 'Caixa Atendimento' and Col9 = '""&amp;K81&amp;""' and Col6 = ""&amp;M81&amp;"" and Col4 = date '""&amp;YEAR(C81)&amp;""-""&amp;MONTH(C81)&amp;""-""&amp;DAY(C81)&amp;""'""))&gt;0,""Caixa Atendimento"",""Caixa Sangria"")),""""),""Caixa Sangria"")"),"")</f>
        <v/>
      </c>
      <c r="M81" s="185">
        <f>IFERROR(__xludf.DUMMYFUNCTION("ifna(VALUE(REGEXEXTRACT(E81,""[0-9.]+[,]+[0-9]+"")))"),64.71)</f>
        <v>64.71</v>
      </c>
      <c r="N81" s="88"/>
      <c r="O81" s="89"/>
      <c r="P81" s="89"/>
      <c r="Q81" s="89"/>
      <c r="R81" s="91"/>
      <c r="S81" s="89"/>
      <c r="T81" s="89"/>
      <c r="U81" s="89"/>
      <c r="V81" s="90"/>
    </row>
    <row r="82" ht="14.25" customHeight="1">
      <c r="A82" s="178"/>
      <c r="B82" s="12">
        <v>1533460.0</v>
      </c>
      <c r="C82" s="13">
        <v>45826.74886574074</v>
      </c>
      <c r="D82" s="179" t="s">
        <v>81</v>
      </c>
      <c r="E82" s="180" t="s">
        <v>590</v>
      </c>
      <c r="F82" s="181"/>
      <c r="G82" s="179" t="s">
        <v>3587</v>
      </c>
      <c r="H82" s="190"/>
      <c r="I82" s="190"/>
      <c r="J82" s="187" t="s">
        <v>2735</v>
      </c>
      <c r="K82" s="187" t="s">
        <v>2018</v>
      </c>
      <c r="L82" s="184" t="str">
        <f>IFERROR(__xludf.DUMMYFUNCTION("ifna(IF(and(D82=""Saída"",J82=""Sangria""),if(sum(QUERY(IMPORTRANGE(""https://docs.google.com/spreadsheets/d/1E4szPcLzsqlw4uyBAoJ61L1ChCgpz4wVP8tHfHW1g_c"",""BD M Sangrias!a:i""),""select Col6 where Col7 = 'Depositada' and Col9 = '""&amp;K82&amp;""' and Col6 = """&amp;"&amp;M82&amp;"" and Col4 = date '""&amp;YEAR(C82)&amp;""-""&amp;MONTH(C82)&amp;""-""&amp;DAY(C82)&amp;""'""))&gt;0,""Depositada"",if(sum(QUERY(IMPORTRANGE(""https://docs.google.com/spreadsheets/d/1EcLIvUgMoBC5as4ikW0wuQsGH5yVZ6cQ1y16qEfgPnk"",""BD M Sangrias!a:i""),""select Col6 where Col7"&amp;" = 'Caixa Atendimento' and Col9 = '""&amp;K82&amp;""' and Col6 = ""&amp;M82&amp;"" and Col4 = date '""&amp;YEAR(C82)&amp;""-""&amp;MONTH(C82)&amp;""-""&amp;DAY(C82)&amp;""'""))&gt;0,""Caixa Atendimento"",""Caixa Sangria"")),""""),""Caixa Sangria"")"),"#REF!")</f>
        <v>#REF!</v>
      </c>
      <c r="M82" s="185">
        <f>IFERROR(__xludf.DUMMYFUNCTION("ifna(VALUE(REGEXEXTRACT(E82,""[0-9.]+[,]+[0-9]+"")))"),350.0)</f>
        <v>350</v>
      </c>
      <c r="N82" s="88"/>
      <c r="O82" s="89"/>
      <c r="P82" s="89"/>
      <c r="Q82" s="89"/>
      <c r="R82" s="91"/>
      <c r="S82" s="89"/>
      <c r="T82" s="89"/>
      <c r="U82" s="89"/>
      <c r="V82" s="90"/>
    </row>
    <row r="83" ht="14.25" customHeight="1">
      <c r="A83" s="178"/>
      <c r="B83" s="12">
        <v>1534114.0</v>
      </c>
      <c r="C83" s="13">
        <v>45826.94982638889</v>
      </c>
      <c r="D83" s="179" t="s">
        <v>81</v>
      </c>
      <c r="E83" s="180" t="s">
        <v>3600</v>
      </c>
      <c r="F83" s="181"/>
      <c r="G83" s="179" t="s">
        <v>3603</v>
      </c>
      <c r="H83" s="190"/>
      <c r="I83" s="190"/>
      <c r="J83" s="187" t="s">
        <v>2438</v>
      </c>
      <c r="K83" s="187"/>
      <c r="L83" s="184" t="str">
        <f>IFERROR(__xludf.DUMMYFUNCTION("ifna(IF(and(D83=""Saída"",J83=""Sangria""),if(sum(QUERY(IMPORTRANGE(""https://docs.google.com/spreadsheets/d/1E4szPcLzsqlw4uyBAoJ61L1ChCgpz4wVP8tHfHW1g_c"",""BD M Sangrias!a:i""),""select Col6 where Col7 = 'Depositada' and Col9 = '""&amp;K83&amp;""' and Col6 = """&amp;"&amp;M83&amp;"" and Col4 = date '""&amp;YEAR(C83)&amp;""-""&amp;MONTH(C83)&amp;""-""&amp;DAY(C83)&amp;""'""))&gt;0,""Depositada"",if(sum(QUERY(IMPORTRANGE(""https://docs.google.com/spreadsheets/d/1EcLIvUgMoBC5as4ikW0wuQsGH5yVZ6cQ1y16qEfgPnk"",""BD M Sangrias!a:i""),""select Col6 where Col7"&amp;" = 'Caixa Atendimento' and Col9 = '""&amp;K83&amp;""' and Col6 = ""&amp;M83&amp;"" and Col4 = date '""&amp;YEAR(C83)&amp;""-""&amp;MONTH(C83)&amp;""-""&amp;DAY(C83)&amp;""'""))&gt;0,""Caixa Atendimento"",""Caixa Sangria"")),""""),""Caixa Sangria"")"),"")</f>
        <v/>
      </c>
      <c r="M83" s="185">
        <f>IFERROR(__xludf.DUMMYFUNCTION("ifna(VALUE(REGEXEXTRACT(E83,""[0-9.]+[,]+[0-9]+"")))"),62.88)</f>
        <v>62.88</v>
      </c>
      <c r="N83" s="108"/>
      <c r="O83" s="109"/>
      <c r="P83" s="109"/>
      <c r="Q83" s="109"/>
      <c r="R83" s="91"/>
      <c r="S83" s="109"/>
      <c r="T83" s="109"/>
      <c r="U83" s="109"/>
      <c r="V83" s="111"/>
    </row>
    <row r="84" ht="14.25" customHeight="1">
      <c r="A84" s="178"/>
      <c r="B84" s="12">
        <v>1534121.0</v>
      </c>
      <c r="C84" s="13">
        <v>45826.95175925926</v>
      </c>
      <c r="D84" s="179" t="s">
        <v>81</v>
      </c>
      <c r="E84" s="180" t="s">
        <v>3616</v>
      </c>
      <c r="F84" s="181"/>
      <c r="G84" s="179" t="s">
        <v>3619</v>
      </c>
      <c r="H84" s="190"/>
      <c r="I84" s="190"/>
      <c r="J84" s="187" t="s">
        <v>2438</v>
      </c>
      <c r="K84" s="187"/>
      <c r="L84" s="184" t="str">
        <f>IFERROR(__xludf.DUMMYFUNCTION("ifna(IF(and(D84=""Saída"",J84=""Sangria""),if(sum(QUERY(IMPORTRANGE(""https://docs.google.com/spreadsheets/d/1E4szPcLzsqlw4uyBAoJ61L1ChCgpz4wVP8tHfHW1g_c"",""BD M Sangrias!a:i""),""select Col6 where Col7 = 'Depositada' and Col9 = '""&amp;K84&amp;""' and Col6 = """&amp;"&amp;M84&amp;"" and Col4 = date '""&amp;YEAR(C84)&amp;""-""&amp;MONTH(C84)&amp;""-""&amp;DAY(C84)&amp;""'""))&gt;0,""Depositada"",if(sum(QUERY(IMPORTRANGE(""https://docs.google.com/spreadsheets/d/1EcLIvUgMoBC5as4ikW0wuQsGH5yVZ6cQ1y16qEfgPnk"",""BD M Sangrias!a:i""),""select Col6 where Col7"&amp;" = 'Caixa Atendimento' and Col9 = '""&amp;K84&amp;""' and Col6 = ""&amp;M84&amp;"" and Col4 = date '""&amp;YEAR(C84)&amp;""-""&amp;MONTH(C84)&amp;""-""&amp;DAY(C84)&amp;""'""))&gt;0,""Caixa Atendimento"",""Caixa Sangria"")),""""),""Caixa Sangria"")"),"")</f>
        <v/>
      </c>
      <c r="M84" s="185">
        <f>IFERROR(__xludf.DUMMYFUNCTION("ifna(VALUE(REGEXEXTRACT(E84,""[0-9.]+[,]+[0-9]+"")))"),75.23)</f>
        <v>75.23</v>
      </c>
      <c r="N84" s="201"/>
      <c r="O84" s="202"/>
      <c r="P84" s="202"/>
      <c r="Q84" s="202"/>
      <c r="R84" s="91"/>
      <c r="S84" s="202"/>
      <c r="T84" s="202"/>
      <c r="U84" s="202"/>
      <c r="V84" s="203"/>
    </row>
    <row r="85" ht="14.25" customHeight="1">
      <c r="A85" s="178"/>
      <c r="B85" s="12">
        <v>1534126.0</v>
      </c>
      <c r="C85" s="13">
        <v>45826.95255787037</v>
      </c>
      <c r="D85" s="179" t="s">
        <v>81</v>
      </c>
      <c r="E85" s="180" t="s">
        <v>3639</v>
      </c>
      <c r="F85" s="181"/>
      <c r="G85" s="179" t="s">
        <v>3642</v>
      </c>
      <c r="H85" s="190"/>
      <c r="I85" s="190"/>
      <c r="J85" s="187" t="s">
        <v>2438</v>
      </c>
      <c r="K85" s="187"/>
      <c r="L85" s="184" t="str">
        <f>IFERROR(__xludf.DUMMYFUNCTION("ifna(IF(and(D85=""Saída"",J85=""Sangria""),if(sum(QUERY(IMPORTRANGE(""https://docs.google.com/spreadsheets/d/1E4szPcLzsqlw4uyBAoJ61L1ChCgpz4wVP8tHfHW1g_c"",""BD M Sangrias!a:i""),""select Col6 where Col7 = 'Depositada' and Col9 = '""&amp;K85&amp;""' and Col6 = """&amp;"&amp;M85&amp;"" and Col4 = date '""&amp;YEAR(C85)&amp;""-""&amp;MONTH(C85)&amp;""-""&amp;DAY(C85)&amp;""'""))&gt;0,""Depositada"",if(sum(QUERY(IMPORTRANGE(""https://docs.google.com/spreadsheets/d/1EcLIvUgMoBC5as4ikW0wuQsGH5yVZ6cQ1y16qEfgPnk"",""BD M Sangrias!a:i""),""select Col6 where Col7"&amp;" = 'Caixa Atendimento' and Col9 = '""&amp;K85&amp;""' and Col6 = ""&amp;M85&amp;"" and Col4 = date '""&amp;YEAR(C85)&amp;""-""&amp;MONTH(C85)&amp;""-""&amp;DAY(C85)&amp;""'""))&gt;0,""Caixa Atendimento"",""Caixa Sangria"")),""""),""Caixa Sangria"")"),"")</f>
        <v/>
      </c>
      <c r="M85" s="185">
        <f>IFERROR(__xludf.DUMMYFUNCTION("ifna(VALUE(REGEXEXTRACT(E85,""[0-9.]+[,]+[0-9]+"")))"),60.76)</f>
        <v>60.76</v>
      </c>
      <c r="N85" s="201"/>
      <c r="O85" s="202"/>
      <c r="P85" s="202"/>
      <c r="Q85" s="202"/>
      <c r="R85" s="91"/>
      <c r="S85" s="202"/>
      <c r="T85" s="202"/>
      <c r="U85" s="202"/>
      <c r="V85" s="203"/>
    </row>
    <row r="86" ht="14.25" customHeight="1">
      <c r="A86" s="178"/>
      <c r="B86" s="12">
        <v>1534133.0</v>
      </c>
      <c r="C86" s="13">
        <v>45826.953576388885</v>
      </c>
      <c r="D86" s="179" t="s">
        <v>81</v>
      </c>
      <c r="E86" s="180" t="s">
        <v>3656</v>
      </c>
      <c r="F86" s="181"/>
      <c r="G86" s="179" t="s">
        <v>3659</v>
      </c>
      <c r="H86" s="190"/>
      <c r="I86" s="190"/>
      <c r="J86" s="187" t="s">
        <v>2438</v>
      </c>
      <c r="K86" s="187"/>
      <c r="L86" s="184" t="str">
        <f>IFERROR(__xludf.DUMMYFUNCTION("ifna(IF(and(D86=""Saída"",J86=""Sangria""),if(sum(QUERY(IMPORTRANGE(""https://docs.google.com/spreadsheets/d/1E4szPcLzsqlw4uyBAoJ61L1ChCgpz4wVP8tHfHW1g_c"",""BD M Sangrias!a:i""),""select Col6 where Col7 = 'Depositada' and Col9 = '""&amp;K86&amp;""' and Col6 = """&amp;"&amp;M86&amp;"" and Col4 = date '""&amp;YEAR(C86)&amp;""-""&amp;MONTH(C86)&amp;""-""&amp;DAY(C86)&amp;""'""))&gt;0,""Depositada"",if(sum(QUERY(IMPORTRANGE(""https://docs.google.com/spreadsheets/d/1EcLIvUgMoBC5as4ikW0wuQsGH5yVZ6cQ1y16qEfgPnk"",""BD M Sangrias!a:i""),""select Col6 where Col7"&amp;" = 'Caixa Atendimento' and Col9 = '""&amp;K86&amp;""' and Col6 = ""&amp;M86&amp;"" and Col4 = date '""&amp;YEAR(C86)&amp;""-""&amp;MONTH(C86)&amp;""-""&amp;DAY(C86)&amp;""'""))&gt;0,""Caixa Atendimento"",""Caixa Sangria"")),""""),""Caixa Sangria"")"),"")</f>
        <v/>
      </c>
      <c r="M86" s="185">
        <f>IFERROR(__xludf.DUMMYFUNCTION("ifna(VALUE(REGEXEXTRACT(E86,""[0-9.]+[,]+[0-9]+"")))"),64.9)</f>
        <v>64.9</v>
      </c>
      <c r="N86" s="201"/>
      <c r="O86" s="202"/>
      <c r="P86" s="202"/>
      <c r="Q86" s="202"/>
      <c r="R86" s="91"/>
      <c r="S86" s="202"/>
      <c r="T86" s="202"/>
      <c r="U86" s="202"/>
      <c r="V86" s="203"/>
    </row>
    <row r="87" ht="14.25" customHeight="1">
      <c r="A87" s="178"/>
      <c r="B87" s="12">
        <v>1534159.0</v>
      </c>
      <c r="C87" s="13">
        <v>45826.96157407408</v>
      </c>
      <c r="D87" s="179" t="s">
        <v>81</v>
      </c>
      <c r="E87" s="180" t="s">
        <v>200</v>
      </c>
      <c r="F87" s="181"/>
      <c r="G87" s="179" t="s">
        <v>3104</v>
      </c>
      <c r="H87" s="190"/>
      <c r="I87" s="190"/>
      <c r="J87" s="187" t="s">
        <v>2735</v>
      </c>
      <c r="K87" s="187" t="s">
        <v>1894</v>
      </c>
      <c r="L87" s="184" t="str">
        <f>IFERROR(__xludf.DUMMYFUNCTION("ifna(IF(and(D87=""Saída"",J87=""Sangria""),if(sum(QUERY(IMPORTRANGE(""https://docs.google.com/spreadsheets/d/1E4szPcLzsqlw4uyBAoJ61L1ChCgpz4wVP8tHfHW1g_c"",""BD M Sangrias!a:i""),""select Col6 where Col7 = 'Depositada' and Col9 = '""&amp;K87&amp;""' and Col6 = """&amp;"&amp;M87&amp;"" and Col4 = date '""&amp;YEAR(C87)&amp;""-""&amp;MONTH(C87)&amp;""-""&amp;DAY(C87)&amp;""'""))&gt;0,""Depositada"",if(sum(QUERY(IMPORTRANGE(""https://docs.google.com/spreadsheets/d/1EcLIvUgMoBC5as4ikW0wuQsGH5yVZ6cQ1y16qEfgPnk"",""BD M Sangrias!a:i""),""select Col6 where Col7"&amp;" = 'Caixa Atendimento' and Col9 = '""&amp;K87&amp;""' and Col6 = ""&amp;M87&amp;"" and Col4 = date '""&amp;YEAR(C87)&amp;""-""&amp;MONTH(C87)&amp;""-""&amp;DAY(C87)&amp;""'""))&gt;0,""Caixa Atendimento"",""Caixa Sangria"")),""""),""Caixa Sangria"")"),"#REF!")</f>
        <v>#REF!</v>
      </c>
      <c r="M87" s="185">
        <f>IFERROR(__xludf.DUMMYFUNCTION("ifna(VALUE(REGEXEXTRACT(E87,""[0-9.]+[,]+[0-9]+"")))"),300.0)</f>
        <v>300</v>
      </c>
      <c r="N87" s="201"/>
      <c r="O87" s="202"/>
      <c r="P87" s="202"/>
      <c r="Q87" s="202"/>
      <c r="R87" s="91"/>
      <c r="S87" s="202"/>
      <c r="T87" s="202"/>
      <c r="U87" s="202"/>
      <c r="V87" s="203"/>
    </row>
    <row r="88" ht="14.25" customHeight="1">
      <c r="A88" s="178"/>
      <c r="B88" s="12">
        <v>1534915.0</v>
      </c>
      <c r="C88" s="13">
        <v>45827.76174768519</v>
      </c>
      <c r="D88" s="179" t="s">
        <v>81</v>
      </c>
      <c r="E88" s="180" t="s">
        <v>3690</v>
      </c>
      <c r="F88" s="188"/>
      <c r="G88" s="179" t="s">
        <v>114</v>
      </c>
      <c r="H88" s="190"/>
      <c r="I88" s="190"/>
      <c r="J88" s="187" t="s">
        <v>3151</v>
      </c>
      <c r="K88" s="187"/>
      <c r="L88" s="184" t="str">
        <f>IFERROR(__xludf.DUMMYFUNCTION("ifna(IF(and(D88=""Saída"",J88=""Sangria""),if(sum(QUERY(IMPORTRANGE(""https://docs.google.com/spreadsheets/d/1E4szPcLzsqlw4uyBAoJ61L1ChCgpz4wVP8tHfHW1g_c"",""BD M Sangrias!a:i""),""select Col6 where Col7 = 'Depositada' and Col9 = '""&amp;K88&amp;""' and Col6 = """&amp;"&amp;M88&amp;"" and Col4 = date '""&amp;YEAR(C88)&amp;""-""&amp;MONTH(C88)&amp;""-""&amp;DAY(C88)&amp;""'""))&gt;0,""Depositada"",if(sum(QUERY(IMPORTRANGE(""https://docs.google.com/spreadsheets/d/1EcLIvUgMoBC5as4ikW0wuQsGH5yVZ6cQ1y16qEfgPnk"",""BD M Sangrias!a:i""),""select Col6 where Col7"&amp;" = 'Caixa Atendimento' and Col9 = '""&amp;K88&amp;""' and Col6 = ""&amp;M88&amp;"" and Col4 = date '""&amp;YEAR(C88)&amp;""-""&amp;MONTH(C88)&amp;""-""&amp;DAY(C88)&amp;""'""))&gt;0,""Caixa Atendimento"",""Caixa Sangria"")),""""),""Caixa Sangria"")"),"")</f>
        <v/>
      </c>
      <c r="M88" s="185">
        <f>IFERROR(__xludf.DUMMYFUNCTION("ifna(VALUE(REGEXEXTRACT(E88,""[0-9.]+[,]+[0-9]+"")))"),181.26)</f>
        <v>181.26</v>
      </c>
      <c r="N88" s="204"/>
      <c r="O88" s="205"/>
      <c r="P88" s="205"/>
      <c r="Q88" s="205"/>
      <c r="R88" s="206"/>
      <c r="S88" s="205"/>
      <c r="T88" s="205"/>
      <c r="U88" s="205"/>
      <c r="V88" s="207"/>
    </row>
    <row r="89" ht="14.25" customHeight="1">
      <c r="A89" s="178"/>
      <c r="B89" s="12">
        <v>1535126.0</v>
      </c>
      <c r="C89" s="13">
        <v>45827.81568287037</v>
      </c>
      <c r="D89" s="179" t="s">
        <v>152</v>
      </c>
      <c r="E89" s="180" t="s">
        <v>155</v>
      </c>
      <c r="F89" s="181"/>
      <c r="G89" s="179" t="s">
        <v>158</v>
      </c>
      <c r="H89" s="190"/>
      <c r="I89" s="190"/>
      <c r="J89" s="187" t="s">
        <v>2669</v>
      </c>
      <c r="K89" s="187"/>
      <c r="L89" s="184" t="str">
        <f>IFERROR(__xludf.DUMMYFUNCTION("ifna(IF(and(D89=""Saída"",J89=""Sangria""),if(sum(QUERY(IMPORTRANGE(""https://docs.google.com/spreadsheets/d/1E4szPcLzsqlw4uyBAoJ61L1ChCgpz4wVP8tHfHW1g_c"",""BD M Sangrias!a:i""),""select Col6 where Col7 = 'Depositada' and Col9 = '""&amp;K89&amp;""' and Col6 = """&amp;"&amp;M89&amp;"" and Col4 = date '""&amp;YEAR(C89)&amp;""-""&amp;MONTH(C89)&amp;""-""&amp;DAY(C89)&amp;""'""))&gt;0,""Depositada"",if(sum(QUERY(IMPORTRANGE(""https://docs.google.com/spreadsheets/d/1EcLIvUgMoBC5as4ikW0wuQsGH5yVZ6cQ1y16qEfgPnk"",""BD M Sangrias!a:i""),""select Col6 where Col7"&amp;" = 'Caixa Atendimento' and Col9 = '""&amp;K89&amp;""' and Col6 = ""&amp;M89&amp;"" and Col4 = date '""&amp;YEAR(C89)&amp;""-""&amp;MONTH(C89)&amp;""-""&amp;DAY(C89)&amp;""'""))&gt;0,""Caixa Atendimento"",""Caixa Sangria"")),""""),""Caixa Sangria"")"),"")</f>
        <v/>
      </c>
      <c r="M89" s="185">
        <f>IFERROR(__xludf.DUMMYFUNCTION("ifna(VALUE(REGEXEXTRACT(E89,""[0-9.]+[,]+[0-9]+"")))"),21.0)</f>
        <v>21</v>
      </c>
      <c r="N89" s="208"/>
      <c r="O89" s="208"/>
      <c r="P89" s="208"/>
      <c r="Q89" s="208"/>
      <c r="R89" s="25"/>
      <c r="S89" s="25"/>
      <c r="T89" s="25"/>
      <c r="U89" s="25"/>
      <c r="V89" s="25"/>
    </row>
    <row r="90" ht="14.25" customHeight="1">
      <c r="A90" s="178"/>
      <c r="B90" s="12">
        <v>1536384.0</v>
      </c>
      <c r="C90" s="13">
        <v>45828.66364583333</v>
      </c>
      <c r="D90" s="179" t="s">
        <v>81</v>
      </c>
      <c r="E90" s="180" t="s">
        <v>3730</v>
      </c>
      <c r="F90" s="198"/>
      <c r="G90" s="179" t="s">
        <v>3732</v>
      </c>
      <c r="H90" s="190"/>
      <c r="I90" s="190"/>
      <c r="J90" s="187" t="s">
        <v>1782</v>
      </c>
      <c r="K90" s="187"/>
      <c r="L90" s="184" t="str">
        <f>IFERROR(__xludf.DUMMYFUNCTION("ifna(IF(and(D90=""Saída"",J90=""Sangria""),if(sum(QUERY(IMPORTRANGE(""https://docs.google.com/spreadsheets/d/1E4szPcLzsqlw4uyBAoJ61L1ChCgpz4wVP8tHfHW1g_c"",""BD M Sangrias!a:i""),""select Col6 where Col7 = 'Depositada' and Col9 = '""&amp;K90&amp;""' and Col6 = """&amp;"&amp;M90&amp;"" and Col4 = date '""&amp;YEAR(C90)&amp;""-""&amp;MONTH(C90)&amp;""-""&amp;DAY(C90)&amp;""'""))&gt;0,""Depositada"",if(sum(QUERY(IMPORTRANGE(""https://docs.google.com/spreadsheets/d/1EcLIvUgMoBC5as4ikW0wuQsGH5yVZ6cQ1y16qEfgPnk"",""BD M Sangrias!a:i""),""select Col6 where Col7"&amp;" = 'Caixa Atendimento' and Col9 = '""&amp;K90&amp;""' and Col6 = ""&amp;M90&amp;"" and Col4 = date '""&amp;YEAR(C90)&amp;""-""&amp;MONTH(C90)&amp;""-""&amp;DAY(C90)&amp;""'""))&gt;0,""Caixa Atendimento"",""Caixa Sangria"")),""""),""Caixa Sangria"")"),"")</f>
        <v/>
      </c>
      <c r="M90" s="185">
        <f>IFERROR(__xludf.DUMMYFUNCTION("ifna(VALUE(REGEXEXTRACT(E90,""[0-9.]+[,]+[0-9]+"")))"),65.0)</f>
        <v>65</v>
      </c>
      <c r="S90" s="25"/>
      <c r="T90" s="25"/>
      <c r="U90" s="25"/>
      <c r="V90" s="25"/>
    </row>
    <row r="91" ht="14.25" customHeight="1">
      <c r="A91" s="178"/>
      <c r="B91" s="12">
        <v>1536388.0</v>
      </c>
      <c r="C91" s="13">
        <v>45828.66442129629</v>
      </c>
      <c r="D91" s="179" t="s">
        <v>81</v>
      </c>
      <c r="E91" s="180" t="s">
        <v>1263</v>
      </c>
      <c r="F91" s="181"/>
      <c r="G91" s="179" t="s">
        <v>3752</v>
      </c>
      <c r="H91" s="190"/>
      <c r="I91" s="190"/>
      <c r="J91" s="187" t="s">
        <v>1782</v>
      </c>
      <c r="K91" s="187"/>
      <c r="L91" s="184" t="str">
        <f>IFERROR(__xludf.DUMMYFUNCTION("ifna(IF(and(D91=""Saída"",J91=""Sangria""),if(sum(QUERY(IMPORTRANGE(""https://docs.google.com/spreadsheets/d/1E4szPcLzsqlw4uyBAoJ61L1ChCgpz4wVP8tHfHW1g_c"",""BD M Sangrias!a:i""),""select Col6 where Col7 = 'Depositada' and Col9 = '""&amp;K91&amp;""' and Col6 = """&amp;"&amp;M91&amp;"" and Col4 = date '""&amp;YEAR(C91)&amp;""-""&amp;MONTH(C91)&amp;""-""&amp;DAY(C91)&amp;""'""))&gt;0,""Depositada"",if(sum(QUERY(IMPORTRANGE(""https://docs.google.com/spreadsheets/d/1EcLIvUgMoBC5as4ikW0wuQsGH5yVZ6cQ1y16qEfgPnk"",""BD M Sangrias!a:i""),""select Col6 where Col7"&amp;" = 'Caixa Atendimento' and Col9 = '""&amp;K91&amp;""' and Col6 = ""&amp;M91&amp;"" and Col4 = date '""&amp;YEAR(C91)&amp;""-""&amp;MONTH(C91)&amp;""-""&amp;DAY(C91)&amp;""'""))&gt;0,""Caixa Atendimento"",""Caixa Sangria"")),""""),""Caixa Sangria"")"),"")</f>
        <v/>
      </c>
      <c r="M91" s="185">
        <f>IFERROR(__xludf.DUMMYFUNCTION("ifna(VALUE(REGEXEXTRACT(E91,""[0-9.]+[,]+[0-9]+"")))"),70.0)</f>
        <v>70</v>
      </c>
      <c r="N91" s="208"/>
      <c r="O91" s="208"/>
      <c r="P91" s="208"/>
      <c r="Q91" s="208"/>
      <c r="S91" s="25"/>
      <c r="T91" s="25"/>
      <c r="U91" s="25"/>
      <c r="V91" s="25"/>
    </row>
    <row r="92" ht="14.25" customHeight="1">
      <c r="A92" s="178"/>
      <c r="B92" s="12">
        <v>1536392.0</v>
      </c>
      <c r="C92" s="13">
        <v>45828.66609953704</v>
      </c>
      <c r="D92" s="179" t="s">
        <v>81</v>
      </c>
      <c r="E92" s="180" t="s">
        <v>3765</v>
      </c>
      <c r="F92" s="181"/>
      <c r="G92" s="179" t="s">
        <v>3767</v>
      </c>
      <c r="H92" s="190"/>
      <c r="I92" s="190"/>
      <c r="J92" s="187" t="s">
        <v>2438</v>
      </c>
      <c r="K92" s="187"/>
      <c r="L92" s="184" t="str">
        <f>IFERROR(__xludf.DUMMYFUNCTION("ifna(IF(and(D92=""Saída"",J92=""Sangria""),if(sum(QUERY(IMPORTRANGE(""https://docs.google.com/spreadsheets/d/1E4szPcLzsqlw4uyBAoJ61L1ChCgpz4wVP8tHfHW1g_c"",""BD M Sangrias!a:i""),""select Col6 where Col7 = 'Depositada' and Col9 = '""&amp;K92&amp;""' and Col6 = """&amp;"&amp;M92&amp;"" and Col4 = date '""&amp;YEAR(C92)&amp;""-""&amp;MONTH(C92)&amp;""-""&amp;DAY(C92)&amp;""'""))&gt;0,""Depositada"",if(sum(QUERY(IMPORTRANGE(""https://docs.google.com/spreadsheets/d/1EcLIvUgMoBC5as4ikW0wuQsGH5yVZ6cQ1y16qEfgPnk"",""BD M Sangrias!a:i""),""select Col6 where Col7"&amp;" = 'Caixa Atendimento' and Col9 = '""&amp;K92&amp;""' and Col6 = ""&amp;M92&amp;"" and Col4 = date '""&amp;YEAR(C92)&amp;""-""&amp;MONTH(C92)&amp;""-""&amp;DAY(C92)&amp;""'""))&gt;0,""Caixa Atendimento"",""Caixa Sangria"")),""""),""Caixa Sangria"")"),"")</f>
        <v/>
      </c>
      <c r="M92" s="185">
        <f>IFERROR(__xludf.DUMMYFUNCTION("ifna(VALUE(REGEXEXTRACT(E92,""[0-9.]+[,]+[0-9]+"")))"),75.48)</f>
        <v>75.48</v>
      </c>
      <c r="N92" s="25"/>
      <c r="O92" s="25"/>
      <c r="P92" s="25"/>
      <c r="Q92" s="25"/>
      <c r="R92" s="25"/>
      <c r="S92" s="25"/>
      <c r="T92" s="185"/>
      <c r="U92" s="185"/>
      <c r="V92" s="185"/>
    </row>
    <row r="93" ht="14.25" customHeight="1">
      <c r="A93" s="178"/>
      <c r="B93" s="12">
        <v>1536401.0</v>
      </c>
      <c r="C93" s="13">
        <v>45828.66893518518</v>
      </c>
      <c r="D93" s="179" t="s">
        <v>81</v>
      </c>
      <c r="E93" s="180" t="s">
        <v>3782</v>
      </c>
      <c r="F93" s="181"/>
      <c r="G93" s="179" t="s">
        <v>3785</v>
      </c>
      <c r="H93" s="190"/>
      <c r="I93" s="190"/>
      <c r="J93" s="187" t="s">
        <v>3151</v>
      </c>
      <c r="K93" s="187"/>
      <c r="L93" s="184" t="str">
        <f>IFERROR(__xludf.DUMMYFUNCTION("ifna(IF(and(D93=""Saída"",J93=""Sangria""),if(sum(QUERY(IMPORTRANGE(""https://docs.google.com/spreadsheets/d/1E4szPcLzsqlw4uyBAoJ61L1ChCgpz4wVP8tHfHW1g_c"",""BD M Sangrias!a:i""),""select Col6 where Col7 = 'Depositada' and Col9 = '""&amp;K93&amp;""' and Col6 = """&amp;"&amp;M93&amp;"" and Col4 = date '""&amp;YEAR(C93)&amp;""-""&amp;MONTH(C93)&amp;""-""&amp;DAY(C93)&amp;""'""))&gt;0,""Depositada"",if(sum(QUERY(IMPORTRANGE(""https://docs.google.com/spreadsheets/d/1EcLIvUgMoBC5as4ikW0wuQsGH5yVZ6cQ1y16qEfgPnk"",""BD M Sangrias!a:i""),""select Col6 where Col7"&amp;" = 'Caixa Atendimento' and Col9 = '""&amp;K93&amp;""' and Col6 = ""&amp;M93&amp;"" and Col4 = date '""&amp;YEAR(C93)&amp;""-""&amp;MONTH(C93)&amp;""-""&amp;DAY(C93)&amp;""'""))&gt;0,""Caixa Atendimento"",""Caixa Sangria"")),""""),""Caixa Sangria"")"),"")</f>
        <v/>
      </c>
      <c r="M93" s="185">
        <f>IFERROR(__xludf.DUMMYFUNCTION("ifna(VALUE(REGEXEXTRACT(E93,""[0-9.]+[,]+[0-9]+"")))"),149.9)</f>
        <v>149.9</v>
      </c>
      <c r="N93" s="209" t="s">
        <v>3799</v>
      </c>
      <c r="O93" s="210"/>
      <c r="P93" s="210"/>
      <c r="Q93" s="210"/>
      <c r="R93" s="210"/>
      <c r="S93" s="59"/>
      <c r="T93" s="185"/>
      <c r="U93" s="185"/>
      <c r="V93" s="185"/>
    </row>
    <row r="94" ht="14.25" customHeight="1">
      <c r="A94" s="178"/>
      <c r="B94" s="12">
        <v>1536496.0</v>
      </c>
      <c r="C94" s="13">
        <v>45828.69490740741</v>
      </c>
      <c r="D94" s="179" t="s">
        <v>81</v>
      </c>
      <c r="E94" s="180" t="s">
        <v>3809</v>
      </c>
      <c r="F94" s="181"/>
      <c r="G94" s="179" t="s">
        <v>3813</v>
      </c>
      <c r="H94" s="190"/>
      <c r="I94" s="190"/>
      <c r="J94" s="187" t="s">
        <v>3151</v>
      </c>
      <c r="K94" s="187"/>
      <c r="L94" s="184" t="str">
        <f>IFERROR(__xludf.DUMMYFUNCTION("ifna(IF(and(D94=""Saída"",J94=""Sangria""),if(sum(QUERY(IMPORTRANGE(""https://docs.google.com/spreadsheets/d/1E4szPcLzsqlw4uyBAoJ61L1ChCgpz4wVP8tHfHW1g_c"",""BD M Sangrias!a:i""),""select Col6 where Col7 = 'Depositada' and Col9 = '""&amp;K94&amp;""' and Col6 = """&amp;"&amp;M94&amp;"" and Col4 = date '""&amp;YEAR(C94)&amp;""-""&amp;MONTH(C94)&amp;""-""&amp;DAY(C94)&amp;""'""))&gt;0,""Depositada"",if(sum(QUERY(IMPORTRANGE(""https://docs.google.com/spreadsheets/d/1EcLIvUgMoBC5as4ikW0wuQsGH5yVZ6cQ1y16qEfgPnk"",""BD M Sangrias!a:i""),""select Col6 where Col7"&amp;" = 'Caixa Atendimento' and Col9 = '""&amp;K94&amp;""' and Col6 = ""&amp;M94&amp;"" and Col4 = date '""&amp;YEAR(C94)&amp;""-""&amp;MONTH(C94)&amp;""-""&amp;DAY(C94)&amp;""'""))&gt;0,""Caixa Atendimento"",""Caixa Sangria"")),""""),""Caixa Sangria"")"),"")</f>
        <v/>
      </c>
      <c r="M94" s="185">
        <f>IFERROR(__xludf.DUMMYFUNCTION("ifna(VALUE(REGEXEXTRACT(E94,""[0-9.]+[,]+[0-9]+"")))"),390.0)</f>
        <v>390</v>
      </c>
      <c r="N94" s="211"/>
      <c r="S94" s="212"/>
      <c r="T94" s="185"/>
      <c r="U94" s="185"/>
      <c r="V94" s="185"/>
    </row>
    <row r="95" ht="14.25" customHeight="1">
      <c r="A95" s="178"/>
      <c r="B95" s="12">
        <v>1538072.0</v>
      </c>
      <c r="C95" s="13">
        <v>45829.68528935185</v>
      </c>
      <c r="D95" s="179" t="s">
        <v>152</v>
      </c>
      <c r="E95" s="180" t="s">
        <v>1263</v>
      </c>
      <c r="F95" s="181"/>
      <c r="G95" s="179" t="s">
        <v>1126</v>
      </c>
      <c r="H95" s="190"/>
      <c r="I95" s="190"/>
      <c r="J95" s="187" t="s">
        <v>2669</v>
      </c>
      <c r="K95" s="187"/>
      <c r="L95" s="184" t="str">
        <f>IFERROR(__xludf.DUMMYFUNCTION("ifna(IF(and(D95=""Saída"",J95=""Sangria""),if(sum(QUERY(IMPORTRANGE(""https://docs.google.com/spreadsheets/d/1E4szPcLzsqlw4uyBAoJ61L1ChCgpz4wVP8tHfHW1g_c"",""BD M Sangrias!a:i""),""select Col6 where Col7 = 'Depositada' and Col9 = '""&amp;K95&amp;""' and Col6 = """&amp;"&amp;M95&amp;"" and Col4 = date '""&amp;YEAR(C95)&amp;""-""&amp;MONTH(C95)&amp;""-""&amp;DAY(C95)&amp;""'""))&gt;0,""Depositada"",if(sum(QUERY(IMPORTRANGE(""https://docs.google.com/spreadsheets/d/1EcLIvUgMoBC5as4ikW0wuQsGH5yVZ6cQ1y16qEfgPnk"",""BD M Sangrias!a:i""),""select Col6 where Col7"&amp;" = 'Caixa Atendimento' and Col9 = '""&amp;K95&amp;""' and Col6 = ""&amp;M95&amp;"" and Col4 = date '""&amp;YEAR(C95)&amp;""-""&amp;MONTH(C95)&amp;""-""&amp;DAY(C95)&amp;""'""))&gt;0,""Caixa Atendimento"",""Caixa Sangria"")),""""),""Caixa Sangria"")"),"")</f>
        <v/>
      </c>
      <c r="M95" s="185">
        <f>IFERROR(__xludf.DUMMYFUNCTION("ifna(VALUE(REGEXEXTRACT(E95,""[0-9.]+[,]+[0-9]+"")))"),70.0)</f>
        <v>70</v>
      </c>
      <c r="N95" s="213" t="s">
        <v>1</v>
      </c>
      <c r="O95" s="214" t="s">
        <v>2</v>
      </c>
      <c r="P95" s="214" t="s">
        <v>3830</v>
      </c>
      <c r="Q95" s="214" t="s">
        <v>46</v>
      </c>
      <c r="R95" s="215" t="s">
        <v>33</v>
      </c>
      <c r="S95" s="212"/>
      <c r="T95" s="185"/>
      <c r="U95" s="185"/>
      <c r="V95" s="185"/>
    </row>
    <row r="96" ht="14.25" customHeight="1">
      <c r="A96" s="178"/>
      <c r="B96" s="12">
        <v>1538995.0</v>
      </c>
      <c r="C96" s="13">
        <v>45829.91710648148</v>
      </c>
      <c r="D96" s="179" t="s">
        <v>81</v>
      </c>
      <c r="E96" s="180" t="s">
        <v>3838</v>
      </c>
      <c r="F96" s="181"/>
      <c r="G96" s="179" t="s">
        <v>3842</v>
      </c>
      <c r="H96" s="190"/>
      <c r="I96" s="190"/>
      <c r="J96" s="187" t="s">
        <v>3151</v>
      </c>
      <c r="K96" s="187"/>
      <c r="L96" s="184" t="str">
        <f>IFERROR(__xludf.DUMMYFUNCTION("ifna(IF(and(D96=""Saída"",J96=""Sangria""),if(sum(QUERY(IMPORTRANGE(""https://docs.google.com/spreadsheets/d/1E4szPcLzsqlw4uyBAoJ61L1ChCgpz4wVP8tHfHW1g_c"",""BD M Sangrias!a:i""),""select Col6 where Col7 = 'Depositada' and Col9 = '""&amp;K96&amp;""' and Col6 = """&amp;"&amp;M96&amp;"" and Col4 = date '""&amp;YEAR(C96)&amp;""-""&amp;MONTH(C96)&amp;""-""&amp;DAY(C96)&amp;""'""))&gt;0,""Depositada"",if(sum(QUERY(IMPORTRANGE(""https://docs.google.com/spreadsheets/d/1EcLIvUgMoBC5as4ikW0wuQsGH5yVZ6cQ1y16qEfgPnk"",""BD M Sangrias!a:i""),""select Col6 where Col7"&amp;" = 'Caixa Atendimento' and Col9 = '""&amp;K96&amp;""' and Col6 = ""&amp;M96&amp;"" and Col4 = date '""&amp;YEAR(C96)&amp;""-""&amp;MONTH(C96)&amp;""-""&amp;DAY(C96)&amp;""'""))&gt;0,""Caixa Atendimento"",""Caixa Sangria"")),""""),""Caixa Sangria"")"),"")</f>
        <v/>
      </c>
      <c r="M96" s="185">
        <f>IFERROR(__xludf.DUMMYFUNCTION("ifna(VALUE(REGEXEXTRACT(E96,""[0-9.]+[,]+[0-9]+"")))"),71.59)</f>
        <v>71.59</v>
      </c>
      <c r="N96" s="216"/>
      <c r="O96" s="195"/>
      <c r="P96" s="196"/>
      <c r="Q96" s="197"/>
      <c r="R96" s="217"/>
      <c r="S96" s="218" t="str">
        <f t="shared" ref="S96:S116" si="1">IFERROR(VLOOKUP(P96, $A$4:$B$11, 2, FALSE), "")</f>
        <v/>
      </c>
      <c r="T96" s="185"/>
      <c r="U96" s="185"/>
      <c r="V96" s="185"/>
    </row>
    <row r="97" ht="14.25" customHeight="1">
      <c r="A97" s="178"/>
      <c r="B97" s="12">
        <v>1539003.0</v>
      </c>
      <c r="C97" s="13">
        <v>45829.91752314815</v>
      </c>
      <c r="D97" s="179" t="s">
        <v>81</v>
      </c>
      <c r="E97" s="180" t="s">
        <v>3872</v>
      </c>
      <c r="F97" s="181"/>
      <c r="G97" s="179" t="s">
        <v>193</v>
      </c>
      <c r="H97" s="190"/>
      <c r="I97" s="190"/>
      <c r="J97" s="187" t="s">
        <v>3151</v>
      </c>
      <c r="K97" s="187"/>
      <c r="L97" s="184" t="str">
        <f>IFERROR(__xludf.DUMMYFUNCTION("ifna(IF(and(D97=""Saída"",J97=""Sangria""),if(sum(QUERY(IMPORTRANGE(""https://docs.google.com/spreadsheets/d/1E4szPcLzsqlw4uyBAoJ61L1ChCgpz4wVP8tHfHW1g_c"",""BD M Sangrias!a:i""),""select Col6 where Col7 = 'Depositada' and Col9 = '""&amp;K97&amp;""' and Col6 = """&amp;"&amp;M97&amp;"" and Col4 = date '""&amp;YEAR(C97)&amp;""-""&amp;MONTH(C97)&amp;""-""&amp;DAY(C97)&amp;""'""))&gt;0,""Depositada"",if(sum(QUERY(IMPORTRANGE(""https://docs.google.com/spreadsheets/d/1EcLIvUgMoBC5as4ikW0wuQsGH5yVZ6cQ1y16qEfgPnk"",""BD M Sangrias!a:i""),""select Col6 where Col7"&amp;" = 'Caixa Atendimento' and Col9 = '""&amp;K97&amp;""' and Col6 = ""&amp;M97&amp;"" and Col4 = date '""&amp;YEAR(C97)&amp;""-""&amp;MONTH(C97)&amp;""-""&amp;DAY(C97)&amp;""'""))&gt;0,""Caixa Atendimento"",""Caixa Sangria"")),""""),""Caixa Sangria"")"),"")</f>
        <v/>
      </c>
      <c r="M97" s="185">
        <f>IFERROR(__xludf.DUMMYFUNCTION("ifna(VALUE(REGEXEXTRACT(E97,""[0-9.]+[,]+[0-9]+"")))"),91.3)</f>
        <v>91.3</v>
      </c>
      <c r="N97" s="216"/>
      <c r="O97" s="195"/>
      <c r="P97" s="196"/>
      <c r="Q97" s="197"/>
      <c r="R97" s="219"/>
      <c r="S97" s="218" t="str">
        <f t="shared" si="1"/>
        <v/>
      </c>
      <c r="T97" s="185"/>
      <c r="U97" s="185"/>
      <c r="V97" s="185"/>
    </row>
    <row r="98" ht="14.25" customHeight="1">
      <c r="A98" s="178"/>
      <c r="B98" s="12">
        <v>1539074.0</v>
      </c>
      <c r="C98" s="13">
        <v>45829.92318287037</v>
      </c>
      <c r="D98" s="179" t="s">
        <v>81</v>
      </c>
      <c r="E98" s="180" t="s">
        <v>402</v>
      </c>
      <c r="F98" s="188"/>
      <c r="G98" s="179" t="s">
        <v>3893</v>
      </c>
      <c r="H98" s="190"/>
      <c r="I98" s="190"/>
      <c r="J98" s="187" t="s">
        <v>2735</v>
      </c>
      <c r="K98" s="187" t="s">
        <v>1894</v>
      </c>
      <c r="L98" s="184" t="str">
        <f>IFERROR(__xludf.DUMMYFUNCTION("ifna(IF(and(D98=""Saída"",J98=""Sangria""),if(sum(QUERY(IMPORTRANGE(""https://docs.google.com/spreadsheets/d/1E4szPcLzsqlw4uyBAoJ61L1ChCgpz4wVP8tHfHW1g_c"",""BD M Sangrias!a:i""),""select Col6 where Col7 = 'Depositada' and Col9 = '""&amp;K98&amp;""' and Col6 = """&amp;"&amp;M98&amp;"" and Col4 = date '""&amp;YEAR(C98)&amp;""-""&amp;MONTH(C98)&amp;""-""&amp;DAY(C98)&amp;""'""))&gt;0,""Depositada"",if(sum(QUERY(IMPORTRANGE(""https://docs.google.com/spreadsheets/d/1EcLIvUgMoBC5as4ikW0wuQsGH5yVZ6cQ1y16qEfgPnk"",""BD M Sangrias!a:i""),""select Col6 where Col7"&amp;" = 'Caixa Atendimento' and Col9 = '""&amp;K98&amp;""' and Col6 = ""&amp;M98&amp;"" and Col4 = date '""&amp;YEAR(C98)&amp;""-""&amp;MONTH(C98)&amp;""-""&amp;DAY(C98)&amp;""'""))&gt;0,""Caixa Atendimento"",""Caixa Sangria"")),""""),""Caixa Sangria"")"),"#REF!")</f>
        <v>#REF!</v>
      </c>
      <c r="M98" s="185">
        <f>IFERROR(__xludf.DUMMYFUNCTION("ifna(VALUE(REGEXEXTRACT(E98,""[0-9.]+[,]+[0-9]+"")))"),20.0)</f>
        <v>20</v>
      </c>
      <c r="N98" s="216"/>
      <c r="O98" s="195"/>
      <c r="P98" s="196"/>
      <c r="Q98" s="197"/>
      <c r="R98" s="220"/>
      <c r="S98" s="218" t="str">
        <f t="shared" si="1"/>
        <v/>
      </c>
      <c r="T98" s="185"/>
      <c r="U98" s="185"/>
      <c r="V98" s="185"/>
    </row>
    <row r="99" ht="14.25" customHeight="1">
      <c r="A99" s="178"/>
      <c r="B99" s="12">
        <v>1539094.0</v>
      </c>
      <c r="C99" s="13">
        <v>45829.92513888889</v>
      </c>
      <c r="D99" s="179" t="s">
        <v>81</v>
      </c>
      <c r="E99" s="180" t="s">
        <v>3905</v>
      </c>
      <c r="F99" s="181"/>
      <c r="G99" s="179" t="s">
        <v>3907</v>
      </c>
      <c r="H99" s="190"/>
      <c r="I99" s="190"/>
      <c r="J99" s="187" t="s">
        <v>2735</v>
      </c>
      <c r="K99" s="187" t="s">
        <v>2018</v>
      </c>
      <c r="L99" s="184" t="str">
        <f>IFERROR(__xludf.DUMMYFUNCTION("ifna(IF(and(D99=""Saída"",J99=""Sangria""),if(sum(QUERY(IMPORTRANGE(""https://docs.google.com/spreadsheets/d/1E4szPcLzsqlw4uyBAoJ61L1ChCgpz4wVP8tHfHW1g_c"",""BD M Sangrias!a:i""),""select Col6 where Col7 = 'Depositada' and Col9 = '""&amp;K99&amp;""' and Col6 = """&amp;"&amp;M99&amp;"" and Col4 = date '""&amp;YEAR(C99)&amp;""-""&amp;MONTH(C99)&amp;""-""&amp;DAY(C99)&amp;""'""))&gt;0,""Depositada"",if(sum(QUERY(IMPORTRANGE(""https://docs.google.com/spreadsheets/d/1EcLIvUgMoBC5as4ikW0wuQsGH5yVZ6cQ1y16qEfgPnk"",""BD M Sangrias!a:i""),""select Col6 where Col7"&amp;" = 'Caixa Atendimento' and Col9 = '""&amp;K99&amp;""' and Col6 = ""&amp;M99&amp;"" and Col4 = date '""&amp;YEAR(C99)&amp;""-""&amp;MONTH(C99)&amp;""-""&amp;DAY(C99)&amp;""'""))&gt;0,""Caixa Atendimento"",""Caixa Sangria"")),""""),""Caixa Sangria"")"),"#REF!")</f>
        <v>#REF!</v>
      </c>
      <c r="M99" s="185">
        <f>IFERROR(__xludf.DUMMYFUNCTION("ifna(VALUE(REGEXEXTRACT(E99,""[0-9.]+[,]+[0-9]+"")))"),1050.0)</f>
        <v>1050</v>
      </c>
      <c r="N99" s="216"/>
      <c r="O99" s="195"/>
      <c r="P99" s="196"/>
      <c r="Q99" s="197"/>
      <c r="R99" s="221"/>
      <c r="S99" s="218" t="str">
        <f t="shared" si="1"/>
        <v/>
      </c>
      <c r="T99" s="185"/>
      <c r="U99" s="185"/>
      <c r="V99" s="185"/>
    </row>
    <row r="100" ht="14.25" customHeight="1">
      <c r="A100" s="178"/>
      <c r="B100" s="12">
        <v>1539814.0</v>
      </c>
      <c r="C100" s="13">
        <v>45830.668541666666</v>
      </c>
      <c r="D100" s="179" t="s">
        <v>152</v>
      </c>
      <c r="E100" s="180" t="s">
        <v>979</v>
      </c>
      <c r="F100" s="181"/>
      <c r="G100" s="179" t="s">
        <v>1126</v>
      </c>
      <c r="H100" s="190"/>
      <c r="I100" s="190"/>
      <c r="J100" s="187" t="s">
        <v>2669</v>
      </c>
      <c r="K100" s="187"/>
      <c r="L100" s="184" t="str">
        <f>IFERROR(__xludf.DUMMYFUNCTION("ifna(IF(and(D100=""Saída"",J100=""Sangria""),if(sum(QUERY(IMPORTRANGE(""https://docs.google.com/spreadsheets/d/1E4szPcLzsqlw4uyBAoJ61L1ChCgpz4wVP8tHfHW1g_c"",""BD M Sangrias!a:i""),""select Col6 where Col7 = 'Depositada' and Col9 = '""&amp;K100&amp;""' and Col6 ="&amp;" ""&amp;M100&amp;"" and Col4 = date '""&amp;YEAR(C100)&amp;""-""&amp;MONTH(C100)&amp;""-""&amp;DAY(C100)&amp;""'""))&gt;0,""Depositada"",if(sum(QUERY(IMPORTRANGE(""https://docs.google.com/spreadsheets/d/1EcLIvUgMoBC5as4ikW0wuQsGH5yVZ6cQ1y16qEfgPnk"",""BD M Sangrias!a:i""),""select Col6 whe"&amp;"re Col7 = 'Caixa Atendimento' and Col9 = '""&amp;K100&amp;""' and Col6 = ""&amp;M100&amp;"" and Col4 = date '""&amp;YEAR(C100)&amp;""-""&amp;MONTH(C100)&amp;""-""&amp;DAY(C100)&amp;""'""))&gt;0,""Caixa Atendimento"",""Caixa Sangria"")),""""),""Caixa Sangria"")"),"")</f>
        <v/>
      </c>
      <c r="M100" s="185">
        <f>IFERROR(__xludf.DUMMYFUNCTION("ifna(VALUE(REGEXEXTRACT(E100,""[0-9.]+[,]+[0-9]+"")))"),3.0)</f>
        <v>3</v>
      </c>
      <c r="N100" s="216"/>
      <c r="O100" s="195"/>
      <c r="P100" s="196"/>
      <c r="Q100" s="197"/>
      <c r="R100" s="220"/>
      <c r="S100" s="218" t="str">
        <f t="shared" si="1"/>
        <v/>
      </c>
      <c r="T100" s="185"/>
      <c r="U100" s="185"/>
      <c r="V100" s="185"/>
    </row>
    <row r="101" ht="14.25" customHeight="1">
      <c r="A101" s="178"/>
      <c r="B101" s="12">
        <v>1539996.0</v>
      </c>
      <c r="C101" s="13">
        <v>45830.72819444445</v>
      </c>
      <c r="D101" s="179" t="s">
        <v>81</v>
      </c>
      <c r="E101" s="180" t="s">
        <v>3934</v>
      </c>
      <c r="F101" s="181"/>
      <c r="G101" s="179" t="s">
        <v>3935</v>
      </c>
      <c r="H101" s="190"/>
      <c r="I101" s="190"/>
      <c r="J101" s="187" t="s">
        <v>1782</v>
      </c>
      <c r="K101" s="187"/>
      <c r="L101" s="184" t="str">
        <f>IFERROR(__xludf.DUMMYFUNCTION("ifna(IF(and(D101=""Saída"",J101=""Sangria""),if(sum(QUERY(IMPORTRANGE(""https://docs.google.com/spreadsheets/d/1E4szPcLzsqlw4uyBAoJ61L1ChCgpz4wVP8tHfHW1g_c"",""BD M Sangrias!a:i""),""select Col6 where Col7 = 'Depositada' and Col9 = '""&amp;K101&amp;""' and Col6 ="&amp;" ""&amp;M101&amp;"" and Col4 = date '""&amp;YEAR(C101)&amp;""-""&amp;MONTH(C101)&amp;""-""&amp;DAY(C101)&amp;""'""))&gt;0,""Depositada"",if(sum(QUERY(IMPORTRANGE(""https://docs.google.com/spreadsheets/d/1EcLIvUgMoBC5as4ikW0wuQsGH5yVZ6cQ1y16qEfgPnk"",""BD M Sangrias!a:i""),""select Col6 whe"&amp;"re Col7 = 'Caixa Atendimento' and Col9 = '""&amp;K101&amp;""' and Col6 = ""&amp;M101&amp;"" and Col4 = date '""&amp;YEAR(C101)&amp;""-""&amp;MONTH(C101)&amp;""-""&amp;DAY(C101)&amp;""'""))&gt;0,""Caixa Atendimento"",""Caixa Sangria"")),""""),""Caixa Sangria"")"),"")</f>
        <v/>
      </c>
      <c r="M101" s="185">
        <f>IFERROR(__xludf.DUMMYFUNCTION("ifna(VALUE(REGEXEXTRACT(E101,""[0-9.]+[,]+[0-9]+"")))"),145.99)</f>
        <v>145.99</v>
      </c>
      <c r="N101" s="222"/>
      <c r="O101" s="223"/>
      <c r="P101" s="224"/>
      <c r="Q101" s="225"/>
      <c r="R101" s="221"/>
      <c r="S101" s="218" t="str">
        <f t="shared" si="1"/>
        <v/>
      </c>
      <c r="T101" s="185"/>
      <c r="U101" s="185"/>
      <c r="V101" s="185"/>
    </row>
    <row r="102" ht="14.25" customHeight="1">
      <c r="A102" s="178"/>
      <c r="B102" s="12">
        <v>1540321.0</v>
      </c>
      <c r="C102" s="13">
        <v>45830.79662037037</v>
      </c>
      <c r="D102" s="179" t="s">
        <v>81</v>
      </c>
      <c r="E102" s="180" t="s">
        <v>3515</v>
      </c>
      <c r="F102" s="181"/>
      <c r="G102" s="179" t="s">
        <v>3951</v>
      </c>
      <c r="H102" s="190"/>
      <c r="I102" s="190"/>
      <c r="J102" s="187" t="s">
        <v>1782</v>
      </c>
      <c r="K102" s="187"/>
      <c r="L102" s="184" t="str">
        <f>IFERROR(__xludf.DUMMYFUNCTION("ifna(IF(and(D102=""Saída"",J102=""Sangria""),if(sum(QUERY(IMPORTRANGE(""https://docs.google.com/spreadsheets/d/1E4szPcLzsqlw4uyBAoJ61L1ChCgpz4wVP8tHfHW1g_c"",""BD M Sangrias!a:i""),""select Col6 where Col7 = 'Depositada' and Col9 = '""&amp;K102&amp;""' and Col6 ="&amp;" ""&amp;M102&amp;"" and Col4 = date '""&amp;YEAR(C102)&amp;""-""&amp;MONTH(C102)&amp;""-""&amp;DAY(C102)&amp;""'""))&gt;0,""Depositada"",if(sum(QUERY(IMPORTRANGE(""https://docs.google.com/spreadsheets/d/1EcLIvUgMoBC5as4ikW0wuQsGH5yVZ6cQ1y16qEfgPnk"",""BD M Sangrias!a:i""),""select Col6 whe"&amp;"re Col7 = 'Caixa Atendimento' and Col9 = '""&amp;K102&amp;""' and Col6 = ""&amp;M102&amp;"" and Col4 = date '""&amp;YEAR(C102)&amp;""-""&amp;MONTH(C102)&amp;""-""&amp;DAY(C102)&amp;""'""))&gt;0,""Caixa Atendimento"",""Caixa Sangria"")),""""),""Caixa Sangria"")"),"")</f>
        <v/>
      </c>
      <c r="M102" s="185">
        <f>IFERROR(__xludf.DUMMYFUNCTION("ifna(VALUE(REGEXEXTRACT(E102,""[0-9.]+[,]+[0-9]+"")))"),240.0)</f>
        <v>240</v>
      </c>
      <c r="N102" s="226"/>
      <c r="O102" s="227"/>
      <c r="P102" s="220"/>
      <c r="Q102" s="228" t="str">
        <f t="shared" ref="Q102:Q138" si="2">IFERROR(VLOOKUP(P102, $B$4:$C$18, 2, FALSE), "")</f>
        <v/>
      </c>
      <c r="R102" s="220" t="str">
        <f t="shared" ref="R102:R138" si="3">IFERROR(VLOOKUP(P102, $A$4:$B$18, 2, FALSE), "")</f>
        <v/>
      </c>
      <c r="S102" s="218" t="str">
        <f t="shared" si="1"/>
        <v/>
      </c>
      <c r="T102" s="185"/>
      <c r="U102" s="185"/>
      <c r="V102" s="185"/>
    </row>
    <row r="103" ht="14.25" customHeight="1">
      <c r="A103" s="178"/>
      <c r="B103" s="12">
        <v>1540330.0</v>
      </c>
      <c r="C103" s="13">
        <v>45830.798842592594</v>
      </c>
      <c r="D103" s="179" t="s">
        <v>81</v>
      </c>
      <c r="E103" s="180" t="s">
        <v>3973</v>
      </c>
      <c r="F103" s="181"/>
      <c r="G103" s="179" t="s">
        <v>3975</v>
      </c>
      <c r="H103" s="190"/>
      <c r="I103" s="190"/>
      <c r="J103" s="187" t="s">
        <v>2438</v>
      </c>
      <c r="K103" s="187"/>
      <c r="L103" s="184" t="str">
        <f>IFERROR(__xludf.DUMMYFUNCTION("ifna(IF(and(D103=""Saída"",J103=""Sangria""),if(sum(QUERY(IMPORTRANGE(""https://docs.google.com/spreadsheets/d/1E4szPcLzsqlw4uyBAoJ61L1ChCgpz4wVP8tHfHW1g_c"",""BD M Sangrias!a:i""),""select Col6 where Col7 = 'Depositada' and Col9 = '""&amp;K103&amp;""' and Col6 ="&amp;" ""&amp;M103&amp;"" and Col4 = date '""&amp;YEAR(C103)&amp;""-""&amp;MONTH(C103)&amp;""-""&amp;DAY(C103)&amp;""'""))&gt;0,""Depositada"",if(sum(QUERY(IMPORTRANGE(""https://docs.google.com/spreadsheets/d/1EcLIvUgMoBC5as4ikW0wuQsGH5yVZ6cQ1y16qEfgPnk"",""BD M Sangrias!a:i""),""select Col6 whe"&amp;"re Col7 = 'Caixa Atendimento' and Col9 = '""&amp;K103&amp;""' and Col6 = ""&amp;M103&amp;"" and Col4 = date '""&amp;YEAR(C103)&amp;""-""&amp;MONTH(C103)&amp;""-""&amp;DAY(C103)&amp;""'""))&gt;0,""Caixa Atendimento"",""Caixa Sangria"")),""""),""Caixa Sangria"")"),"")</f>
        <v/>
      </c>
      <c r="M103" s="185">
        <f>IFERROR(__xludf.DUMMYFUNCTION("ifna(VALUE(REGEXEXTRACT(E103,""[0-9.]+[,]+[0-9]+"")))"),58.5)</f>
        <v>58.5</v>
      </c>
      <c r="N103" s="229"/>
      <c r="O103" s="230"/>
      <c r="P103" s="221"/>
      <c r="Q103" s="231" t="str">
        <f t="shared" si="2"/>
        <v/>
      </c>
      <c r="R103" s="221" t="str">
        <f t="shared" si="3"/>
        <v/>
      </c>
      <c r="S103" s="218" t="str">
        <f t="shared" si="1"/>
        <v/>
      </c>
      <c r="T103" s="185"/>
      <c r="U103" s="185"/>
      <c r="V103" s="185"/>
    </row>
    <row r="104" ht="14.25" customHeight="1">
      <c r="A104" s="178"/>
      <c r="B104" s="12">
        <v>1541149.0</v>
      </c>
      <c r="C104" s="13">
        <v>45830.94846064815</v>
      </c>
      <c r="D104" s="179" t="s">
        <v>81</v>
      </c>
      <c r="E104" s="180" t="s">
        <v>536</v>
      </c>
      <c r="F104" s="181"/>
      <c r="G104" s="179" t="s">
        <v>3991</v>
      </c>
      <c r="H104" s="190"/>
      <c r="I104" s="190"/>
      <c r="J104" s="187" t="s">
        <v>1782</v>
      </c>
      <c r="K104" s="187"/>
      <c r="L104" s="184" t="str">
        <f>IFERROR(__xludf.DUMMYFUNCTION("ifna(IF(and(D104=""Saída"",J104=""Sangria""),if(sum(QUERY(IMPORTRANGE(""https://docs.google.com/spreadsheets/d/1E4szPcLzsqlw4uyBAoJ61L1ChCgpz4wVP8tHfHW1g_c"",""BD M Sangrias!a:i""),""select Col6 where Col7 = 'Depositada' and Col9 = '""&amp;K104&amp;""' and Col6 ="&amp;" ""&amp;M104&amp;"" and Col4 = date '""&amp;YEAR(C104)&amp;""-""&amp;MONTH(C104)&amp;""-""&amp;DAY(C104)&amp;""'""))&gt;0,""Depositada"",if(sum(QUERY(IMPORTRANGE(""https://docs.google.com/spreadsheets/d/1EcLIvUgMoBC5as4ikW0wuQsGH5yVZ6cQ1y16qEfgPnk"",""BD M Sangrias!a:i""),""select Col6 whe"&amp;"re Col7 = 'Caixa Atendimento' and Col9 = '""&amp;K104&amp;""' and Col6 = ""&amp;M104&amp;"" and Col4 = date '""&amp;YEAR(C104)&amp;""-""&amp;MONTH(C104)&amp;""-""&amp;DAY(C104)&amp;""'""))&gt;0,""Caixa Atendimento"",""Caixa Sangria"")),""""),""Caixa Sangria"")"),"")</f>
        <v/>
      </c>
      <c r="M104" s="185">
        <f>IFERROR(__xludf.DUMMYFUNCTION("ifna(VALUE(REGEXEXTRACT(E104,""[0-9.]+[,]+[0-9]+"")))"),80.0)</f>
        <v>80</v>
      </c>
      <c r="N104" s="226"/>
      <c r="O104" s="227"/>
      <c r="P104" s="220"/>
      <c r="Q104" s="228" t="str">
        <f t="shared" si="2"/>
        <v/>
      </c>
      <c r="R104" s="220" t="str">
        <f t="shared" si="3"/>
        <v/>
      </c>
      <c r="S104" s="218" t="str">
        <f t="shared" si="1"/>
        <v/>
      </c>
      <c r="T104" s="185"/>
      <c r="U104" s="185"/>
      <c r="V104" s="185"/>
    </row>
    <row r="105" ht="14.25" customHeight="1">
      <c r="A105" s="178"/>
      <c r="B105" s="12">
        <v>1541159.0</v>
      </c>
      <c r="C105" s="13">
        <v>45830.94978009259</v>
      </c>
      <c r="D105" s="179" t="s">
        <v>81</v>
      </c>
      <c r="E105" s="180" t="s">
        <v>4010</v>
      </c>
      <c r="F105" s="181"/>
      <c r="G105" s="179" t="s">
        <v>128</v>
      </c>
      <c r="H105" s="190"/>
      <c r="I105" s="190"/>
      <c r="J105" s="187" t="s">
        <v>2735</v>
      </c>
      <c r="K105" s="187" t="s">
        <v>1894</v>
      </c>
      <c r="L105" s="184" t="str">
        <f>IFERROR(__xludf.DUMMYFUNCTION("ifna(IF(and(D105=""Saída"",J105=""Sangria""),if(sum(QUERY(IMPORTRANGE(""https://docs.google.com/spreadsheets/d/1E4szPcLzsqlw4uyBAoJ61L1ChCgpz4wVP8tHfHW1g_c"",""BD M Sangrias!a:i""),""select Col6 where Col7 = 'Depositada' and Col9 = '""&amp;K105&amp;""' and Col6 ="&amp;" ""&amp;M105&amp;"" and Col4 = date '""&amp;YEAR(C105)&amp;""-""&amp;MONTH(C105)&amp;""-""&amp;DAY(C105)&amp;""'""))&gt;0,""Depositada"",if(sum(QUERY(IMPORTRANGE(""https://docs.google.com/spreadsheets/d/1EcLIvUgMoBC5as4ikW0wuQsGH5yVZ6cQ1y16qEfgPnk"",""BD M Sangrias!a:i""),""select Col6 whe"&amp;"re Col7 = 'Caixa Atendimento' and Col9 = '""&amp;K105&amp;""' and Col6 = ""&amp;M105&amp;"" and Col4 = date '""&amp;YEAR(C105)&amp;""-""&amp;MONTH(C105)&amp;""-""&amp;DAY(C105)&amp;""'""))&gt;0,""Caixa Atendimento"",""Caixa Sangria"")),""""),""Caixa Sangria"")"),"#REF!")</f>
        <v>#REF!</v>
      </c>
      <c r="M105" s="185">
        <f>IFERROR(__xludf.DUMMYFUNCTION("ifna(VALUE(REGEXEXTRACT(E105,""[0-9.]+[,]+[0-9]+"")))"),2050.0)</f>
        <v>2050</v>
      </c>
      <c r="N105" s="229"/>
      <c r="O105" s="230"/>
      <c r="P105" s="221"/>
      <c r="Q105" s="231" t="str">
        <f t="shared" si="2"/>
        <v/>
      </c>
      <c r="R105" s="221" t="str">
        <f t="shared" si="3"/>
        <v/>
      </c>
      <c r="S105" s="218" t="str">
        <f t="shared" si="1"/>
        <v/>
      </c>
      <c r="T105" s="185"/>
      <c r="U105" s="185"/>
      <c r="V105" s="185"/>
    </row>
    <row r="106" ht="14.25" customHeight="1">
      <c r="A106" s="178"/>
      <c r="B106" s="12">
        <v>1541589.0</v>
      </c>
      <c r="C106" s="13">
        <v>45831.621041666665</v>
      </c>
      <c r="D106" s="179" t="s">
        <v>152</v>
      </c>
      <c r="E106" s="180" t="s">
        <v>4029</v>
      </c>
      <c r="F106" s="198"/>
      <c r="G106" s="179" t="s">
        <v>267</v>
      </c>
      <c r="H106" s="190"/>
      <c r="I106" s="190"/>
      <c r="J106" s="187" t="s">
        <v>2669</v>
      </c>
      <c r="K106" s="187"/>
      <c r="L106" s="184" t="str">
        <f>IFERROR(__xludf.DUMMYFUNCTION("ifna(IF(and(D106=""Saída"",J106=""Sangria""),if(sum(QUERY(IMPORTRANGE(""https://docs.google.com/spreadsheets/d/1E4szPcLzsqlw4uyBAoJ61L1ChCgpz4wVP8tHfHW1g_c"",""BD M Sangrias!a:i""),""select Col6 where Col7 = 'Depositada' and Col9 = '""&amp;K106&amp;""' and Col6 ="&amp;" ""&amp;M106&amp;"" and Col4 = date '""&amp;YEAR(C106)&amp;""-""&amp;MONTH(C106)&amp;""-""&amp;DAY(C106)&amp;""'""))&gt;0,""Depositada"",if(sum(QUERY(IMPORTRANGE(""https://docs.google.com/spreadsheets/d/1EcLIvUgMoBC5as4ikW0wuQsGH5yVZ6cQ1y16qEfgPnk"",""BD M Sangrias!a:i""),""select Col6 whe"&amp;"re Col7 = 'Caixa Atendimento' and Col9 = '""&amp;K106&amp;""' and Col6 = ""&amp;M106&amp;"" and Col4 = date '""&amp;YEAR(C106)&amp;""-""&amp;MONTH(C106)&amp;""-""&amp;DAY(C106)&amp;""'""))&gt;0,""Caixa Atendimento"",""Caixa Sangria"")),""""),""Caixa Sangria"")"),"")</f>
        <v/>
      </c>
      <c r="M106" s="185">
        <f>IFERROR(__xludf.DUMMYFUNCTION("ifna(VALUE(REGEXEXTRACT(E106,""[0-9.]+[,]+[0-9]+"")))"),96.0)</f>
        <v>96</v>
      </c>
      <c r="N106" s="226"/>
      <c r="O106" s="227"/>
      <c r="P106" s="220"/>
      <c r="Q106" s="228" t="str">
        <f t="shared" si="2"/>
        <v/>
      </c>
      <c r="R106" s="220" t="str">
        <f t="shared" si="3"/>
        <v/>
      </c>
      <c r="S106" s="218" t="str">
        <f t="shared" si="1"/>
        <v/>
      </c>
      <c r="T106" s="185"/>
      <c r="U106" s="185"/>
      <c r="V106" s="185"/>
    </row>
    <row r="107" ht="14.25" customHeight="1">
      <c r="A107" s="178"/>
      <c r="B107" s="12">
        <v>1541879.0</v>
      </c>
      <c r="C107" s="13">
        <v>45831.73930555556</v>
      </c>
      <c r="D107" s="179" t="s">
        <v>81</v>
      </c>
      <c r="E107" s="180" t="s">
        <v>4049</v>
      </c>
      <c r="F107" s="181"/>
      <c r="G107" s="179" t="s">
        <v>4051</v>
      </c>
      <c r="H107" s="190"/>
      <c r="I107" s="190"/>
      <c r="J107" s="187" t="s">
        <v>3151</v>
      </c>
      <c r="K107" s="187"/>
      <c r="L107" s="184" t="str">
        <f>IFERROR(__xludf.DUMMYFUNCTION("ifna(IF(and(D107=""Saída"",J107=""Sangria""),if(sum(QUERY(IMPORTRANGE(""https://docs.google.com/spreadsheets/d/1E4szPcLzsqlw4uyBAoJ61L1ChCgpz4wVP8tHfHW1g_c"",""BD M Sangrias!a:i""),""select Col6 where Col7 = 'Depositada' and Col9 = '""&amp;K107&amp;""' and Col6 ="&amp;" ""&amp;M107&amp;"" and Col4 = date '""&amp;YEAR(C107)&amp;""-""&amp;MONTH(C107)&amp;""-""&amp;DAY(C107)&amp;""'""))&gt;0,""Depositada"",if(sum(QUERY(IMPORTRANGE(""https://docs.google.com/spreadsheets/d/1EcLIvUgMoBC5as4ikW0wuQsGH5yVZ6cQ1y16qEfgPnk"",""BD M Sangrias!a:i""),""select Col6 whe"&amp;"re Col7 = 'Caixa Atendimento' and Col9 = '""&amp;K107&amp;""' and Col6 = ""&amp;M107&amp;"" and Col4 = date '""&amp;YEAR(C107)&amp;""-""&amp;MONTH(C107)&amp;""-""&amp;DAY(C107)&amp;""'""))&gt;0,""Caixa Atendimento"",""Caixa Sangria"")),""""),""Caixa Sangria"")"),"")</f>
        <v/>
      </c>
      <c r="M107" s="185">
        <f>IFERROR(__xludf.DUMMYFUNCTION("ifna(VALUE(REGEXEXTRACT(E107,""[0-9.]+[,]+[0-9]+"")))"),42.74)</f>
        <v>42.74</v>
      </c>
      <c r="N107" s="229"/>
      <c r="O107" s="221"/>
      <c r="P107" s="221"/>
      <c r="Q107" s="231" t="str">
        <f t="shared" si="2"/>
        <v/>
      </c>
      <c r="R107" s="221" t="str">
        <f t="shared" si="3"/>
        <v/>
      </c>
      <c r="S107" s="218" t="str">
        <f t="shared" si="1"/>
        <v/>
      </c>
      <c r="T107" s="185"/>
      <c r="U107" s="185"/>
      <c r="V107" s="185"/>
    </row>
    <row r="108" ht="14.25" customHeight="1">
      <c r="A108" s="178"/>
      <c r="B108" s="12">
        <v>1541902.0</v>
      </c>
      <c r="C108" s="13">
        <v>45831.75015046296</v>
      </c>
      <c r="D108" s="179" t="s">
        <v>81</v>
      </c>
      <c r="E108" s="180" t="s">
        <v>3486</v>
      </c>
      <c r="F108" s="188"/>
      <c r="G108" s="179" t="s">
        <v>4071</v>
      </c>
      <c r="H108" s="190"/>
      <c r="I108" s="190"/>
      <c r="J108" s="187" t="s">
        <v>2735</v>
      </c>
      <c r="K108" s="187" t="s">
        <v>2018</v>
      </c>
      <c r="L108" s="184" t="str">
        <f>IFERROR(__xludf.DUMMYFUNCTION("ifna(IF(and(D108=""Saída"",J108=""Sangria""),if(sum(QUERY(IMPORTRANGE(""https://docs.google.com/spreadsheets/d/1E4szPcLzsqlw4uyBAoJ61L1ChCgpz4wVP8tHfHW1g_c"",""BD M Sangrias!a:i""),""select Col6 where Col7 = 'Depositada' and Col9 = '""&amp;K108&amp;""' and Col6 ="&amp;" ""&amp;M108&amp;"" and Col4 = date '""&amp;YEAR(C108)&amp;""-""&amp;MONTH(C108)&amp;""-""&amp;DAY(C108)&amp;""'""))&gt;0,""Depositada"",if(sum(QUERY(IMPORTRANGE(""https://docs.google.com/spreadsheets/d/1EcLIvUgMoBC5as4ikW0wuQsGH5yVZ6cQ1y16qEfgPnk"",""BD M Sangrias!a:i""),""select Col6 whe"&amp;"re Col7 = 'Caixa Atendimento' and Col9 = '""&amp;K108&amp;""' and Col6 = ""&amp;M108&amp;"" and Col4 = date '""&amp;YEAR(C108)&amp;""-""&amp;MONTH(C108)&amp;""-""&amp;DAY(C108)&amp;""'""))&gt;0,""Caixa Atendimento"",""Caixa Sangria"")),""""),""Caixa Sangria"")"),"#REF!")</f>
        <v>#REF!</v>
      </c>
      <c r="M108" s="185">
        <f>IFERROR(__xludf.DUMMYFUNCTION("ifna(VALUE(REGEXEXTRACT(E108,""[0-9.]+[,]+[0-9]+"")))"),500.0)</f>
        <v>500</v>
      </c>
      <c r="N108" s="226"/>
      <c r="O108" s="220"/>
      <c r="P108" s="220"/>
      <c r="Q108" s="228" t="str">
        <f t="shared" si="2"/>
        <v/>
      </c>
      <c r="R108" s="220" t="str">
        <f t="shared" si="3"/>
        <v/>
      </c>
      <c r="S108" s="218" t="str">
        <f t="shared" si="1"/>
        <v/>
      </c>
      <c r="T108" s="185"/>
      <c r="U108" s="185"/>
      <c r="V108" s="185"/>
    </row>
    <row r="109" ht="14.25" customHeight="1">
      <c r="A109" s="178"/>
      <c r="B109" s="12">
        <v>1542448.0</v>
      </c>
      <c r="C109" s="13">
        <v>45831.962233796294</v>
      </c>
      <c r="D109" s="179" t="s">
        <v>152</v>
      </c>
      <c r="E109" s="180" t="s">
        <v>3419</v>
      </c>
      <c r="F109" s="181"/>
      <c r="G109" s="179" t="s">
        <v>4093</v>
      </c>
      <c r="H109" s="190"/>
      <c r="I109" s="190"/>
      <c r="J109" s="187" t="s">
        <v>2669</v>
      </c>
      <c r="K109" s="187"/>
      <c r="L109" s="184" t="str">
        <f>IFERROR(__xludf.DUMMYFUNCTION("ifna(IF(and(D109=""Saída"",J109=""Sangria""),if(sum(QUERY(IMPORTRANGE(""https://docs.google.com/spreadsheets/d/1E4szPcLzsqlw4uyBAoJ61L1ChCgpz4wVP8tHfHW1g_c"",""BD M Sangrias!a:i""),""select Col6 where Col7 = 'Depositada' and Col9 = '""&amp;K109&amp;""' and Col6 ="&amp;" ""&amp;M109&amp;"" and Col4 = date '""&amp;YEAR(C109)&amp;""-""&amp;MONTH(C109)&amp;""-""&amp;DAY(C109)&amp;""'""))&gt;0,""Depositada"",if(sum(QUERY(IMPORTRANGE(""https://docs.google.com/spreadsheets/d/1EcLIvUgMoBC5as4ikW0wuQsGH5yVZ6cQ1y16qEfgPnk"",""BD M Sangrias!a:i""),""select Col6 whe"&amp;"re Col7 = 'Caixa Atendimento' and Col9 = '""&amp;K109&amp;""' and Col6 = ""&amp;M109&amp;"" and Col4 = date '""&amp;YEAR(C109)&amp;""-""&amp;MONTH(C109)&amp;""-""&amp;DAY(C109)&amp;""'""))&gt;0,""Caixa Atendimento"",""Caixa Sangria"")),""""),""Caixa Sangria"")"),"")</f>
        <v/>
      </c>
      <c r="M109" s="185">
        <f>IFERROR(__xludf.DUMMYFUNCTION("ifna(VALUE(REGEXEXTRACT(E109,""[0-9.]+[,]+[0-9]+"")))"),1800.0)</f>
        <v>1800</v>
      </c>
      <c r="N109" s="229"/>
      <c r="O109" s="221"/>
      <c r="P109" s="221"/>
      <c r="Q109" s="231" t="str">
        <f t="shared" si="2"/>
        <v/>
      </c>
      <c r="R109" s="221" t="str">
        <f t="shared" si="3"/>
        <v/>
      </c>
      <c r="S109" s="218" t="str">
        <f t="shared" si="1"/>
        <v/>
      </c>
      <c r="T109" s="185"/>
      <c r="U109" s="185"/>
      <c r="V109" s="185"/>
    </row>
    <row r="110" ht="14.25" customHeight="1">
      <c r="A110" s="178"/>
      <c r="B110" s="12">
        <v>1542451.0</v>
      </c>
      <c r="C110" s="13">
        <v>45831.963125</v>
      </c>
      <c r="D110" s="179" t="s">
        <v>81</v>
      </c>
      <c r="E110" s="180" t="s">
        <v>4106</v>
      </c>
      <c r="F110" s="181"/>
      <c r="G110" s="179" t="s">
        <v>4108</v>
      </c>
      <c r="H110" s="190"/>
      <c r="I110" s="190"/>
      <c r="J110" s="187" t="s">
        <v>3151</v>
      </c>
      <c r="K110" s="187"/>
      <c r="L110" s="184" t="str">
        <f>IFERROR(__xludf.DUMMYFUNCTION("ifna(IF(and(D110=""Saída"",J110=""Sangria""),if(sum(QUERY(IMPORTRANGE(""https://docs.google.com/spreadsheets/d/1E4szPcLzsqlw4uyBAoJ61L1ChCgpz4wVP8tHfHW1g_c"",""BD M Sangrias!a:i""),""select Col6 where Col7 = 'Depositada' and Col9 = '""&amp;K110&amp;""' and Col6 ="&amp;" ""&amp;M110&amp;"" and Col4 = date '""&amp;YEAR(C110)&amp;""-""&amp;MONTH(C110)&amp;""-""&amp;DAY(C110)&amp;""'""))&gt;0,""Depositada"",if(sum(QUERY(IMPORTRANGE(""https://docs.google.com/spreadsheets/d/1EcLIvUgMoBC5as4ikW0wuQsGH5yVZ6cQ1y16qEfgPnk"",""BD M Sangrias!a:i""),""select Col6 whe"&amp;"re Col7 = 'Caixa Atendimento' and Col9 = '""&amp;K110&amp;""' and Col6 = ""&amp;M110&amp;"" and Col4 = date '""&amp;YEAR(C110)&amp;""-""&amp;MONTH(C110)&amp;""-""&amp;DAY(C110)&amp;""'""))&gt;0,""Caixa Atendimento"",""Caixa Sangria"")),""""),""Caixa Sangria"")"),"")</f>
        <v/>
      </c>
      <c r="M110" s="185">
        <f>IFERROR(__xludf.DUMMYFUNCTION("ifna(VALUE(REGEXEXTRACT(E110,""[0-9.]+[,]+[0-9]+"")))"),750.0)</f>
        <v>750</v>
      </c>
      <c r="N110" s="226"/>
      <c r="O110" s="220"/>
      <c r="P110" s="220"/>
      <c r="Q110" s="228" t="str">
        <f t="shared" si="2"/>
        <v/>
      </c>
      <c r="R110" s="220" t="str">
        <f t="shared" si="3"/>
        <v/>
      </c>
      <c r="S110" s="218" t="str">
        <f t="shared" si="1"/>
        <v/>
      </c>
      <c r="T110" s="185"/>
      <c r="U110" s="185"/>
      <c r="V110" s="185"/>
    </row>
    <row r="111" ht="14.25" customHeight="1">
      <c r="A111" s="178"/>
      <c r="B111" s="12">
        <v>1542454.0</v>
      </c>
      <c r="C111" s="13">
        <v>45831.96387731482</v>
      </c>
      <c r="D111" s="179" t="s">
        <v>81</v>
      </c>
      <c r="E111" s="180" t="s">
        <v>4123</v>
      </c>
      <c r="F111" s="181"/>
      <c r="G111" s="179" t="s">
        <v>4124</v>
      </c>
      <c r="H111" s="190"/>
      <c r="I111" s="190"/>
      <c r="J111" s="187" t="s">
        <v>3151</v>
      </c>
      <c r="K111" s="187"/>
      <c r="L111" s="184" t="str">
        <f>IFERROR(__xludf.DUMMYFUNCTION("ifna(IF(and(D111=""Saída"",J111=""Sangria""),if(sum(QUERY(IMPORTRANGE(""https://docs.google.com/spreadsheets/d/1E4szPcLzsqlw4uyBAoJ61L1ChCgpz4wVP8tHfHW1g_c"",""BD M Sangrias!a:i""),""select Col6 where Col7 = 'Depositada' and Col9 = '""&amp;K111&amp;""' and Col6 ="&amp;" ""&amp;M111&amp;"" and Col4 = date '""&amp;YEAR(C111)&amp;""-""&amp;MONTH(C111)&amp;""-""&amp;DAY(C111)&amp;""'""))&gt;0,""Depositada"",if(sum(QUERY(IMPORTRANGE(""https://docs.google.com/spreadsheets/d/1EcLIvUgMoBC5as4ikW0wuQsGH5yVZ6cQ1y16qEfgPnk"",""BD M Sangrias!a:i""),""select Col6 whe"&amp;"re Col7 = 'Caixa Atendimento' and Col9 = '""&amp;K111&amp;""' and Col6 = ""&amp;M111&amp;"" and Col4 = date '""&amp;YEAR(C111)&amp;""-""&amp;MONTH(C111)&amp;""-""&amp;DAY(C111)&amp;""'""))&gt;0,""Caixa Atendimento"",""Caixa Sangria"")),""""),""Caixa Sangria"")"),"")</f>
        <v/>
      </c>
      <c r="M111" s="185">
        <f>IFERROR(__xludf.DUMMYFUNCTION("ifna(VALUE(REGEXEXTRACT(E111,""[0-9.]+[,]+[0-9]+"")))"),289.0)</f>
        <v>289</v>
      </c>
      <c r="N111" s="229"/>
      <c r="O111" s="221"/>
      <c r="P111" s="221"/>
      <c r="Q111" s="231" t="str">
        <f t="shared" si="2"/>
        <v/>
      </c>
      <c r="R111" s="221" t="str">
        <f t="shared" si="3"/>
        <v/>
      </c>
      <c r="S111" s="218" t="str">
        <f t="shared" si="1"/>
        <v/>
      </c>
      <c r="T111" s="185"/>
      <c r="U111" s="185"/>
      <c r="V111" s="185"/>
    </row>
    <row r="112" ht="14.25" customHeight="1">
      <c r="A112" s="178"/>
      <c r="B112" s="12">
        <v>1542457.0</v>
      </c>
      <c r="C112" s="13">
        <v>45831.96440972222</v>
      </c>
      <c r="D112" s="179" t="s">
        <v>81</v>
      </c>
      <c r="E112" s="180" t="s">
        <v>4138</v>
      </c>
      <c r="F112" s="181"/>
      <c r="G112" s="179" t="s">
        <v>4139</v>
      </c>
      <c r="H112" s="190"/>
      <c r="I112" s="190"/>
      <c r="J112" s="187" t="s">
        <v>3151</v>
      </c>
      <c r="K112" s="187"/>
      <c r="L112" s="184" t="str">
        <f>IFERROR(__xludf.DUMMYFUNCTION("ifna(IF(and(D112=""Saída"",J112=""Sangria""),if(sum(QUERY(IMPORTRANGE(""https://docs.google.com/spreadsheets/d/1E4szPcLzsqlw4uyBAoJ61L1ChCgpz4wVP8tHfHW1g_c"",""BD M Sangrias!a:i""),""select Col6 where Col7 = 'Depositada' and Col9 = '""&amp;K112&amp;""' and Col6 ="&amp;" ""&amp;M112&amp;"" and Col4 = date '""&amp;YEAR(C112)&amp;""-""&amp;MONTH(C112)&amp;""-""&amp;DAY(C112)&amp;""'""))&gt;0,""Depositada"",if(sum(QUERY(IMPORTRANGE(""https://docs.google.com/spreadsheets/d/1EcLIvUgMoBC5as4ikW0wuQsGH5yVZ6cQ1y16qEfgPnk"",""BD M Sangrias!a:i""),""select Col6 whe"&amp;"re Col7 = 'Caixa Atendimento' and Col9 = '""&amp;K112&amp;""' and Col6 = ""&amp;M112&amp;"" and Col4 = date '""&amp;YEAR(C112)&amp;""-""&amp;MONTH(C112)&amp;""-""&amp;DAY(C112)&amp;""'""))&gt;0,""Caixa Atendimento"",""Caixa Sangria"")),""""),""Caixa Sangria"")"),"")</f>
        <v/>
      </c>
      <c r="M112" s="185">
        <f>IFERROR(__xludf.DUMMYFUNCTION("ifna(VALUE(REGEXEXTRACT(E112,""[0-9.]+[,]+[0-9]+"")))"),30.0)</f>
        <v>30</v>
      </c>
      <c r="N112" s="226"/>
      <c r="O112" s="220"/>
      <c r="P112" s="220"/>
      <c r="Q112" s="228" t="str">
        <f t="shared" si="2"/>
        <v/>
      </c>
      <c r="R112" s="220" t="str">
        <f t="shared" si="3"/>
        <v/>
      </c>
      <c r="S112" s="218" t="str">
        <f t="shared" si="1"/>
        <v/>
      </c>
      <c r="T112" s="185"/>
      <c r="U112" s="185"/>
      <c r="V112" s="185"/>
    </row>
    <row r="113" ht="14.25" customHeight="1">
      <c r="A113" s="178"/>
      <c r="B113" s="12">
        <v>1542460.0</v>
      </c>
      <c r="C113" s="13">
        <v>45831.96570601852</v>
      </c>
      <c r="D113" s="179" t="s">
        <v>81</v>
      </c>
      <c r="E113" s="180" t="s">
        <v>4153</v>
      </c>
      <c r="F113" s="181"/>
      <c r="G113" s="179" t="s">
        <v>114</v>
      </c>
      <c r="H113" s="190"/>
      <c r="I113" s="190"/>
      <c r="J113" s="187" t="s">
        <v>3151</v>
      </c>
      <c r="K113" s="187"/>
      <c r="L113" s="184" t="str">
        <f>IFERROR(__xludf.DUMMYFUNCTION("ifna(IF(and(D113=""Saída"",J113=""Sangria""),if(sum(QUERY(IMPORTRANGE(""https://docs.google.com/spreadsheets/d/1E4szPcLzsqlw4uyBAoJ61L1ChCgpz4wVP8tHfHW1g_c"",""BD M Sangrias!a:i""),""select Col6 where Col7 = 'Depositada' and Col9 = '""&amp;K113&amp;""' and Col6 ="&amp;" ""&amp;M113&amp;"" and Col4 = date '""&amp;YEAR(C113)&amp;""-""&amp;MONTH(C113)&amp;""-""&amp;DAY(C113)&amp;""'""))&gt;0,""Depositada"",if(sum(QUERY(IMPORTRANGE(""https://docs.google.com/spreadsheets/d/1EcLIvUgMoBC5as4ikW0wuQsGH5yVZ6cQ1y16qEfgPnk"",""BD M Sangrias!a:i""),""select Col6 whe"&amp;"re Col7 = 'Caixa Atendimento' and Col9 = '""&amp;K113&amp;""' and Col6 = ""&amp;M113&amp;"" and Col4 = date '""&amp;YEAR(C113)&amp;""-""&amp;MONTH(C113)&amp;""-""&amp;DAY(C113)&amp;""'""))&gt;0,""Caixa Atendimento"",""Caixa Sangria"")),""""),""Caixa Sangria"")"),"")</f>
        <v/>
      </c>
      <c r="M113" s="185">
        <f>IFERROR(__xludf.DUMMYFUNCTION("ifna(VALUE(REGEXEXTRACT(E113,""[0-9.]+[,]+[0-9]+"")))"),398.23)</f>
        <v>398.23</v>
      </c>
      <c r="N113" s="229"/>
      <c r="O113" s="221"/>
      <c r="P113" s="221"/>
      <c r="Q113" s="231" t="str">
        <f t="shared" si="2"/>
        <v/>
      </c>
      <c r="R113" s="221" t="str">
        <f t="shared" si="3"/>
        <v/>
      </c>
      <c r="S113" s="218" t="str">
        <f t="shared" si="1"/>
        <v/>
      </c>
      <c r="T113" s="185"/>
      <c r="U113" s="185"/>
      <c r="V113" s="185"/>
    </row>
    <row r="114" ht="14.25" customHeight="1">
      <c r="A114" s="178"/>
      <c r="B114" s="12">
        <v>1542462.0</v>
      </c>
      <c r="C114" s="13">
        <v>45831.96611111111</v>
      </c>
      <c r="D114" s="179" t="s">
        <v>81</v>
      </c>
      <c r="E114" s="180" t="s">
        <v>162</v>
      </c>
      <c r="F114" s="181"/>
      <c r="G114" s="179" t="s">
        <v>4179</v>
      </c>
      <c r="H114" s="190"/>
      <c r="I114" s="190"/>
      <c r="J114" s="187" t="s">
        <v>3151</v>
      </c>
      <c r="K114" s="187"/>
      <c r="L114" s="184" t="str">
        <f>IFERROR(__xludf.DUMMYFUNCTION("ifna(IF(and(D114=""Saída"",J114=""Sangria""),if(sum(QUERY(IMPORTRANGE(""https://docs.google.com/spreadsheets/d/1E4szPcLzsqlw4uyBAoJ61L1ChCgpz4wVP8tHfHW1g_c"",""BD M Sangrias!a:i""),""select Col6 where Col7 = 'Depositada' and Col9 = '""&amp;K114&amp;""' and Col6 ="&amp;" ""&amp;M114&amp;"" and Col4 = date '""&amp;YEAR(C114)&amp;""-""&amp;MONTH(C114)&amp;""-""&amp;DAY(C114)&amp;""'""))&gt;0,""Depositada"",if(sum(QUERY(IMPORTRANGE(""https://docs.google.com/spreadsheets/d/1EcLIvUgMoBC5as4ikW0wuQsGH5yVZ6cQ1y16qEfgPnk"",""BD M Sangrias!a:i""),""select Col6 whe"&amp;"re Col7 = 'Caixa Atendimento' and Col9 = '""&amp;K114&amp;""' and Col6 = ""&amp;M114&amp;"" and Col4 = date '""&amp;YEAR(C114)&amp;""-""&amp;MONTH(C114)&amp;""-""&amp;DAY(C114)&amp;""'""))&gt;0,""Caixa Atendimento"",""Caixa Sangria"")),""""),""Caixa Sangria"")"),"")</f>
        <v/>
      </c>
      <c r="M114" s="185">
        <f>IFERROR(__xludf.DUMMYFUNCTION("ifna(VALUE(REGEXEXTRACT(E114,""[0-9.]+[,]+[0-9]+"")))"),150.0)</f>
        <v>150</v>
      </c>
      <c r="N114" s="226"/>
      <c r="O114" s="220"/>
      <c r="P114" s="220"/>
      <c r="Q114" s="228" t="str">
        <f t="shared" si="2"/>
        <v/>
      </c>
      <c r="R114" s="220" t="str">
        <f t="shared" si="3"/>
        <v/>
      </c>
      <c r="S114" s="218" t="str">
        <f t="shared" si="1"/>
        <v/>
      </c>
      <c r="T114" s="185"/>
      <c r="U114" s="185"/>
      <c r="V114" s="185"/>
    </row>
    <row r="115" ht="14.25" customHeight="1">
      <c r="A115" s="178"/>
      <c r="B115" s="12">
        <v>1542469.0</v>
      </c>
      <c r="C115" s="13">
        <v>45831.96854166667</v>
      </c>
      <c r="D115" s="179" t="s">
        <v>81</v>
      </c>
      <c r="E115" s="180" t="s">
        <v>416</v>
      </c>
      <c r="F115" s="181"/>
      <c r="G115" s="179" t="s">
        <v>4201</v>
      </c>
      <c r="H115" s="190"/>
      <c r="I115" s="190"/>
      <c r="J115" s="187" t="s">
        <v>3151</v>
      </c>
      <c r="K115" s="187"/>
      <c r="L115" s="184" t="str">
        <f>IFERROR(__xludf.DUMMYFUNCTION("ifna(IF(and(D115=""Saída"",J115=""Sangria""),if(sum(QUERY(IMPORTRANGE(""https://docs.google.com/spreadsheets/d/1E4szPcLzsqlw4uyBAoJ61L1ChCgpz4wVP8tHfHW1g_c"",""BD M Sangrias!a:i""),""select Col6 where Col7 = 'Depositada' and Col9 = '""&amp;K115&amp;""' and Col6 ="&amp;" ""&amp;M115&amp;"" and Col4 = date '""&amp;YEAR(C115)&amp;""-""&amp;MONTH(C115)&amp;""-""&amp;DAY(C115)&amp;""'""))&gt;0,""Depositada"",if(sum(QUERY(IMPORTRANGE(""https://docs.google.com/spreadsheets/d/1EcLIvUgMoBC5as4ikW0wuQsGH5yVZ6cQ1y16qEfgPnk"",""BD M Sangrias!a:i""),""select Col6 whe"&amp;"re Col7 = 'Caixa Atendimento' and Col9 = '""&amp;K115&amp;""' and Col6 = ""&amp;M115&amp;"" and Col4 = date '""&amp;YEAR(C115)&amp;""-""&amp;MONTH(C115)&amp;""-""&amp;DAY(C115)&amp;""'""))&gt;0,""Caixa Atendimento"",""Caixa Sangria"")),""""),""Caixa Sangria"")"),"")</f>
        <v/>
      </c>
      <c r="M115" s="185">
        <f>IFERROR(__xludf.DUMMYFUNCTION("ifna(VALUE(REGEXEXTRACT(E115,""[0-9.]+[,]+[0-9]+"")))"),100.0)</f>
        <v>100</v>
      </c>
      <c r="N115" s="229"/>
      <c r="O115" s="221"/>
      <c r="P115" s="221"/>
      <c r="Q115" s="231" t="str">
        <f t="shared" si="2"/>
        <v/>
      </c>
      <c r="R115" s="221" t="str">
        <f t="shared" si="3"/>
        <v/>
      </c>
      <c r="S115" s="218" t="str">
        <f t="shared" si="1"/>
        <v/>
      </c>
      <c r="T115" s="185"/>
      <c r="U115" s="185"/>
      <c r="V115" s="185"/>
    </row>
    <row r="116" ht="14.25" customHeight="1">
      <c r="A116" s="178"/>
      <c r="B116" s="12">
        <v>1542472.0</v>
      </c>
      <c r="C116" s="13">
        <v>45831.96978009259</v>
      </c>
      <c r="D116" s="179" t="s">
        <v>152</v>
      </c>
      <c r="E116" s="180" t="s">
        <v>4218</v>
      </c>
      <c r="F116" s="181"/>
      <c r="G116" s="179" t="s">
        <v>4220</v>
      </c>
      <c r="H116" s="190"/>
      <c r="I116" s="190"/>
      <c r="J116" s="187" t="s">
        <v>2669</v>
      </c>
      <c r="K116" s="187"/>
      <c r="L116" s="184" t="str">
        <f>IFERROR(__xludf.DUMMYFUNCTION("ifna(IF(and(D116=""Saída"",J116=""Sangria""),if(sum(QUERY(IMPORTRANGE(""https://docs.google.com/spreadsheets/d/1E4szPcLzsqlw4uyBAoJ61L1ChCgpz4wVP8tHfHW1g_c"",""BD M Sangrias!a:i""),""select Col6 where Col7 = 'Depositada' and Col9 = '""&amp;K116&amp;""' and Col6 ="&amp;" ""&amp;M116&amp;"" and Col4 = date '""&amp;YEAR(C116)&amp;""-""&amp;MONTH(C116)&amp;""-""&amp;DAY(C116)&amp;""'""))&gt;0,""Depositada"",if(sum(QUERY(IMPORTRANGE(""https://docs.google.com/spreadsheets/d/1EcLIvUgMoBC5as4ikW0wuQsGH5yVZ6cQ1y16qEfgPnk"",""BD M Sangrias!a:i""),""select Col6 whe"&amp;"re Col7 = 'Caixa Atendimento' and Col9 = '""&amp;K116&amp;""' and Col6 = ""&amp;M116&amp;"" and Col4 = date '""&amp;YEAR(C116)&amp;""-""&amp;MONTH(C116)&amp;""-""&amp;DAY(C116)&amp;""'""))&gt;0,""Caixa Atendimento"",""Caixa Sangria"")),""""),""Caixa Sangria"")"),"")</f>
        <v/>
      </c>
      <c r="M116" s="185">
        <f>IFERROR(__xludf.DUMMYFUNCTION("ifna(VALUE(REGEXEXTRACT(E116,""[0-9.]+[,]+[0-9]+"")))"),17.23)</f>
        <v>17.23</v>
      </c>
      <c r="N116" s="226"/>
      <c r="O116" s="220"/>
      <c r="P116" s="220"/>
      <c r="Q116" s="228" t="str">
        <f t="shared" si="2"/>
        <v/>
      </c>
      <c r="R116" s="220" t="str">
        <f t="shared" si="3"/>
        <v/>
      </c>
      <c r="S116" s="218" t="str">
        <f t="shared" si="1"/>
        <v/>
      </c>
      <c r="T116" s="185"/>
      <c r="U116" s="185"/>
      <c r="V116" s="185"/>
    </row>
    <row r="117" ht="14.25" customHeight="1">
      <c r="A117" s="178"/>
      <c r="B117" s="12">
        <v>1543170.0</v>
      </c>
      <c r="C117" s="13">
        <v>45832.89090277778</v>
      </c>
      <c r="D117" s="179" t="s">
        <v>81</v>
      </c>
      <c r="E117" s="180" t="s">
        <v>200</v>
      </c>
      <c r="F117" s="181"/>
      <c r="G117" s="179" t="s">
        <v>4234</v>
      </c>
      <c r="H117" s="190"/>
      <c r="I117" s="190"/>
      <c r="J117" s="187" t="s">
        <v>3151</v>
      </c>
      <c r="K117" s="187"/>
      <c r="L117" s="184" t="str">
        <f>IFERROR(__xludf.DUMMYFUNCTION("ifna(IF(and(D117=""Saída"",J117=""Sangria""),if(sum(QUERY(IMPORTRANGE(""https://docs.google.com/spreadsheets/d/1E4szPcLzsqlw4uyBAoJ61L1ChCgpz4wVP8tHfHW1g_c"",""BD M Sangrias!a:i""),""select Col6 where Col7 = 'Depositada' and Col9 = '""&amp;K117&amp;""' and Col6 ="&amp;" ""&amp;M117&amp;"" and Col4 = date '""&amp;YEAR(C117)&amp;""-""&amp;MONTH(C117)&amp;""-""&amp;DAY(C117)&amp;""'""))&gt;0,""Depositada"",if(sum(QUERY(IMPORTRANGE(""https://docs.google.com/spreadsheets/d/1EcLIvUgMoBC5as4ikW0wuQsGH5yVZ6cQ1y16qEfgPnk"",""BD M Sangrias!a:i""),""select Col6 whe"&amp;"re Col7 = 'Caixa Atendimento' and Col9 = '""&amp;K117&amp;""' and Col6 = ""&amp;M117&amp;"" and Col4 = date '""&amp;YEAR(C117)&amp;""-""&amp;MONTH(C117)&amp;""-""&amp;DAY(C117)&amp;""'""))&gt;0,""Caixa Atendimento"",""Caixa Sangria"")),""""),""Caixa Sangria"")"),"")</f>
        <v/>
      </c>
      <c r="M117" s="185">
        <f>IFERROR(__xludf.DUMMYFUNCTION("ifna(VALUE(REGEXEXTRACT(E117,""[0-9.]+[,]+[0-9]+"")))"),300.0)</f>
        <v>300</v>
      </c>
      <c r="N117" s="229"/>
      <c r="O117" s="221"/>
      <c r="P117" s="221"/>
      <c r="Q117" s="231" t="str">
        <f t="shared" si="2"/>
        <v/>
      </c>
      <c r="R117" s="221" t="str">
        <f t="shared" si="3"/>
        <v/>
      </c>
      <c r="S117" s="232" t="str">
        <f t="shared" ref="S117:S138" si="4">IFERROR(VLOOKUP(P117, $A$4:$B$18, 2, FALSE), "")</f>
        <v/>
      </c>
      <c r="T117" s="185"/>
      <c r="U117" s="185"/>
      <c r="V117" s="185"/>
    </row>
    <row r="118" ht="14.25" customHeight="1">
      <c r="A118" s="178"/>
      <c r="B118" s="12">
        <v>1543173.0</v>
      </c>
      <c r="C118" s="13">
        <v>45832.891550925924</v>
      </c>
      <c r="D118" s="179" t="s">
        <v>81</v>
      </c>
      <c r="E118" s="180" t="s">
        <v>4255</v>
      </c>
      <c r="F118" s="188"/>
      <c r="G118" s="179" t="s">
        <v>4258</v>
      </c>
      <c r="H118" s="190"/>
      <c r="I118" s="190"/>
      <c r="J118" s="187" t="s">
        <v>3151</v>
      </c>
      <c r="K118" s="187"/>
      <c r="L118" s="184" t="str">
        <f>IFERROR(__xludf.DUMMYFUNCTION("ifna(IF(and(D118=""Saída"",J118=""Sangria""),if(sum(QUERY(IMPORTRANGE(""https://docs.google.com/spreadsheets/d/1E4szPcLzsqlw4uyBAoJ61L1ChCgpz4wVP8tHfHW1g_c"",""BD M Sangrias!a:i""),""select Col6 where Col7 = 'Depositada' and Col9 = '""&amp;K118&amp;""' and Col6 ="&amp;" ""&amp;M118&amp;"" and Col4 = date '""&amp;YEAR(C118)&amp;""-""&amp;MONTH(C118)&amp;""-""&amp;DAY(C118)&amp;""'""))&gt;0,""Depositada"",if(sum(QUERY(IMPORTRANGE(""https://docs.google.com/spreadsheets/d/1EcLIvUgMoBC5as4ikW0wuQsGH5yVZ6cQ1y16qEfgPnk"",""BD M Sangrias!a:i""),""select Col6 whe"&amp;"re Col7 = 'Caixa Atendimento' and Col9 = '""&amp;K118&amp;""' and Col6 = ""&amp;M118&amp;"" and Col4 = date '""&amp;YEAR(C118)&amp;""-""&amp;MONTH(C118)&amp;""-""&amp;DAY(C118)&amp;""'""))&gt;0,""Caixa Atendimento"",""Caixa Sangria"")),""""),""Caixa Sangria"")"),"")</f>
        <v/>
      </c>
      <c r="M118" s="185">
        <f>IFERROR(__xludf.DUMMYFUNCTION("ifna(VALUE(REGEXEXTRACT(E118,""[0-9.]+[,]+[0-9]+"")))"),14.99)</f>
        <v>14.99</v>
      </c>
      <c r="N118" s="226"/>
      <c r="O118" s="220"/>
      <c r="P118" s="220"/>
      <c r="Q118" s="228" t="str">
        <f t="shared" si="2"/>
        <v/>
      </c>
      <c r="R118" s="220" t="str">
        <f t="shared" si="3"/>
        <v/>
      </c>
      <c r="S118" s="232" t="str">
        <f t="shared" si="4"/>
        <v/>
      </c>
      <c r="T118" s="185"/>
      <c r="U118" s="185"/>
      <c r="V118" s="185"/>
    </row>
    <row r="119" ht="14.25" customHeight="1">
      <c r="A119" s="178"/>
      <c r="B119" s="12">
        <v>1543176.0</v>
      </c>
      <c r="C119" s="13">
        <v>45832.89271990741</v>
      </c>
      <c r="D119" s="179" t="s">
        <v>81</v>
      </c>
      <c r="E119" s="180" t="s">
        <v>590</v>
      </c>
      <c r="F119" s="181"/>
      <c r="G119" s="179" t="s">
        <v>4071</v>
      </c>
      <c r="H119" s="190"/>
      <c r="I119" s="190"/>
      <c r="J119" s="187" t="s">
        <v>2735</v>
      </c>
      <c r="K119" s="187" t="s">
        <v>2018</v>
      </c>
      <c r="L119" s="184" t="str">
        <f>IFERROR(__xludf.DUMMYFUNCTION("ifna(IF(and(D119=""Saída"",J119=""Sangria""),if(sum(QUERY(IMPORTRANGE(""https://docs.google.com/spreadsheets/d/1E4szPcLzsqlw4uyBAoJ61L1ChCgpz4wVP8tHfHW1g_c"",""BD M Sangrias!a:i""),""select Col6 where Col7 = 'Depositada' and Col9 = '""&amp;K119&amp;""' and Col6 ="&amp;" ""&amp;M119&amp;"" and Col4 = date '""&amp;YEAR(C119)&amp;""-""&amp;MONTH(C119)&amp;""-""&amp;DAY(C119)&amp;""'""))&gt;0,""Depositada"",if(sum(QUERY(IMPORTRANGE(""https://docs.google.com/spreadsheets/d/1EcLIvUgMoBC5as4ikW0wuQsGH5yVZ6cQ1y16qEfgPnk"",""BD M Sangrias!a:i""),""select Col6 whe"&amp;"re Col7 = 'Caixa Atendimento' and Col9 = '""&amp;K119&amp;""' and Col6 = ""&amp;M119&amp;"" and Col4 = date '""&amp;YEAR(C119)&amp;""-""&amp;MONTH(C119)&amp;""-""&amp;DAY(C119)&amp;""'""))&gt;0,""Caixa Atendimento"",""Caixa Sangria"")),""""),""Caixa Sangria"")"),"#REF!")</f>
        <v>#REF!</v>
      </c>
      <c r="M119" s="185">
        <f>IFERROR(__xludf.DUMMYFUNCTION("ifna(VALUE(REGEXEXTRACT(E119,""[0-9.]+[,]+[0-9]+"")))"),350.0)</f>
        <v>350</v>
      </c>
      <c r="N119" s="229"/>
      <c r="O119" s="221"/>
      <c r="P119" s="221"/>
      <c r="Q119" s="231" t="str">
        <f t="shared" si="2"/>
        <v/>
      </c>
      <c r="R119" s="221" t="str">
        <f t="shared" si="3"/>
        <v/>
      </c>
      <c r="S119" s="232" t="str">
        <f t="shared" si="4"/>
        <v/>
      </c>
      <c r="T119" s="185"/>
      <c r="U119" s="185"/>
      <c r="V119" s="185"/>
    </row>
    <row r="120" ht="14.25" customHeight="1">
      <c r="A120" s="178"/>
      <c r="B120" s="12">
        <v>1543865.0</v>
      </c>
      <c r="C120" s="13">
        <v>45833.750393518516</v>
      </c>
      <c r="D120" s="179" t="s">
        <v>81</v>
      </c>
      <c r="E120" s="180" t="s">
        <v>4295</v>
      </c>
      <c r="F120" s="181"/>
      <c r="G120" s="179" t="s">
        <v>4297</v>
      </c>
      <c r="H120" s="190"/>
      <c r="I120" s="190"/>
      <c r="J120" s="187" t="s">
        <v>3151</v>
      </c>
      <c r="K120" s="187"/>
      <c r="L120" s="184" t="str">
        <f>IFERROR(__xludf.DUMMYFUNCTION("ifna(IF(and(D120=""Saída"",J120=""Sangria""),if(sum(QUERY(IMPORTRANGE(""https://docs.google.com/spreadsheets/d/1E4szPcLzsqlw4uyBAoJ61L1ChCgpz4wVP8tHfHW1g_c"",""BD M Sangrias!a:i""),""select Col6 where Col7 = 'Depositada' and Col9 = '""&amp;K120&amp;""' and Col6 ="&amp;" ""&amp;M120&amp;"" and Col4 = date '""&amp;YEAR(C120)&amp;""-""&amp;MONTH(C120)&amp;""-""&amp;DAY(C120)&amp;""'""))&gt;0,""Depositada"",if(sum(QUERY(IMPORTRANGE(""https://docs.google.com/spreadsheets/d/1EcLIvUgMoBC5as4ikW0wuQsGH5yVZ6cQ1y16qEfgPnk"",""BD M Sangrias!a:i""),""select Col6 whe"&amp;"re Col7 = 'Caixa Atendimento' and Col9 = '""&amp;K120&amp;""' and Col6 = ""&amp;M120&amp;"" and Col4 = date '""&amp;YEAR(C120)&amp;""-""&amp;MONTH(C120)&amp;""-""&amp;DAY(C120)&amp;""'""))&gt;0,""Caixa Atendimento"",""Caixa Sangria"")),""""),""Caixa Sangria"")"),"")</f>
        <v/>
      </c>
      <c r="M120" s="185">
        <f>IFERROR(__xludf.DUMMYFUNCTION("ifna(VALUE(REGEXEXTRACT(E120,""[0-9.]+[,]+[0-9]+"")))"),39.98)</f>
        <v>39.98</v>
      </c>
      <c r="N120" s="226"/>
      <c r="O120" s="220"/>
      <c r="P120" s="220"/>
      <c r="Q120" s="228" t="str">
        <f t="shared" si="2"/>
        <v/>
      </c>
      <c r="R120" s="220" t="str">
        <f t="shared" si="3"/>
        <v/>
      </c>
      <c r="S120" s="232" t="str">
        <f t="shared" si="4"/>
        <v/>
      </c>
      <c r="T120" s="185"/>
      <c r="U120" s="185"/>
      <c r="V120" s="185"/>
    </row>
    <row r="121" ht="14.25" customHeight="1">
      <c r="A121" s="178"/>
      <c r="B121" s="12">
        <v>1543867.0</v>
      </c>
      <c r="C121" s="13">
        <v>45833.7508912037</v>
      </c>
      <c r="D121" s="179" t="s">
        <v>81</v>
      </c>
      <c r="E121" s="180" t="s">
        <v>4308</v>
      </c>
      <c r="F121" s="181"/>
      <c r="G121" s="179" t="s">
        <v>4309</v>
      </c>
      <c r="H121" s="190"/>
      <c r="I121" s="190"/>
      <c r="J121" s="187" t="s">
        <v>3151</v>
      </c>
      <c r="K121" s="187"/>
      <c r="L121" s="184" t="str">
        <f>IFERROR(__xludf.DUMMYFUNCTION("ifna(IF(and(D121=""Saída"",J121=""Sangria""),if(sum(QUERY(IMPORTRANGE(""https://docs.google.com/spreadsheets/d/1E4szPcLzsqlw4uyBAoJ61L1ChCgpz4wVP8tHfHW1g_c"",""BD M Sangrias!a:i""),""select Col6 where Col7 = 'Depositada' and Col9 = '""&amp;K121&amp;""' and Col6 ="&amp;" ""&amp;M121&amp;"" and Col4 = date '""&amp;YEAR(C121)&amp;""-""&amp;MONTH(C121)&amp;""-""&amp;DAY(C121)&amp;""'""))&gt;0,""Depositada"",if(sum(QUERY(IMPORTRANGE(""https://docs.google.com/spreadsheets/d/1EcLIvUgMoBC5as4ikW0wuQsGH5yVZ6cQ1y16qEfgPnk"",""BD M Sangrias!a:i""),""select Col6 whe"&amp;"re Col7 = 'Caixa Atendimento' and Col9 = '""&amp;K121&amp;""' and Col6 = ""&amp;M121&amp;"" and Col4 = date '""&amp;YEAR(C121)&amp;""-""&amp;MONTH(C121)&amp;""-""&amp;DAY(C121)&amp;""'""))&gt;0,""Caixa Atendimento"",""Caixa Sangria"")),""""),""Caixa Sangria"")"),"")</f>
        <v/>
      </c>
      <c r="M121" s="185">
        <f>IFERROR(__xludf.DUMMYFUNCTION("ifna(VALUE(REGEXEXTRACT(E121,""[0-9.]+[,]+[0-9]+"")))"),2.25)</f>
        <v>2.25</v>
      </c>
      <c r="N121" s="229"/>
      <c r="O121" s="221"/>
      <c r="P121" s="221"/>
      <c r="Q121" s="231" t="str">
        <f t="shared" si="2"/>
        <v/>
      </c>
      <c r="R121" s="221" t="str">
        <f t="shared" si="3"/>
        <v/>
      </c>
      <c r="S121" s="232" t="str">
        <f t="shared" si="4"/>
        <v/>
      </c>
      <c r="T121" s="185"/>
      <c r="U121" s="185"/>
      <c r="V121" s="185"/>
    </row>
    <row r="122" ht="14.25" customHeight="1">
      <c r="A122" s="178"/>
      <c r="B122" s="12">
        <v>1543884.0</v>
      </c>
      <c r="C122" s="13">
        <v>45833.760613425926</v>
      </c>
      <c r="D122" s="179" t="s">
        <v>81</v>
      </c>
      <c r="E122" s="180" t="s">
        <v>146</v>
      </c>
      <c r="F122" s="181"/>
      <c r="G122" s="179" t="s">
        <v>2735</v>
      </c>
      <c r="H122" s="190"/>
      <c r="I122" s="190"/>
      <c r="J122" s="187" t="s">
        <v>2735</v>
      </c>
      <c r="K122" s="187" t="s">
        <v>2018</v>
      </c>
      <c r="L122" s="184" t="str">
        <f>IFERROR(__xludf.DUMMYFUNCTION("ifna(IF(and(D122=""Saída"",J122=""Sangria""),if(sum(QUERY(IMPORTRANGE(""https://docs.google.com/spreadsheets/d/1E4szPcLzsqlw4uyBAoJ61L1ChCgpz4wVP8tHfHW1g_c"",""BD M Sangrias!a:i""),""select Col6 where Col7 = 'Depositada' and Col9 = '""&amp;K122&amp;""' and Col6 ="&amp;" ""&amp;M122&amp;"" and Col4 = date '""&amp;YEAR(C122)&amp;""-""&amp;MONTH(C122)&amp;""-""&amp;DAY(C122)&amp;""'""))&gt;0,""Depositada"",if(sum(QUERY(IMPORTRANGE(""https://docs.google.com/spreadsheets/d/1EcLIvUgMoBC5as4ikW0wuQsGH5yVZ6cQ1y16qEfgPnk"",""BD M Sangrias!a:i""),""select Col6 whe"&amp;"re Col7 = 'Caixa Atendimento' and Col9 = '""&amp;K122&amp;""' and Col6 = ""&amp;M122&amp;"" and Col4 = date '""&amp;YEAR(C122)&amp;""-""&amp;MONTH(C122)&amp;""-""&amp;DAY(C122)&amp;""'""))&gt;0,""Caixa Atendimento"",""Caixa Sangria"")),""""),""Caixa Sangria"")"),"#REF!")</f>
        <v>#REF!</v>
      </c>
      <c r="M122" s="185">
        <f>IFERROR(__xludf.DUMMYFUNCTION("ifna(VALUE(REGEXEXTRACT(E122,""[0-9.]+[,]+[0-9]+"")))"),400.0)</f>
        <v>400</v>
      </c>
      <c r="N122" s="226"/>
      <c r="O122" s="220"/>
      <c r="P122" s="220"/>
      <c r="Q122" s="228" t="str">
        <f t="shared" si="2"/>
        <v/>
      </c>
      <c r="R122" s="220" t="str">
        <f t="shared" si="3"/>
        <v/>
      </c>
      <c r="S122" s="232" t="str">
        <f t="shared" si="4"/>
        <v/>
      </c>
      <c r="T122" s="185"/>
      <c r="U122" s="185"/>
      <c r="V122" s="185"/>
    </row>
    <row r="123" ht="14.25" customHeight="1">
      <c r="A123" s="178"/>
      <c r="B123" s="12">
        <v>1544293.0</v>
      </c>
      <c r="C123" s="13">
        <v>45833.93378472222</v>
      </c>
      <c r="D123" s="179" t="s">
        <v>81</v>
      </c>
      <c r="E123" s="180" t="s">
        <v>162</v>
      </c>
      <c r="F123" s="188"/>
      <c r="G123" s="179" t="s">
        <v>3104</v>
      </c>
      <c r="H123" s="190"/>
      <c r="I123" s="190"/>
      <c r="J123" s="187" t="s">
        <v>2735</v>
      </c>
      <c r="K123" s="187" t="s">
        <v>1894</v>
      </c>
      <c r="L123" s="184" t="str">
        <f>IFERROR(__xludf.DUMMYFUNCTION("ifna(IF(and(D123=""Saída"",J123=""Sangria""),if(sum(QUERY(IMPORTRANGE(""https://docs.google.com/spreadsheets/d/1E4szPcLzsqlw4uyBAoJ61L1ChCgpz4wVP8tHfHW1g_c"",""BD M Sangrias!a:i""),""select Col6 where Col7 = 'Depositada' and Col9 = '""&amp;K123&amp;""' and Col6 ="&amp;" ""&amp;M123&amp;"" and Col4 = date '""&amp;YEAR(C123)&amp;""-""&amp;MONTH(C123)&amp;""-""&amp;DAY(C123)&amp;""'""))&gt;0,""Depositada"",if(sum(QUERY(IMPORTRANGE(""https://docs.google.com/spreadsheets/d/1EcLIvUgMoBC5as4ikW0wuQsGH5yVZ6cQ1y16qEfgPnk"",""BD M Sangrias!a:i""),""select Col6 whe"&amp;"re Col7 = 'Caixa Atendimento' and Col9 = '""&amp;K123&amp;""' and Col6 = ""&amp;M123&amp;"" and Col4 = date '""&amp;YEAR(C123)&amp;""-""&amp;MONTH(C123)&amp;""-""&amp;DAY(C123)&amp;""'""))&gt;0,""Caixa Atendimento"",""Caixa Sangria"")),""""),""Caixa Sangria"")"),"#REF!")</f>
        <v>#REF!</v>
      </c>
      <c r="M123" s="185">
        <f>IFERROR(__xludf.DUMMYFUNCTION("ifna(VALUE(REGEXEXTRACT(E123,""[0-9.]+[,]+[0-9]+"")))"),150.0)</f>
        <v>150</v>
      </c>
      <c r="N123" s="229"/>
      <c r="O123" s="221"/>
      <c r="P123" s="221"/>
      <c r="Q123" s="231" t="str">
        <f t="shared" si="2"/>
        <v/>
      </c>
      <c r="R123" s="221" t="str">
        <f t="shared" si="3"/>
        <v/>
      </c>
      <c r="S123" s="232" t="str">
        <f t="shared" si="4"/>
        <v/>
      </c>
      <c r="T123" s="185"/>
      <c r="U123" s="185"/>
      <c r="V123" s="185"/>
    </row>
    <row r="124" ht="14.25" customHeight="1">
      <c r="A124" s="178"/>
      <c r="B124" s="12"/>
      <c r="C124" s="13"/>
      <c r="D124" s="179"/>
      <c r="E124" s="180"/>
      <c r="F124" s="181"/>
      <c r="G124" s="179"/>
      <c r="H124" s="190"/>
      <c r="I124" s="190"/>
      <c r="J124" s="187"/>
      <c r="K124" s="187"/>
      <c r="L124" s="184" t="str">
        <f>IFERROR(__xludf.DUMMYFUNCTION("ifna(IF(and(D124=""Saída"",J124=""Sangria""),if(sum(QUERY(IMPORTRANGE(""https://docs.google.com/spreadsheets/d/1E4szPcLzsqlw4uyBAoJ61L1ChCgpz4wVP8tHfHW1g_c"",""BD M Sangrias!a:i""),""select Col6 where Col7 = 'Depositada' and Col9 = '""&amp;K124&amp;""' and Col6 ="&amp;" ""&amp;M124&amp;"" and Col4 = date '""&amp;YEAR(C124)&amp;""-""&amp;MONTH(C124)&amp;""-""&amp;DAY(C124)&amp;""'""))&gt;0,""Depositada"",if(sum(QUERY(IMPORTRANGE(""https://docs.google.com/spreadsheets/d/1EcLIvUgMoBC5as4ikW0wuQsGH5yVZ6cQ1y16qEfgPnk"",""BD M Sangrias!a:i""),""select Col6 whe"&amp;"re Col7 = 'Caixa Atendimento' and Col9 = '""&amp;K124&amp;""' and Col6 = ""&amp;M124&amp;"" and Col4 = date '""&amp;YEAR(C124)&amp;""-""&amp;MONTH(C124)&amp;""-""&amp;DAY(C124)&amp;""'""))&gt;0,""Caixa Atendimento"",""Caixa Sangria"")),""""),""Caixa Sangria"")"),"")</f>
        <v/>
      </c>
      <c r="M124" s="185" t="str">
        <f>IFERROR(__xludf.DUMMYFUNCTION("ifna(VALUE(REGEXEXTRACT(E124,""[0-9.]+[,]+[0-9]+"")))"),"")</f>
        <v/>
      </c>
      <c r="N124" s="226"/>
      <c r="O124" s="220"/>
      <c r="P124" s="220"/>
      <c r="Q124" s="228" t="str">
        <f t="shared" si="2"/>
        <v/>
      </c>
      <c r="R124" s="220" t="str">
        <f t="shared" si="3"/>
        <v/>
      </c>
      <c r="S124" s="232" t="str">
        <f t="shared" si="4"/>
        <v/>
      </c>
      <c r="T124" s="185"/>
      <c r="U124" s="185"/>
      <c r="V124" s="185"/>
    </row>
    <row r="125" ht="14.25" customHeight="1">
      <c r="A125" s="178"/>
      <c r="B125" s="12"/>
      <c r="C125" s="13"/>
      <c r="D125" s="179"/>
      <c r="E125" s="180"/>
      <c r="F125" s="181"/>
      <c r="G125" s="179"/>
      <c r="H125" s="190"/>
      <c r="I125" s="190"/>
      <c r="J125" s="187"/>
      <c r="K125" s="187"/>
      <c r="L125" s="184" t="str">
        <f>IFERROR(__xludf.DUMMYFUNCTION("ifna(IF(and(D125=""Saída"",J125=""Sangria""),if(sum(QUERY(IMPORTRANGE(""https://docs.google.com/spreadsheets/d/1E4szPcLzsqlw4uyBAoJ61L1ChCgpz4wVP8tHfHW1g_c"",""BD M Sangrias!a:i""),""select Col6 where Col7 = 'Depositada' and Col9 = '""&amp;K125&amp;""' and Col6 ="&amp;" ""&amp;M125&amp;"" and Col4 = date '""&amp;YEAR(C125)&amp;""-""&amp;MONTH(C125)&amp;""-""&amp;DAY(C125)&amp;""'""))&gt;0,""Depositada"",if(sum(QUERY(IMPORTRANGE(""https://docs.google.com/spreadsheets/d/1EcLIvUgMoBC5as4ikW0wuQsGH5yVZ6cQ1y16qEfgPnk"",""BD M Sangrias!a:i""),""select Col6 whe"&amp;"re Col7 = 'Caixa Atendimento' and Col9 = '""&amp;K125&amp;""' and Col6 = ""&amp;M125&amp;"" and Col4 = date '""&amp;YEAR(C125)&amp;""-""&amp;MONTH(C125)&amp;""-""&amp;DAY(C125)&amp;""'""))&gt;0,""Caixa Atendimento"",""Caixa Sangria"")),""""),""Caixa Sangria"")"),"")</f>
        <v/>
      </c>
      <c r="M125" s="185" t="str">
        <f>IFERROR(__xludf.DUMMYFUNCTION("ifna(VALUE(REGEXEXTRACT(E125,""[0-9.]+[,]+[0-9]+"")))"),"")</f>
        <v/>
      </c>
      <c r="N125" s="229"/>
      <c r="O125" s="221"/>
      <c r="P125" s="221"/>
      <c r="Q125" s="231" t="str">
        <f t="shared" si="2"/>
        <v/>
      </c>
      <c r="R125" s="221" t="str">
        <f t="shared" si="3"/>
        <v/>
      </c>
      <c r="S125" s="232" t="str">
        <f t="shared" si="4"/>
        <v/>
      </c>
      <c r="T125" s="185"/>
      <c r="U125" s="185"/>
      <c r="V125" s="185"/>
    </row>
    <row r="126" ht="14.25" customHeight="1">
      <c r="A126" s="178"/>
      <c r="B126" s="12"/>
      <c r="C126" s="13"/>
      <c r="D126" s="179"/>
      <c r="E126" s="180"/>
      <c r="F126" s="181"/>
      <c r="G126" s="179"/>
      <c r="H126" s="190"/>
      <c r="I126" s="190"/>
      <c r="J126" s="187"/>
      <c r="K126" s="187"/>
      <c r="L126" s="184" t="str">
        <f>IFERROR(__xludf.DUMMYFUNCTION("ifna(IF(and(D126=""Saída"",J126=""Sangria""),if(sum(QUERY(IMPORTRANGE(""https://docs.google.com/spreadsheets/d/1E4szPcLzsqlw4uyBAoJ61L1ChCgpz4wVP8tHfHW1g_c"",""BD M Sangrias!a:i""),""select Col6 where Col7 = 'Depositada' and Col9 = '""&amp;K126&amp;""' and Col6 ="&amp;" ""&amp;M126&amp;"" and Col4 = date '""&amp;YEAR(C126)&amp;""-""&amp;MONTH(C126)&amp;""-""&amp;DAY(C126)&amp;""'""))&gt;0,""Depositada"",if(sum(QUERY(IMPORTRANGE(""https://docs.google.com/spreadsheets/d/1EcLIvUgMoBC5as4ikW0wuQsGH5yVZ6cQ1y16qEfgPnk"",""BD M Sangrias!a:i""),""select Col6 whe"&amp;"re Col7 = 'Caixa Atendimento' and Col9 = '""&amp;K126&amp;""' and Col6 = ""&amp;M126&amp;"" and Col4 = date '""&amp;YEAR(C126)&amp;""-""&amp;MONTH(C126)&amp;""-""&amp;DAY(C126)&amp;""'""))&gt;0,""Caixa Atendimento"",""Caixa Sangria"")),""""),""Caixa Sangria"")"),"")</f>
        <v/>
      </c>
      <c r="M126" s="185" t="str">
        <f>IFERROR(__xludf.DUMMYFUNCTION("ifna(VALUE(REGEXEXTRACT(E126,""[0-9.]+[,]+[0-9]+"")))"),"")</f>
        <v/>
      </c>
      <c r="N126" s="226"/>
      <c r="O126" s="220"/>
      <c r="P126" s="220"/>
      <c r="Q126" s="228" t="str">
        <f t="shared" si="2"/>
        <v/>
      </c>
      <c r="R126" s="220" t="str">
        <f t="shared" si="3"/>
        <v/>
      </c>
      <c r="S126" s="232" t="str">
        <f t="shared" si="4"/>
        <v/>
      </c>
      <c r="T126" s="185"/>
      <c r="U126" s="185"/>
      <c r="V126" s="185"/>
    </row>
    <row r="127" ht="14.25" customHeight="1">
      <c r="A127" s="178"/>
      <c r="B127" s="12"/>
      <c r="C127" s="13"/>
      <c r="D127" s="179"/>
      <c r="E127" s="180"/>
      <c r="F127" s="181"/>
      <c r="G127" s="179"/>
      <c r="H127" s="190"/>
      <c r="I127" s="190"/>
      <c r="J127" s="187"/>
      <c r="K127" s="187"/>
      <c r="L127" s="184" t="str">
        <f>IFERROR(__xludf.DUMMYFUNCTION("ifna(IF(and(D127=""Saída"",J127=""Sangria""),if(sum(QUERY(IMPORTRANGE(""https://docs.google.com/spreadsheets/d/1E4szPcLzsqlw4uyBAoJ61L1ChCgpz4wVP8tHfHW1g_c"",""BD M Sangrias!a:i""),""select Col6 where Col7 = 'Depositada' and Col9 = '""&amp;K127&amp;""' and Col6 ="&amp;" ""&amp;M127&amp;"" and Col4 = date '""&amp;YEAR(C127)&amp;""-""&amp;MONTH(C127)&amp;""-""&amp;DAY(C127)&amp;""'""))&gt;0,""Depositada"",if(sum(QUERY(IMPORTRANGE(""https://docs.google.com/spreadsheets/d/1EcLIvUgMoBC5as4ikW0wuQsGH5yVZ6cQ1y16qEfgPnk"",""BD M Sangrias!a:i""),""select Col6 whe"&amp;"re Col7 = 'Caixa Atendimento' and Col9 = '""&amp;K127&amp;""' and Col6 = ""&amp;M127&amp;"" and Col4 = date '""&amp;YEAR(C127)&amp;""-""&amp;MONTH(C127)&amp;""-""&amp;DAY(C127)&amp;""'""))&gt;0,""Caixa Atendimento"",""Caixa Sangria"")),""""),""Caixa Sangria"")"),"")</f>
        <v/>
      </c>
      <c r="M127" s="185" t="str">
        <f>IFERROR(__xludf.DUMMYFUNCTION("ifna(VALUE(REGEXEXTRACT(E127,""[0-9.]+[,]+[0-9]+"")))"),"")</f>
        <v/>
      </c>
      <c r="N127" s="229"/>
      <c r="O127" s="221"/>
      <c r="P127" s="221"/>
      <c r="Q127" s="231" t="str">
        <f t="shared" si="2"/>
        <v/>
      </c>
      <c r="R127" s="221" t="str">
        <f t="shared" si="3"/>
        <v/>
      </c>
      <c r="S127" s="232" t="str">
        <f t="shared" si="4"/>
        <v/>
      </c>
      <c r="T127" s="185"/>
      <c r="U127" s="185"/>
      <c r="V127" s="185"/>
    </row>
    <row r="128" ht="14.25" customHeight="1">
      <c r="A128" s="178"/>
      <c r="B128" s="12"/>
      <c r="C128" s="13"/>
      <c r="D128" s="179"/>
      <c r="E128" s="180"/>
      <c r="F128" s="181"/>
      <c r="G128" s="179"/>
      <c r="H128" s="190"/>
      <c r="I128" s="190"/>
      <c r="J128" s="187"/>
      <c r="K128" s="187"/>
      <c r="L128" s="184" t="str">
        <f>IFERROR(__xludf.DUMMYFUNCTION("ifna(IF(and(D128=""Saída"",J128=""Sangria""),if(sum(QUERY(IMPORTRANGE(""https://docs.google.com/spreadsheets/d/1E4szPcLzsqlw4uyBAoJ61L1ChCgpz4wVP8tHfHW1g_c"",""BD M Sangrias!a:i""),""select Col6 where Col7 = 'Depositada' and Col9 = '""&amp;K128&amp;""' and Col6 ="&amp;" ""&amp;M128&amp;"" and Col4 = date '""&amp;YEAR(C128)&amp;""-""&amp;MONTH(C128)&amp;""-""&amp;DAY(C128)&amp;""'""))&gt;0,""Depositada"",if(sum(QUERY(IMPORTRANGE(""https://docs.google.com/spreadsheets/d/1EcLIvUgMoBC5as4ikW0wuQsGH5yVZ6cQ1y16qEfgPnk"",""BD M Sangrias!a:i""),""select Col6 whe"&amp;"re Col7 = 'Caixa Atendimento' and Col9 = '""&amp;K128&amp;""' and Col6 = ""&amp;M128&amp;"" and Col4 = date '""&amp;YEAR(C128)&amp;""-""&amp;MONTH(C128)&amp;""-""&amp;DAY(C128)&amp;""'""))&gt;0,""Caixa Atendimento"",""Caixa Sangria"")),""""),""Caixa Sangria"")"),"")</f>
        <v/>
      </c>
      <c r="M128" s="185" t="str">
        <f>IFERROR(__xludf.DUMMYFUNCTION("ifna(VALUE(REGEXEXTRACT(E128,""[0-9.]+[,]+[0-9]+"")))"),"")</f>
        <v/>
      </c>
      <c r="N128" s="226"/>
      <c r="O128" s="220"/>
      <c r="P128" s="220"/>
      <c r="Q128" s="228" t="str">
        <f t="shared" si="2"/>
        <v/>
      </c>
      <c r="R128" s="220" t="str">
        <f t="shared" si="3"/>
        <v/>
      </c>
      <c r="S128" s="232" t="str">
        <f t="shared" si="4"/>
        <v/>
      </c>
      <c r="T128" s="185"/>
      <c r="U128" s="185"/>
      <c r="V128" s="185"/>
    </row>
    <row r="129" ht="14.25" customHeight="1">
      <c r="A129" s="178"/>
      <c r="B129" s="12"/>
      <c r="C129" s="13"/>
      <c r="D129" s="179"/>
      <c r="E129" s="180"/>
      <c r="F129" s="181"/>
      <c r="G129" s="179"/>
      <c r="H129" s="190"/>
      <c r="I129" s="190"/>
      <c r="J129" s="187"/>
      <c r="K129" s="187"/>
      <c r="L129" s="184" t="str">
        <f>IFERROR(__xludf.DUMMYFUNCTION("ifna(IF(and(D129=""Saída"",J129=""Sangria""),if(sum(QUERY(IMPORTRANGE(""https://docs.google.com/spreadsheets/d/1E4szPcLzsqlw4uyBAoJ61L1ChCgpz4wVP8tHfHW1g_c"",""BD M Sangrias!a:i""),""select Col6 where Col7 = 'Depositada' and Col9 = '""&amp;K129&amp;""' and Col6 ="&amp;" ""&amp;M129&amp;"" and Col4 = date '""&amp;YEAR(C129)&amp;""-""&amp;MONTH(C129)&amp;""-""&amp;DAY(C129)&amp;""'""))&gt;0,""Depositada"",if(sum(QUERY(IMPORTRANGE(""https://docs.google.com/spreadsheets/d/1EcLIvUgMoBC5as4ikW0wuQsGH5yVZ6cQ1y16qEfgPnk"",""BD M Sangrias!a:i""),""select Col6 whe"&amp;"re Col7 = 'Caixa Atendimento' and Col9 = '""&amp;K129&amp;""' and Col6 = ""&amp;M129&amp;"" and Col4 = date '""&amp;YEAR(C129)&amp;""-""&amp;MONTH(C129)&amp;""-""&amp;DAY(C129)&amp;""'""))&gt;0,""Caixa Atendimento"",""Caixa Sangria"")),""""),""Caixa Sangria"")"),"")</f>
        <v/>
      </c>
      <c r="M129" s="185" t="str">
        <f>IFERROR(__xludf.DUMMYFUNCTION("ifna(VALUE(REGEXEXTRACT(E129,""[0-9.]+[,]+[0-9]+"")))"),"")</f>
        <v/>
      </c>
      <c r="N129" s="229"/>
      <c r="O129" s="221"/>
      <c r="P129" s="221"/>
      <c r="Q129" s="231" t="str">
        <f t="shared" si="2"/>
        <v/>
      </c>
      <c r="R129" s="221" t="str">
        <f t="shared" si="3"/>
        <v/>
      </c>
      <c r="S129" s="232" t="str">
        <f t="shared" si="4"/>
        <v/>
      </c>
      <c r="T129" s="185"/>
      <c r="U129" s="185"/>
      <c r="V129" s="185"/>
    </row>
    <row r="130" ht="14.25" customHeight="1">
      <c r="A130" s="178"/>
      <c r="B130" s="12"/>
      <c r="C130" s="13"/>
      <c r="D130" s="179"/>
      <c r="E130" s="180"/>
      <c r="F130" s="188"/>
      <c r="G130" s="179"/>
      <c r="H130" s="190"/>
      <c r="I130" s="190"/>
      <c r="J130" s="187"/>
      <c r="K130" s="187"/>
      <c r="L130" s="184" t="str">
        <f>IFERROR(__xludf.DUMMYFUNCTION("ifna(IF(and(D130=""Saída"",J130=""Sangria""),if(sum(QUERY(IMPORTRANGE(""https://docs.google.com/spreadsheets/d/1E4szPcLzsqlw4uyBAoJ61L1ChCgpz4wVP8tHfHW1g_c"",""BD M Sangrias!a:i""),""select Col6 where Col7 = 'Depositada' and Col9 = '""&amp;K130&amp;""' and Col6 ="&amp;" ""&amp;M130&amp;"" and Col4 = date '""&amp;YEAR(C130)&amp;""-""&amp;MONTH(C130)&amp;""-""&amp;DAY(C130)&amp;""'""))&gt;0,""Depositada"",if(sum(QUERY(IMPORTRANGE(""https://docs.google.com/spreadsheets/d/1EcLIvUgMoBC5as4ikW0wuQsGH5yVZ6cQ1y16qEfgPnk"",""BD M Sangrias!a:i""),""select Col6 whe"&amp;"re Col7 = 'Caixa Atendimento' and Col9 = '""&amp;K130&amp;""' and Col6 = ""&amp;M130&amp;"" and Col4 = date '""&amp;YEAR(C130)&amp;""-""&amp;MONTH(C130)&amp;""-""&amp;DAY(C130)&amp;""'""))&gt;0,""Caixa Atendimento"",""Caixa Sangria"")),""""),""Caixa Sangria"")"),"")</f>
        <v/>
      </c>
      <c r="M130" s="185" t="str">
        <f>IFERROR(__xludf.DUMMYFUNCTION("ifna(VALUE(REGEXEXTRACT(E130,""[0-9.]+[,]+[0-9]+"")))"),"")</f>
        <v/>
      </c>
      <c r="N130" s="226"/>
      <c r="O130" s="220"/>
      <c r="P130" s="220"/>
      <c r="Q130" s="228" t="str">
        <f t="shared" si="2"/>
        <v/>
      </c>
      <c r="R130" s="220" t="str">
        <f t="shared" si="3"/>
        <v/>
      </c>
      <c r="S130" s="232" t="str">
        <f t="shared" si="4"/>
        <v/>
      </c>
      <c r="T130" s="185"/>
      <c r="U130" s="185"/>
      <c r="V130" s="185"/>
    </row>
    <row r="131" ht="14.25" customHeight="1">
      <c r="A131" s="178"/>
      <c r="B131" s="12"/>
      <c r="C131" s="13"/>
      <c r="D131" s="179"/>
      <c r="E131" s="180"/>
      <c r="F131" s="181"/>
      <c r="G131" s="179"/>
      <c r="H131" s="190"/>
      <c r="I131" s="190"/>
      <c r="J131" s="233"/>
      <c r="K131" s="187"/>
      <c r="L131" s="184" t="str">
        <f>IFERROR(__xludf.DUMMYFUNCTION("ifna(IF(and(D131=""Saída"",J131=""Sangria""),if(sum(QUERY(IMPORTRANGE(""https://docs.google.com/spreadsheets/d/1E4szPcLzsqlw4uyBAoJ61L1ChCgpz4wVP8tHfHW1g_c"",""BD M Sangrias!a:i""),""select Col6 where Col7 = 'Depositada' and Col9 = '""&amp;K131&amp;""' and Col6 ="&amp;" ""&amp;M131&amp;"" and Col4 = date '""&amp;YEAR(C131)&amp;""-""&amp;MONTH(C131)&amp;""-""&amp;DAY(C131)&amp;""'""))&gt;0,""Depositada"",if(sum(QUERY(IMPORTRANGE(""https://docs.google.com/spreadsheets/d/1EcLIvUgMoBC5as4ikW0wuQsGH5yVZ6cQ1y16qEfgPnk"",""BD M Sangrias!a:i""),""select Col6 whe"&amp;"re Col7 = 'Caixa Atendimento' and Col9 = '""&amp;K131&amp;""' and Col6 = ""&amp;M131&amp;"" and Col4 = date '""&amp;YEAR(C131)&amp;""-""&amp;MONTH(C131)&amp;""-""&amp;DAY(C131)&amp;""'""))&gt;0,""Caixa Atendimento"",""Caixa Sangria"")),""""),""Caixa Sangria"")"),"")</f>
        <v/>
      </c>
      <c r="M131" s="185" t="str">
        <f>IFERROR(__xludf.DUMMYFUNCTION("ifna(VALUE(REGEXEXTRACT(E131,""[0-9.]+[,]+[0-9]+"")))"),"")</f>
        <v/>
      </c>
      <c r="N131" s="229"/>
      <c r="O131" s="221"/>
      <c r="P131" s="221"/>
      <c r="Q131" s="231" t="str">
        <f t="shared" si="2"/>
        <v/>
      </c>
      <c r="R131" s="221" t="str">
        <f t="shared" si="3"/>
        <v/>
      </c>
      <c r="S131" s="232" t="str">
        <f t="shared" si="4"/>
        <v/>
      </c>
      <c r="T131" s="185"/>
      <c r="U131" s="185"/>
      <c r="V131" s="185"/>
    </row>
    <row r="132" ht="14.25" customHeight="1">
      <c r="A132" s="178"/>
      <c r="B132" s="12"/>
      <c r="C132" s="13"/>
      <c r="D132" s="179"/>
      <c r="E132" s="180"/>
      <c r="F132" s="181"/>
      <c r="G132" s="179"/>
      <c r="H132" s="190"/>
      <c r="I132" s="190"/>
      <c r="J132" s="187"/>
      <c r="K132" s="187"/>
      <c r="L132" s="184" t="str">
        <f>IFERROR(__xludf.DUMMYFUNCTION("ifna(IF(and(D132=""Saída"",J132=""Sangria""),if(sum(QUERY(IMPORTRANGE(""https://docs.google.com/spreadsheets/d/1E4szPcLzsqlw4uyBAoJ61L1ChCgpz4wVP8tHfHW1g_c"",""BD M Sangrias!a:i""),""select Col6 where Col7 = 'Depositada' and Col9 = '""&amp;K132&amp;""' and Col6 ="&amp;" ""&amp;M132&amp;"" and Col4 = date '""&amp;YEAR(C132)&amp;""-""&amp;MONTH(C132)&amp;""-""&amp;DAY(C132)&amp;""'""))&gt;0,""Depositada"",if(sum(QUERY(IMPORTRANGE(""https://docs.google.com/spreadsheets/d/1EcLIvUgMoBC5as4ikW0wuQsGH5yVZ6cQ1y16qEfgPnk"",""BD M Sangrias!a:i""),""select Col6 whe"&amp;"re Col7 = 'Caixa Atendimento' and Col9 = '""&amp;K132&amp;""' and Col6 = ""&amp;M132&amp;"" and Col4 = date '""&amp;YEAR(C132)&amp;""-""&amp;MONTH(C132)&amp;""-""&amp;DAY(C132)&amp;""'""))&gt;0,""Caixa Atendimento"",""Caixa Sangria"")),""""),""Caixa Sangria"")"),"")</f>
        <v/>
      </c>
      <c r="M132" s="185" t="str">
        <f>IFERROR(__xludf.DUMMYFUNCTION("ifna(VALUE(REGEXEXTRACT(E132,""[0-9.]+[,]+[0-9]+"")))"),"")</f>
        <v/>
      </c>
      <c r="N132" s="226"/>
      <c r="O132" s="220"/>
      <c r="P132" s="220"/>
      <c r="Q132" s="228" t="str">
        <f t="shared" si="2"/>
        <v/>
      </c>
      <c r="R132" s="220" t="str">
        <f t="shared" si="3"/>
        <v/>
      </c>
      <c r="S132" s="232" t="str">
        <f t="shared" si="4"/>
        <v/>
      </c>
      <c r="T132" s="185"/>
      <c r="U132" s="185"/>
      <c r="V132" s="185"/>
    </row>
    <row r="133" ht="14.25" customHeight="1">
      <c r="A133" s="178"/>
      <c r="B133" s="12"/>
      <c r="C133" s="13"/>
      <c r="D133" s="179"/>
      <c r="E133" s="180"/>
      <c r="F133" s="181"/>
      <c r="G133" s="179"/>
      <c r="H133" s="190"/>
      <c r="I133" s="190"/>
      <c r="K133" s="187"/>
      <c r="L133" s="184" t="str">
        <f>IFERROR(__xludf.DUMMYFUNCTION("ifna(IF(and(D133=""Saída"",J132=""Sangria""),if(sum(QUERY(IMPORTRANGE(""https://docs.google.com/spreadsheets/d/1E4szPcLzsqlw4uyBAoJ61L1ChCgpz4wVP8tHfHW1g_c"",""BD M Sangrias!a:i""),""select Col6 where Col7 = 'Depositada' and Col9 = '""&amp;K133&amp;""' and Col6 ="&amp;" ""&amp;M133&amp;"" and Col4 = date '""&amp;YEAR(C133)&amp;""-""&amp;MONTH(C133)&amp;""-""&amp;DAY(C133)&amp;""'""))&gt;0,""Depositada"",if(sum(QUERY(IMPORTRANGE(""https://docs.google.com/spreadsheets/d/1EcLIvUgMoBC5as4ikW0wuQsGH5yVZ6cQ1y16qEfgPnk"",""BD M Sangrias!a:i""),""select Col6 whe"&amp;"re Col7 = 'Caixa Atendimento' and Col9 = '""&amp;K133&amp;""' and Col6 = ""&amp;M133&amp;"" and Col4 = date '""&amp;YEAR(C133)&amp;""-""&amp;MONTH(C133)&amp;""-""&amp;DAY(C133)&amp;""'""))&gt;0,""Caixa Atendimento"",""Caixa Sangria"")),""""),""Caixa Sangria"")"),"")</f>
        <v/>
      </c>
      <c r="M133" s="185" t="str">
        <f>IFERROR(__xludf.DUMMYFUNCTION("ifna(VALUE(REGEXEXTRACT(E133,""[0-9.]+[,]+[0-9]+"")))"),"")</f>
        <v/>
      </c>
      <c r="N133" s="235"/>
      <c r="O133" s="236"/>
      <c r="P133" s="236"/>
      <c r="Q133" s="237" t="str">
        <f t="shared" si="2"/>
        <v/>
      </c>
      <c r="R133" s="236" t="str">
        <f t="shared" si="3"/>
        <v/>
      </c>
      <c r="S133" s="232" t="str">
        <f t="shared" si="4"/>
        <v/>
      </c>
      <c r="T133" s="185"/>
      <c r="U133" s="185"/>
      <c r="V133" s="185"/>
    </row>
    <row r="134" ht="14.25" customHeight="1">
      <c r="A134" s="178"/>
      <c r="B134" s="12"/>
      <c r="C134" s="13"/>
      <c r="D134" s="179"/>
      <c r="E134" s="180"/>
      <c r="F134" s="188"/>
      <c r="G134" s="179"/>
      <c r="H134" s="190"/>
      <c r="I134" s="190"/>
      <c r="J134" s="187"/>
      <c r="K134" s="187"/>
      <c r="L134" s="184" t="str">
        <f>IFERROR(__xludf.DUMMYFUNCTION("ifna(IF(and(D134=""Saída"",J134=""Sangria""),if(sum(QUERY(IMPORTRANGE(""https://docs.google.com/spreadsheets/d/1E4szPcLzsqlw4uyBAoJ61L1ChCgpz4wVP8tHfHW1g_c"",""BD M Sangrias!a:i""),""select Col6 where Col7 = 'Depositada' and Col9 = '""&amp;K134&amp;""' and Col6 ="&amp;" ""&amp;M134&amp;"" and Col4 = date '""&amp;YEAR(C134)&amp;""-""&amp;MONTH(C134)&amp;""-""&amp;DAY(C134)&amp;""'""))&gt;0,""Depositada"",if(sum(QUERY(IMPORTRANGE(""https://docs.google.com/spreadsheets/d/1EcLIvUgMoBC5as4ikW0wuQsGH5yVZ6cQ1y16qEfgPnk"",""BD M Sangrias!a:i""),""select Col6 whe"&amp;"re Col7 = 'Caixa Atendimento' and Col9 = '""&amp;K134&amp;""' and Col6 = ""&amp;M134&amp;"" and Col4 = date '""&amp;YEAR(C134)&amp;""-""&amp;MONTH(C134)&amp;""-""&amp;DAY(C134)&amp;""'""))&gt;0,""Caixa Atendimento"",""Caixa Sangria"")),""""),""Caixa Sangria"")"),"")</f>
        <v/>
      </c>
      <c r="M134" s="185" t="str">
        <f>IFERROR(__xludf.DUMMYFUNCTION("ifna(VALUE(REGEXEXTRACT(E134,""[0-9.]+[,]+[0-9]+"")))"),"")</f>
        <v/>
      </c>
      <c r="N134" s="235"/>
      <c r="O134" s="236"/>
      <c r="P134" s="236"/>
      <c r="Q134" s="237" t="str">
        <f t="shared" si="2"/>
        <v/>
      </c>
      <c r="R134" s="236" t="str">
        <f t="shared" si="3"/>
        <v/>
      </c>
      <c r="S134" s="232" t="str">
        <f t="shared" si="4"/>
        <v/>
      </c>
      <c r="T134" s="185"/>
      <c r="U134" s="185"/>
      <c r="V134" s="185"/>
    </row>
    <row r="135" ht="14.25" customHeight="1">
      <c r="A135" s="178"/>
      <c r="B135" s="12"/>
      <c r="C135" s="13"/>
      <c r="D135" s="179"/>
      <c r="E135" s="180"/>
      <c r="F135" s="181"/>
      <c r="G135" s="179"/>
      <c r="H135" s="190"/>
      <c r="I135" s="190"/>
      <c r="J135" s="187"/>
      <c r="K135" s="187"/>
      <c r="L135" s="184" t="str">
        <f>IFERROR(__xludf.DUMMYFUNCTION("ifna(IF(and(D135=""Saída"",J135=""Sangria""),if(sum(QUERY(IMPORTRANGE(""https://docs.google.com/spreadsheets/d/1E4szPcLzsqlw4uyBAoJ61L1ChCgpz4wVP8tHfHW1g_c"",""BD M Sangrias!a:i""),""select Col6 where Col7 = 'Depositada' and Col9 = '""&amp;K135&amp;""' and Col6 ="&amp;" ""&amp;M135&amp;"" and Col4 = date '""&amp;YEAR(C135)&amp;""-""&amp;MONTH(C135)&amp;""-""&amp;DAY(C135)&amp;""'""))&gt;0,""Depositada"",if(sum(QUERY(IMPORTRANGE(""https://docs.google.com/spreadsheets/d/1EcLIvUgMoBC5as4ikW0wuQsGH5yVZ6cQ1y16qEfgPnk"",""BD M Sangrias!a:i""),""select Col6 whe"&amp;"re Col7 = 'Caixa Atendimento' and Col9 = '""&amp;K135&amp;""' and Col6 = ""&amp;M135&amp;"" and Col4 = date '""&amp;YEAR(C135)&amp;""-""&amp;MONTH(C135)&amp;""-""&amp;DAY(C135)&amp;""'""))&gt;0,""Caixa Atendimento"",""Caixa Sangria"")),""""),""Caixa Sangria"")"),"")</f>
        <v/>
      </c>
      <c r="M135" s="185" t="str">
        <f>IFERROR(__xludf.DUMMYFUNCTION("ifna(VALUE(REGEXEXTRACT(E135,""[0-9.]+[,]+[0-9]+"")))"),"")</f>
        <v/>
      </c>
      <c r="N135" s="235"/>
      <c r="O135" s="236"/>
      <c r="P135" s="236"/>
      <c r="Q135" s="237" t="str">
        <f t="shared" si="2"/>
        <v/>
      </c>
      <c r="R135" s="236" t="str">
        <f t="shared" si="3"/>
        <v/>
      </c>
      <c r="S135" s="232" t="str">
        <f t="shared" si="4"/>
        <v/>
      </c>
      <c r="T135" s="185"/>
      <c r="U135" s="185"/>
      <c r="V135" s="185"/>
    </row>
    <row r="136" ht="14.25" customHeight="1">
      <c r="A136" s="178"/>
      <c r="B136" s="12"/>
      <c r="C136" s="13"/>
      <c r="D136" s="179"/>
      <c r="E136" s="180"/>
      <c r="F136" s="181"/>
      <c r="G136" s="179"/>
      <c r="H136" s="190"/>
      <c r="I136" s="190"/>
      <c r="J136" s="187"/>
      <c r="K136" s="187"/>
      <c r="L136" s="184" t="str">
        <f>IFERROR(__xludf.DUMMYFUNCTION("ifna(IF(and(D136=""Saída"",J136=""Sangria""),if(sum(QUERY(IMPORTRANGE(""https://docs.google.com/spreadsheets/d/1E4szPcLzsqlw4uyBAoJ61L1ChCgpz4wVP8tHfHW1g_c"",""BD M Sangrias!a:i""),""select Col6 where Col7 = 'Depositada' and Col9 = '""&amp;K136&amp;""' and Col6 ="&amp;" ""&amp;M136&amp;"" and Col4 = date '""&amp;YEAR(C136)&amp;""-""&amp;MONTH(C136)&amp;""-""&amp;DAY(C136)&amp;""'""))&gt;0,""Depositada"",if(sum(QUERY(IMPORTRANGE(""https://docs.google.com/spreadsheets/d/1EcLIvUgMoBC5as4ikW0wuQsGH5yVZ6cQ1y16qEfgPnk"",""BD M Sangrias!a:i""),""select Col6 whe"&amp;"re Col7 = 'Caixa Atendimento' and Col9 = '""&amp;K136&amp;""' and Col6 = ""&amp;M136&amp;"" and Col4 = date '""&amp;YEAR(C136)&amp;""-""&amp;MONTH(C136)&amp;""-""&amp;DAY(C136)&amp;""'""))&gt;0,""Caixa Atendimento"",""Caixa Sangria"")),""""),""Caixa Sangria"")"),"")</f>
        <v/>
      </c>
      <c r="M136" s="185" t="str">
        <f>IFERROR(__xludf.DUMMYFUNCTION("ifna(VALUE(REGEXEXTRACT(E136,""[0-9.]+[,]+[0-9]+"")))"),"")</f>
        <v/>
      </c>
      <c r="N136" s="235"/>
      <c r="O136" s="236"/>
      <c r="P136" s="236"/>
      <c r="Q136" s="237" t="str">
        <f t="shared" si="2"/>
        <v/>
      </c>
      <c r="R136" s="236" t="str">
        <f t="shared" si="3"/>
        <v/>
      </c>
      <c r="S136" s="232" t="str">
        <f t="shared" si="4"/>
        <v/>
      </c>
      <c r="T136" s="185"/>
      <c r="U136" s="185"/>
      <c r="V136" s="185"/>
    </row>
    <row r="137" ht="14.25" customHeight="1">
      <c r="A137" s="178"/>
      <c r="B137" s="12"/>
      <c r="C137" s="13"/>
      <c r="D137" s="179"/>
      <c r="E137" s="180"/>
      <c r="F137" s="181"/>
      <c r="G137" s="179"/>
      <c r="H137" s="190"/>
      <c r="I137" s="190"/>
      <c r="J137" s="187"/>
      <c r="K137" s="187"/>
      <c r="L137" s="184" t="str">
        <f>IFERROR(__xludf.DUMMYFUNCTION("ifna(IF(and(D137=""Saída"",J137=""Sangria""),if(sum(QUERY(IMPORTRANGE(""https://docs.google.com/spreadsheets/d/1E4szPcLzsqlw4uyBAoJ61L1ChCgpz4wVP8tHfHW1g_c"",""BD M Sangrias!a:i""),""select Col6 where Col7 = 'Depositada' and Col9 = '""&amp;K137&amp;""' and Col6 ="&amp;" ""&amp;M137&amp;"" and Col4 = date '""&amp;YEAR(C137)&amp;""-""&amp;MONTH(C137)&amp;""-""&amp;DAY(C137)&amp;""'""))&gt;0,""Depositada"",if(sum(QUERY(IMPORTRANGE(""https://docs.google.com/spreadsheets/d/1EcLIvUgMoBC5as4ikW0wuQsGH5yVZ6cQ1y16qEfgPnk"",""BD M Sangrias!a:i""),""select Col6 whe"&amp;"re Col7 = 'Caixa Atendimento' and Col9 = '""&amp;K137&amp;""' and Col6 = ""&amp;M137&amp;"" and Col4 = date '""&amp;YEAR(C137)&amp;""-""&amp;MONTH(C137)&amp;""-""&amp;DAY(C137)&amp;""'""))&gt;0,""Caixa Atendimento"",""Caixa Sangria"")),""""),""Caixa Sangria"")"),"")</f>
        <v/>
      </c>
      <c r="M137" s="185" t="str">
        <f>IFERROR(__xludf.DUMMYFUNCTION("ifna(VALUE(REGEXEXTRACT(E137,""[0-9.]+[,]+[0-9]+"")))"),"")</f>
        <v/>
      </c>
      <c r="N137" s="235"/>
      <c r="O137" s="236"/>
      <c r="P137" s="236"/>
      <c r="Q137" s="237" t="str">
        <f t="shared" si="2"/>
        <v/>
      </c>
      <c r="R137" s="236" t="str">
        <f t="shared" si="3"/>
        <v/>
      </c>
      <c r="S137" s="232" t="str">
        <f t="shared" si="4"/>
        <v/>
      </c>
      <c r="T137" s="185"/>
      <c r="U137" s="185"/>
      <c r="V137" s="185"/>
    </row>
    <row r="138" ht="14.25" customHeight="1">
      <c r="A138" s="178"/>
      <c r="B138" s="12"/>
      <c r="C138" s="13"/>
      <c r="D138" s="179"/>
      <c r="E138" s="180"/>
      <c r="F138" s="181"/>
      <c r="G138" s="179"/>
      <c r="H138" s="190"/>
      <c r="I138" s="190"/>
      <c r="J138" s="187"/>
      <c r="K138" s="187"/>
      <c r="L138" s="184" t="str">
        <f>IFERROR(__xludf.DUMMYFUNCTION("ifna(IF(and(D138=""Saída"",J138=""Sangria""),if(sum(QUERY(IMPORTRANGE(""https://docs.google.com/spreadsheets/d/1E4szPcLzsqlw4uyBAoJ61L1ChCgpz4wVP8tHfHW1g_c"",""BD M Sangrias!a:i""),""select Col6 where Col7 = 'Depositada' and Col9 = '""&amp;K138&amp;""' and Col6 ="&amp;" ""&amp;M138&amp;"" and Col4 = date '""&amp;YEAR(C138)&amp;""-""&amp;MONTH(C138)&amp;""-""&amp;DAY(C138)&amp;""'""))&gt;0,""Depositada"",if(sum(QUERY(IMPORTRANGE(""https://docs.google.com/spreadsheets/d/1EcLIvUgMoBC5as4ikW0wuQsGH5yVZ6cQ1y16qEfgPnk"",""BD M Sangrias!a:i""),""select Col6 whe"&amp;"re Col7 = 'Caixa Atendimento' and Col9 = '""&amp;K138&amp;""' and Col6 = ""&amp;M138&amp;"" and Col4 = date '""&amp;YEAR(C138)&amp;""-""&amp;MONTH(C138)&amp;""-""&amp;DAY(C138)&amp;""'""))&gt;0,""Caixa Atendimento"",""Caixa Sangria"")),""""),""Caixa Sangria"")"),"")</f>
        <v/>
      </c>
      <c r="M138" s="185" t="str">
        <f>IFERROR(__xludf.DUMMYFUNCTION("ifna(VALUE(REGEXEXTRACT(E138,""[0-9.]+[,]+[0-9]+"")))"),"")</f>
        <v/>
      </c>
      <c r="N138" s="239"/>
      <c r="O138" s="240"/>
      <c r="P138" s="240"/>
      <c r="Q138" s="241" t="str">
        <f t="shared" si="2"/>
        <v/>
      </c>
      <c r="R138" s="240" t="str">
        <f t="shared" si="3"/>
        <v/>
      </c>
      <c r="S138" s="242" t="str">
        <f t="shared" si="4"/>
        <v/>
      </c>
      <c r="T138" s="185"/>
      <c r="U138" s="185"/>
      <c r="V138" s="185"/>
    </row>
    <row r="139" ht="14.25" customHeight="1">
      <c r="A139" s="178"/>
      <c r="B139" s="12"/>
      <c r="C139" s="13"/>
      <c r="D139" s="179"/>
      <c r="E139" s="180"/>
      <c r="F139" s="181"/>
      <c r="G139" s="179"/>
      <c r="H139" s="190"/>
      <c r="I139" s="190"/>
      <c r="J139" s="187"/>
      <c r="K139" s="187"/>
      <c r="L139" s="184" t="str">
        <f>IFERROR(__xludf.DUMMYFUNCTION("ifna(IF(and(D139=""Saída"",J139=""Sangria""),if(sum(QUERY(IMPORTRANGE(""https://docs.google.com/spreadsheets/d/1E4szPcLzsqlw4uyBAoJ61L1ChCgpz4wVP8tHfHW1g_c"",""BD M Sangrias!a:i""),""select Col6 where Col7 = 'Depositada' and Col9 = '""&amp;K139&amp;""' and Col6 ="&amp;" ""&amp;M139&amp;"" and Col4 = date '""&amp;YEAR(C139)&amp;""-""&amp;MONTH(C139)&amp;""-""&amp;DAY(C139)&amp;""'""))&gt;0,""Depositada"",if(sum(QUERY(IMPORTRANGE(""https://docs.google.com/spreadsheets/d/1EcLIvUgMoBC5as4ikW0wuQsGH5yVZ6cQ1y16qEfgPnk"",""BD M Sangrias!a:i""),""select Col6 whe"&amp;"re Col7 = 'Caixa Atendimento' and Col9 = '""&amp;K139&amp;""' and Col6 = ""&amp;M139&amp;"" and Col4 = date '""&amp;YEAR(C139)&amp;""-""&amp;MONTH(C139)&amp;""-""&amp;DAY(C139)&amp;""'""))&gt;0,""Caixa Atendimento"",""Caixa Sangria"")),""""),""Caixa Sangria"")"),"")</f>
        <v/>
      </c>
      <c r="M139" s="185" t="str">
        <f>IFERROR(__xludf.DUMMYFUNCTION("ifna(VALUE(REGEXEXTRACT(E139,""[0-9.]+[,]+[0-9]+"")))"),"")</f>
        <v/>
      </c>
      <c r="N139" s="185"/>
      <c r="O139" s="185"/>
      <c r="P139" s="185"/>
      <c r="Q139" s="185"/>
      <c r="R139" s="185"/>
      <c r="S139" s="185"/>
      <c r="T139" s="185"/>
      <c r="U139" s="185"/>
      <c r="V139" s="185"/>
    </row>
    <row r="140" ht="14.25" customHeight="1">
      <c r="A140" s="178"/>
      <c r="B140" s="12"/>
      <c r="C140" s="13"/>
      <c r="D140" s="179"/>
      <c r="E140" s="180"/>
      <c r="F140" s="181"/>
      <c r="G140" s="179"/>
      <c r="H140" s="190"/>
      <c r="I140" s="190"/>
      <c r="J140" s="187"/>
      <c r="K140" s="187"/>
      <c r="L140" s="184" t="str">
        <f>IFERROR(__xludf.DUMMYFUNCTION("ifna(IF(and(D140=""Saída"",J140=""Sangria""),if(sum(QUERY(IMPORTRANGE(""https://docs.google.com/spreadsheets/d/1E4szPcLzsqlw4uyBAoJ61L1ChCgpz4wVP8tHfHW1g_c"",""BD M Sangrias!a:i""),""select Col6 where Col7 = 'Depositada' and Col9 = '""&amp;K140&amp;""' and Col6 ="&amp;" ""&amp;M140&amp;"" and Col4 = date '""&amp;YEAR(C140)&amp;""-""&amp;MONTH(C140)&amp;""-""&amp;DAY(C140)&amp;""'""))&gt;0,""Depositada"",if(sum(QUERY(IMPORTRANGE(""https://docs.google.com/spreadsheets/d/1EcLIvUgMoBC5as4ikW0wuQsGH5yVZ6cQ1y16qEfgPnk"",""BD M Sangrias!a:i""),""select Col6 whe"&amp;"re Col7 = 'Caixa Atendimento' and Col9 = '""&amp;K140&amp;""' and Col6 = ""&amp;M140&amp;"" and Col4 = date '""&amp;YEAR(C140)&amp;""-""&amp;MONTH(C140)&amp;""-""&amp;DAY(C140)&amp;""'""))&gt;0,""Caixa Atendimento"",""Caixa Sangria"")),""""),""Caixa Sangria"")"),"")</f>
        <v/>
      </c>
      <c r="M140" s="185" t="str">
        <f>IFERROR(__xludf.DUMMYFUNCTION("ifna(VALUE(REGEXEXTRACT(E140,""[0-9.]+[,]+[0-9]+"")))"),"")</f>
        <v/>
      </c>
      <c r="N140" s="185"/>
      <c r="O140" s="185"/>
      <c r="P140" s="185"/>
      <c r="Q140" s="185"/>
      <c r="R140" s="185"/>
      <c r="S140" s="185"/>
      <c r="T140" s="185"/>
      <c r="U140" s="185"/>
      <c r="V140" s="185"/>
    </row>
    <row r="141" ht="14.25" customHeight="1">
      <c r="A141" s="178"/>
      <c r="B141" s="12"/>
      <c r="C141" s="13"/>
      <c r="D141" s="179"/>
      <c r="E141" s="180"/>
      <c r="F141" s="181"/>
      <c r="G141" s="179"/>
      <c r="H141" s="190"/>
      <c r="I141" s="190"/>
      <c r="J141" s="187"/>
      <c r="K141" s="187"/>
      <c r="L141" s="184" t="str">
        <f>IFERROR(__xludf.DUMMYFUNCTION("ifna(IF(and(D141=""Saída"",J141=""Sangria""),if(sum(QUERY(IMPORTRANGE(""https://docs.google.com/spreadsheets/d/1E4szPcLzsqlw4uyBAoJ61L1ChCgpz4wVP8tHfHW1g_c"",""BD M Sangrias!a:i""),""select Col6 where Col7 = 'Depositada' and Col9 = '""&amp;K141&amp;""' and Col6 ="&amp;" ""&amp;M141&amp;"" and Col4 = date '""&amp;YEAR(C141)&amp;""-""&amp;MONTH(C141)&amp;""-""&amp;DAY(C141)&amp;""'""))&gt;0,""Depositada"",if(sum(QUERY(IMPORTRANGE(""https://docs.google.com/spreadsheets/d/1EcLIvUgMoBC5as4ikW0wuQsGH5yVZ6cQ1y16qEfgPnk"",""BD M Sangrias!a:i""),""select Col6 whe"&amp;"re Col7 = 'Caixa Atendimento' and Col9 = '""&amp;K141&amp;""' and Col6 = ""&amp;M141&amp;"" and Col4 = date '""&amp;YEAR(C141)&amp;""-""&amp;MONTH(C141)&amp;""-""&amp;DAY(C141)&amp;""'""))&gt;0,""Caixa Atendimento"",""Caixa Sangria"")),""""),""Caixa Sangria"")"),"")</f>
        <v/>
      </c>
      <c r="M141" s="185" t="str">
        <f>IFERROR(__xludf.DUMMYFUNCTION("ifna(VALUE(REGEXEXTRACT(E141,""[0-9.]+[,]+[0-9]+"")))"),"")</f>
        <v/>
      </c>
      <c r="N141" s="185"/>
      <c r="O141" s="185"/>
      <c r="P141" s="185"/>
      <c r="Q141" s="185"/>
      <c r="R141" s="185"/>
      <c r="S141" s="185"/>
      <c r="T141" s="185"/>
      <c r="U141" s="185"/>
      <c r="V141" s="185"/>
    </row>
    <row r="142" ht="14.25" customHeight="1">
      <c r="A142" s="178"/>
      <c r="B142" s="12"/>
      <c r="C142" s="13"/>
      <c r="D142" s="179"/>
      <c r="E142" s="180"/>
      <c r="F142" s="181"/>
      <c r="G142" s="179"/>
      <c r="H142" s="190"/>
      <c r="I142" s="190"/>
      <c r="J142" s="187"/>
      <c r="K142" s="187"/>
      <c r="L142" s="184" t="str">
        <f>IFERROR(__xludf.DUMMYFUNCTION("ifna(IF(and(D142=""Saída"",J142=""Sangria""),if(sum(QUERY(IMPORTRANGE(""https://docs.google.com/spreadsheets/d/1E4szPcLzsqlw4uyBAoJ61L1ChCgpz4wVP8tHfHW1g_c"",""BD M Sangrias!a:i""),""select Col6 where Col7 = 'Depositada' and Col9 = '""&amp;K142&amp;""' and Col6 ="&amp;" ""&amp;M142&amp;"" and Col4 = date '""&amp;YEAR(C142)&amp;""-""&amp;MONTH(C142)&amp;""-""&amp;DAY(C142)&amp;""'""))&gt;0,""Depositada"",if(sum(QUERY(IMPORTRANGE(""https://docs.google.com/spreadsheets/d/1EcLIvUgMoBC5as4ikW0wuQsGH5yVZ6cQ1y16qEfgPnk"",""BD M Sangrias!a:i""),""select Col6 whe"&amp;"re Col7 = 'Caixa Atendimento' and Col9 = '""&amp;K142&amp;""' and Col6 = ""&amp;M142&amp;"" and Col4 = date '""&amp;YEAR(C142)&amp;""-""&amp;MONTH(C142)&amp;""-""&amp;DAY(C142)&amp;""'""))&gt;0,""Caixa Atendimento"",""Caixa Sangria"")),""""),""Caixa Sangria"")"),"")</f>
        <v/>
      </c>
      <c r="M142" s="185" t="str">
        <f>IFERROR(__xludf.DUMMYFUNCTION("ifna(VALUE(REGEXEXTRACT(E142,""[0-9.]+[,]+[0-9]+"")))"),"")</f>
        <v/>
      </c>
      <c r="N142" s="185"/>
      <c r="O142" s="185"/>
      <c r="P142" s="185"/>
      <c r="Q142" s="185"/>
      <c r="R142" s="185"/>
      <c r="S142" s="185"/>
      <c r="T142" s="185"/>
      <c r="U142" s="185"/>
      <c r="V142" s="185"/>
    </row>
    <row r="143" ht="14.25" customHeight="1">
      <c r="A143" s="178"/>
      <c r="B143" s="12"/>
      <c r="C143" s="13"/>
      <c r="D143" s="179"/>
      <c r="E143" s="180"/>
      <c r="F143" s="188"/>
      <c r="G143" s="179"/>
      <c r="H143" s="190"/>
      <c r="I143" s="190"/>
      <c r="J143" s="187"/>
      <c r="K143" s="187"/>
      <c r="L143" s="184" t="str">
        <f>IFERROR(__xludf.DUMMYFUNCTION("ifna(IF(and(D143=""Saída"",J143=""Sangria""),if(sum(QUERY(IMPORTRANGE(""https://docs.google.com/spreadsheets/d/1E4szPcLzsqlw4uyBAoJ61L1ChCgpz4wVP8tHfHW1g_c"",""BD M Sangrias!a:i""),""select Col6 where Col7 = 'Depositada' and Col9 = '""&amp;K143&amp;""' and Col6 ="&amp;" ""&amp;M143&amp;"" and Col4 = date '""&amp;YEAR(C143)&amp;""-""&amp;MONTH(C143)&amp;""-""&amp;DAY(C143)&amp;""'""))&gt;0,""Depositada"",if(sum(QUERY(IMPORTRANGE(""https://docs.google.com/spreadsheets/d/1EcLIvUgMoBC5as4ikW0wuQsGH5yVZ6cQ1y16qEfgPnk"",""BD M Sangrias!a:i""),""select Col6 whe"&amp;"re Col7 = 'Caixa Atendimento' and Col9 = '""&amp;K143&amp;""' and Col6 = ""&amp;M143&amp;"" and Col4 = date '""&amp;YEAR(C143)&amp;""-""&amp;MONTH(C143)&amp;""-""&amp;DAY(C143)&amp;""'""))&gt;0,""Caixa Atendimento"",""Caixa Sangria"")),""""),""Caixa Sangria"")"),"")</f>
        <v/>
      </c>
      <c r="M143" s="185" t="str">
        <f>IFERROR(__xludf.DUMMYFUNCTION("ifna(VALUE(REGEXEXTRACT(E143,""[0-9.]+[,]+[0-9]+"")))"),"")</f>
        <v/>
      </c>
      <c r="N143" s="185"/>
      <c r="O143" s="185"/>
      <c r="P143" s="185"/>
      <c r="Q143" s="185"/>
      <c r="R143" s="185"/>
      <c r="S143" s="185"/>
      <c r="T143" s="185"/>
      <c r="U143" s="185"/>
      <c r="V143" s="185"/>
    </row>
    <row r="144" ht="14.25" customHeight="1">
      <c r="A144" s="178"/>
      <c r="B144" s="12"/>
      <c r="C144" s="13"/>
      <c r="D144" s="179"/>
      <c r="E144" s="180"/>
      <c r="F144" s="181"/>
      <c r="G144" s="179"/>
      <c r="H144" s="190"/>
      <c r="I144" s="190"/>
      <c r="J144" s="187"/>
      <c r="K144" s="187"/>
      <c r="L144" s="184" t="str">
        <f>IFERROR(__xludf.DUMMYFUNCTION("ifna(IF(and(D144=""Saída"",J144=""Sangria""),if(sum(QUERY(IMPORTRANGE(""https://docs.google.com/spreadsheets/d/1E4szPcLzsqlw4uyBAoJ61L1ChCgpz4wVP8tHfHW1g_c"",""BD M Sangrias!a:i""),""select Col6 where Col7 = 'Depositada' and Col9 = '""&amp;K144&amp;""' and Col6 ="&amp;" ""&amp;M144&amp;"" and Col4 = date '""&amp;YEAR(C144)&amp;""-""&amp;MONTH(C144)&amp;""-""&amp;DAY(C144)&amp;""'""))&gt;0,""Depositada"",if(sum(QUERY(IMPORTRANGE(""https://docs.google.com/spreadsheets/d/1EcLIvUgMoBC5as4ikW0wuQsGH5yVZ6cQ1y16qEfgPnk"",""BD M Sangrias!a:i""),""select Col6 whe"&amp;"re Col7 = 'Caixa Atendimento' and Col9 = '""&amp;K144&amp;""' and Col6 = ""&amp;M144&amp;"" and Col4 = date '""&amp;YEAR(C144)&amp;""-""&amp;MONTH(C144)&amp;""-""&amp;DAY(C144)&amp;""'""))&gt;0,""Caixa Atendimento"",""Caixa Sangria"")),""""),""Caixa Sangria"")"),"")</f>
        <v/>
      </c>
      <c r="M144" s="185" t="str">
        <f>IFERROR(__xludf.DUMMYFUNCTION("ifna(VALUE(REGEXEXTRACT(E144,""[0-9.]+[,]+[0-9]+"")))"),"")</f>
        <v/>
      </c>
      <c r="N144" s="185"/>
      <c r="O144" s="185"/>
      <c r="P144" s="185"/>
      <c r="Q144" s="185"/>
      <c r="R144" s="185"/>
      <c r="S144" s="185"/>
      <c r="T144" s="185"/>
      <c r="U144" s="185"/>
      <c r="V144" s="185"/>
    </row>
    <row r="145" ht="14.25" customHeight="1">
      <c r="A145" s="178"/>
      <c r="B145" s="12"/>
      <c r="C145" s="13"/>
      <c r="D145" s="179"/>
      <c r="E145" s="180"/>
      <c r="F145" s="181"/>
      <c r="G145" s="179"/>
      <c r="H145" s="190"/>
      <c r="I145" s="190"/>
      <c r="J145" s="187"/>
      <c r="K145" s="187"/>
      <c r="L145" s="184" t="str">
        <f>IFERROR(__xludf.DUMMYFUNCTION("ifna(IF(and(D145=""Saída"",J145=""Sangria""),if(sum(QUERY(IMPORTRANGE(""https://docs.google.com/spreadsheets/d/1E4szPcLzsqlw4uyBAoJ61L1ChCgpz4wVP8tHfHW1g_c"",""BD M Sangrias!a:i""),""select Col6 where Col7 = 'Depositada' and Col9 = '""&amp;K145&amp;""' and Col6 ="&amp;" ""&amp;M145&amp;"" and Col4 = date '""&amp;YEAR(C145)&amp;""-""&amp;MONTH(C145)&amp;""-""&amp;DAY(C145)&amp;""'""))&gt;0,""Depositada"",if(sum(QUERY(IMPORTRANGE(""https://docs.google.com/spreadsheets/d/1EcLIvUgMoBC5as4ikW0wuQsGH5yVZ6cQ1y16qEfgPnk"",""BD M Sangrias!a:i""),""select Col6 whe"&amp;"re Col7 = 'Caixa Atendimento' and Col9 = '""&amp;K145&amp;""' and Col6 = ""&amp;M145&amp;"" and Col4 = date '""&amp;YEAR(C145)&amp;""-""&amp;MONTH(C145)&amp;""-""&amp;DAY(C145)&amp;""'""))&gt;0,""Caixa Atendimento"",""Caixa Sangria"")),""""),""Caixa Sangria"")"),"")</f>
        <v/>
      </c>
      <c r="M145" s="185" t="str">
        <f>IFERROR(__xludf.DUMMYFUNCTION("ifna(VALUE(REGEXEXTRACT(E145,""[0-9.]+[,]+[0-9]+"")))"),"")</f>
        <v/>
      </c>
      <c r="N145" s="185"/>
      <c r="O145" s="185"/>
      <c r="P145" s="185"/>
      <c r="Q145" s="185"/>
      <c r="R145" s="185"/>
      <c r="S145" s="185"/>
      <c r="T145" s="185"/>
      <c r="U145" s="185"/>
      <c r="V145" s="185"/>
    </row>
    <row r="146" ht="14.25" customHeight="1">
      <c r="A146" s="178"/>
      <c r="B146" s="12"/>
      <c r="C146" s="13"/>
      <c r="D146" s="179"/>
      <c r="E146" s="180"/>
      <c r="F146" s="181"/>
      <c r="G146" s="179"/>
      <c r="H146" s="190"/>
      <c r="I146" s="190"/>
      <c r="J146" s="187"/>
      <c r="K146" s="187"/>
      <c r="L146" s="184" t="str">
        <f>IFERROR(__xludf.DUMMYFUNCTION("ifna(IF(and(D146=""Saída"",J146=""Sangria""),if(sum(QUERY(IMPORTRANGE(""https://docs.google.com/spreadsheets/d/1E4szPcLzsqlw4uyBAoJ61L1ChCgpz4wVP8tHfHW1g_c"",""BD M Sangrias!a:i""),""select Col6 where Col7 = 'Depositada' and Col9 = '""&amp;K146&amp;""' and Col6 ="&amp;" ""&amp;M146&amp;"" and Col4 = date '""&amp;YEAR(C146)&amp;""-""&amp;MONTH(C146)&amp;""-""&amp;DAY(C146)&amp;""'""))&gt;0,""Depositada"",if(sum(QUERY(IMPORTRANGE(""https://docs.google.com/spreadsheets/d/1EcLIvUgMoBC5as4ikW0wuQsGH5yVZ6cQ1y16qEfgPnk"",""BD M Sangrias!a:i""),""select Col6 whe"&amp;"re Col7 = 'Caixa Atendimento' and Col9 = '""&amp;K146&amp;""' and Col6 = ""&amp;M146&amp;"" and Col4 = date '""&amp;YEAR(C146)&amp;""-""&amp;MONTH(C146)&amp;""-""&amp;DAY(C146)&amp;""'""))&gt;0,""Caixa Atendimento"",""Caixa Sangria"")),""""),""Caixa Sangria"")"),"")</f>
        <v/>
      </c>
      <c r="M146" s="185" t="str">
        <f>IFERROR(__xludf.DUMMYFUNCTION("ifna(VALUE(REGEXEXTRACT(E146,""[0-9.]+[,]+[0-9]+"")))"),"")</f>
        <v/>
      </c>
      <c r="N146" s="185"/>
      <c r="O146" s="185"/>
      <c r="P146" s="185"/>
      <c r="Q146" s="185"/>
      <c r="R146" s="185"/>
      <c r="S146" s="185"/>
      <c r="T146" s="185"/>
      <c r="U146" s="185"/>
      <c r="V146" s="185"/>
    </row>
    <row r="147" ht="14.25" customHeight="1">
      <c r="A147" s="178"/>
      <c r="B147" s="12"/>
      <c r="C147" s="13"/>
      <c r="D147" s="179"/>
      <c r="E147" s="180"/>
      <c r="F147" s="181"/>
      <c r="G147" s="179"/>
      <c r="H147" s="190"/>
      <c r="I147" s="190"/>
      <c r="J147" s="187"/>
      <c r="K147" s="187"/>
      <c r="L147" s="184" t="str">
        <f>IFERROR(__xludf.DUMMYFUNCTION("ifna(IF(and(D147=""Saída"",J147=""Sangria""),if(sum(QUERY(IMPORTRANGE(""https://docs.google.com/spreadsheets/d/1E4szPcLzsqlw4uyBAoJ61L1ChCgpz4wVP8tHfHW1g_c"",""BD M Sangrias!a:i""),""select Col6 where Col7 = 'Depositada' and Col9 = '""&amp;K147&amp;""' and Col6 ="&amp;" ""&amp;M147&amp;"" and Col4 = date '""&amp;YEAR(C147)&amp;""-""&amp;MONTH(C147)&amp;""-""&amp;DAY(C147)&amp;""'""))&gt;0,""Depositada"",if(sum(QUERY(IMPORTRANGE(""https://docs.google.com/spreadsheets/d/1EcLIvUgMoBC5as4ikW0wuQsGH5yVZ6cQ1y16qEfgPnk"",""BD M Sangrias!a:i""),""select Col6 whe"&amp;"re Col7 = 'Caixa Atendimento' and Col9 = '""&amp;K147&amp;""' and Col6 = ""&amp;M147&amp;"" and Col4 = date '""&amp;YEAR(C147)&amp;""-""&amp;MONTH(C147)&amp;""-""&amp;DAY(C147)&amp;""'""))&gt;0,""Caixa Atendimento"",""Caixa Sangria"")),""""),""Caixa Sangria"")"),"")</f>
        <v/>
      </c>
      <c r="M147" s="185" t="str">
        <f>IFERROR(__xludf.DUMMYFUNCTION("ifna(VALUE(REGEXEXTRACT(E147,""[0-9.]+[,]+[0-9]+"")))"),"")</f>
        <v/>
      </c>
      <c r="N147" s="185"/>
      <c r="O147" s="185"/>
      <c r="P147" s="185"/>
      <c r="Q147" s="185"/>
      <c r="R147" s="185"/>
      <c r="S147" s="185"/>
      <c r="T147" s="185"/>
      <c r="U147" s="185"/>
      <c r="V147" s="185"/>
    </row>
    <row r="148" ht="14.25" customHeight="1">
      <c r="A148" s="178"/>
      <c r="B148" s="12"/>
      <c r="C148" s="13"/>
      <c r="D148" s="179"/>
      <c r="E148" s="180"/>
      <c r="F148" s="181"/>
      <c r="G148" s="179"/>
      <c r="H148" s="190"/>
      <c r="I148" s="190"/>
      <c r="J148" s="187"/>
      <c r="K148" s="187"/>
      <c r="L148" s="184" t="str">
        <f>IFERROR(__xludf.DUMMYFUNCTION("ifna(IF(and(D148=""Saída"",J148=""Sangria""),if(sum(QUERY(IMPORTRANGE(""https://docs.google.com/spreadsheets/d/1E4szPcLzsqlw4uyBAoJ61L1ChCgpz4wVP8tHfHW1g_c"",""BD M Sangrias!a:i""),""select Col6 where Col7 = 'Depositada' and Col9 = '""&amp;K148&amp;""' and Col6 ="&amp;" ""&amp;M148&amp;"" and Col4 = date '""&amp;YEAR(C148)&amp;""-""&amp;MONTH(C148)&amp;""-""&amp;DAY(C148)&amp;""'""))&gt;0,""Depositada"",if(sum(QUERY(IMPORTRANGE(""https://docs.google.com/spreadsheets/d/1EcLIvUgMoBC5as4ikW0wuQsGH5yVZ6cQ1y16qEfgPnk"",""BD M Sangrias!a:i""),""select Col6 whe"&amp;"re Col7 = 'Caixa Atendimento' and Col9 = '""&amp;K148&amp;""' and Col6 = ""&amp;M148&amp;"" and Col4 = date '""&amp;YEAR(C148)&amp;""-""&amp;MONTH(C148)&amp;""-""&amp;DAY(C148)&amp;""'""))&gt;0,""Caixa Atendimento"",""Caixa Sangria"")),""""),""Caixa Sangria"")"),"")</f>
        <v/>
      </c>
      <c r="M148" s="185" t="str">
        <f>IFERROR(__xludf.DUMMYFUNCTION("ifna(VALUE(REGEXEXTRACT(E148,""[0-9.]+[,]+[0-9]+"")))"),"")</f>
        <v/>
      </c>
      <c r="N148" s="185"/>
      <c r="O148" s="185"/>
      <c r="P148" s="185"/>
      <c r="Q148" s="185"/>
      <c r="R148" s="185"/>
      <c r="S148" s="185"/>
      <c r="T148" s="185"/>
      <c r="U148" s="185"/>
      <c r="V148" s="185"/>
    </row>
    <row r="149" ht="14.25" customHeight="1">
      <c r="A149" s="178"/>
      <c r="B149" s="12"/>
      <c r="C149" s="13"/>
      <c r="D149" s="179"/>
      <c r="E149" s="180"/>
      <c r="F149" s="181"/>
      <c r="G149" s="179"/>
      <c r="H149" s="190"/>
      <c r="I149" s="190"/>
      <c r="J149" s="187"/>
      <c r="K149" s="187"/>
      <c r="L149" s="184" t="str">
        <f>IFERROR(__xludf.DUMMYFUNCTION("ifna(IF(and(D149=""Saída"",J149=""Sangria""),if(sum(QUERY(IMPORTRANGE(""https://docs.google.com/spreadsheets/d/1E4szPcLzsqlw4uyBAoJ61L1ChCgpz4wVP8tHfHW1g_c"",""BD M Sangrias!a:i""),""select Col6 where Col7 = 'Depositada' and Col9 = '""&amp;K149&amp;""' and Col6 ="&amp;" ""&amp;M149&amp;"" and Col4 = date '""&amp;YEAR(C149)&amp;""-""&amp;MONTH(C149)&amp;""-""&amp;DAY(C149)&amp;""'""))&gt;0,""Depositada"",if(sum(QUERY(IMPORTRANGE(""https://docs.google.com/spreadsheets/d/1EcLIvUgMoBC5as4ikW0wuQsGH5yVZ6cQ1y16qEfgPnk"",""BD M Sangrias!a:i""),""select Col6 whe"&amp;"re Col7 = 'Caixa Atendimento' and Col9 = '""&amp;K149&amp;""' and Col6 = ""&amp;M149&amp;"" and Col4 = date '""&amp;YEAR(C149)&amp;""-""&amp;MONTH(C149)&amp;""-""&amp;DAY(C149)&amp;""'""))&gt;0,""Caixa Atendimento"",""Caixa Sangria"")),""""),""Caixa Sangria"")"),"")</f>
        <v/>
      </c>
      <c r="M149" s="185" t="str">
        <f>IFERROR(__xludf.DUMMYFUNCTION("ifna(VALUE(REGEXEXTRACT(E149,""[0-9.]+[,]+[0-9]+"")))"),"")</f>
        <v/>
      </c>
      <c r="N149" s="185"/>
      <c r="O149" s="185"/>
      <c r="P149" s="185"/>
      <c r="Q149" s="185"/>
      <c r="R149" s="185"/>
      <c r="S149" s="185"/>
      <c r="T149" s="185"/>
      <c r="U149" s="185"/>
      <c r="V149" s="185"/>
    </row>
    <row r="150" ht="14.25" customHeight="1">
      <c r="A150" s="178"/>
      <c r="B150" s="12"/>
      <c r="C150" s="13"/>
      <c r="D150" s="179"/>
      <c r="E150" s="180"/>
      <c r="F150" s="181"/>
      <c r="G150" s="179"/>
      <c r="H150" s="190"/>
      <c r="I150" s="190"/>
      <c r="J150" s="187"/>
      <c r="K150" s="187"/>
      <c r="L150" s="184" t="str">
        <f>IFERROR(__xludf.DUMMYFUNCTION("ifna(IF(and(D150=""Saída"",J150=""Sangria""),if(sum(QUERY(IMPORTRANGE(""https://docs.google.com/spreadsheets/d/1E4szPcLzsqlw4uyBAoJ61L1ChCgpz4wVP8tHfHW1g_c"",""BD M Sangrias!a:i""),""select Col6 where Col7 = 'Depositada' and Col9 = '""&amp;K150&amp;""' and Col6 ="&amp;" ""&amp;M150&amp;"" and Col4 = date '""&amp;YEAR(C150)&amp;""-""&amp;MONTH(C150)&amp;""-""&amp;DAY(C150)&amp;""'""))&gt;0,""Depositada"",if(sum(QUERY(IMPORTRANGE(""https://docs.google.com/spreadsheets/d/1EcLIvUgMoBC5as4ikW0wuQsGH5yVZ6cQ1y16qEfgPnk"",""BD M Sangrias!a:i""),""select Col6 whe"&amp;"re Col7 = 'Caixa Atendimento' and Col9 = '""&amp;K150&amp;""' and Col6 = ""&amp;M150&amp;"" and Col4 = date '""&amp;YEAR(C150)&amp;""-""&amp;MONTH(C150)&amp;""-""&amp;DAY(C150)&amp;""'""))&gt;0,""Caixa Atendimento"",""Caixa Sangria"")),""""),""Caixa Sangria"")"),"")</f>
        <v/>
      </c>
      <c r="M150" s="185" t="str">
        <f>IFERROR(__xludf.DUMMYFUNCTION("ifna(VALUE(REGEXEXTRACT(E150,""[0-9.]+[,]+[0-9]+"")))"),"")</f>
        <v/>
      </c>
      <c r="N150" s="185"/>
      <c r="O150" s="185"/>
      <c r="P150" s="185"/>
      <c r="Q150" s="185"/>
      <c r="R150" s="185"/>
      <c r="S150" s="185"/>
      <c r="T150" s="185"/>
      <c r="U150" s="185"/>
      <c r="V150" s="185"/>
    </row>
    <row r="151" ht="14.25" customHeight="1">
      <c r="A151" s="178"/>
      <c r="B151" s="12"/>
      <c r="C151" s="13"/>
      <c r="D151" s="179"/>
      <c r="E151" s="180"/>
      <c r="F151" s="181"/>
      <c r="G151" s="179"/>
      <c r="H151" s="190"/>
      <c r="I151" s="190"/>
      <c r="J151" s="187"/>
      <c r="K151" s="187"/>
      <c r="L151" s="184" t="str">
        <f>IFERROR(__xludf.DUMMYFUNCTION("ifna(IF(and(D151=""Saída"",J151=""Sangria""),if(sum(QUERY(IMPORTRANGE(""https://docs.google.com/spreadsheets/d/1E4szPcLzsqlw4uyBAoJ61L1ChCgpz4wVP8tHfHW1g_c"",""BD M Sangrias!a:i""),""select Col6 where Col7 = 'Depositada' and Col9 = '""&amp;K151&amp;""' and Col6 ="&amp;" ""&amp;M151&amp;"" and Col4 = date '""&amp;YEAR(#REF!)&amp;""-""&amp;MONTH(#REF!)&amp;""-""&amp;DAY(#REF!)&amp;""'""))&gt;0,""Depositada"",if(sum(QUERY(IMPORTRANGE(""https://docs.google.com/spreadsheets/d/1EcLIvUgMoBC5as4ikW0wuQsGH5yVZ6cQ1y16qEfgPnk"",""BD M Sangrias!a:i""),""select Col6 "&amp;"where Col7 = 'Caixa Atendimento' and Col9 = '""&amp;K151&amp;""' and Col6 = ""&amp;M151&amp;"" and Col4 = date '""&amp;YEAR(#REF!)&amp;""-""&amp;MONTH(#REF!)&amp;""-""&amp;DAY(#REF!)&amp;""'""))&gt;0,""Caixa Atendimento"",""Caixa Sangria"")),""""),""Caixa Sangria"")"),"")</f>
        <v/>
      </c>
      <c r="M151" s="185" t="str">
        <f>IFERROR(__xludf.DUMMYFUNCTION("ifna(VALUE(REGEXEXTRACT(E151,""[0-9.]+[,]+[0-9]+"")))"),"")</f>
        <v/>
      </c>
      <c r="N151" s="185"/>
      <c r="O151" s="185"/>
      <c r="P151" s="185"/>
      <c r="Q151" s="185"/>
      <c r="R151" s="185"/>
      <c r="S151" s="185"/>
      <c r="T151" s="185"/>
      <c r="U151" s="185"/>
      <c r="V151" s="185"/>
    </row>
    <row r="152" ht="14.25" customHeight="1">
      <c r="A152" s="178"/>
      <c r="B152" s="12"/>
      <c r="C152" s="13"/>
      <c r="D152" s="179"/>
      <c r="E152" s="180"/>
      <c r="F152" s="181"/>
      <c r="G152" s="179"/>
      <c r="H152" s="190"/>
      <c r="I152" s="190"/>
      <c r="J152" s="187"/>
      <c r="K152" s="187"/>
      <c r="L152" s="184" t="str">
        <f>IFERROR(__xludf.DUMMYFUNCTION("ifna(IF(and(D152=""Saída"",J152=""Sangria""),if(sum(QUERY(IMPORTRANGE(""https://docs.google.com/spreadsheets/d/1E4szPcLzsqlw4uyBAoJ61L1ChCgpz4wVP8tHfHW1g_c"",""BD M Sangrias!a:i""),""select Col6 where Col7 = 'Depositada' and Col9 = '""&amp;K152&amp;""' and Col6 ="&amp;" ""&amp;M152&amp;"" and Col4 = date '""&amp;YEAR(C151)&amp;""-""&amp;MONTH(C151)&amp;""-""&amp;DAY(C151)&amp;""'""))&gt;0,""Depositada"",if(sum(QUERY(IMPORTRANGE(""https://docs.google.com/spreadsheets/d/1EcLIvUgMoBC5as4ikW0wuQsGH5yVZ6cQ1y16qEfgPnk"",""BD M Sangrias!a:i""),""select Col6 whe"&amp;"re Col7 = 'Caixa Atendimento' and Col9 = '""&amp;K152&amp;""' and Col6 = ""&amp;M152&amp;"" and Col4 = date '""&amp;YEAR(C151)&amp;""-""&amp;MONTH(C151)&amp;""-""&amp;DAY(C151)&amp;""'""))&gt;0,""Caixa Atendimento"",""Caixa Sangria"")),""""),""Caixa Sangria"")"),"")</f>
        <v/>
      </c>
      <c r="M152" s="185" t="str">
        <f>IFERROR(__xludf.DUMMYFUNCTION("ifna(VALUE(REGEXEXTRACT(E152,""[0-9.]+[,]+[0-9]+"")))"),"")</f>
        <v/>
      </c>
      <c r="N152" s="185"/>
      <c r="O152" s="185"/>
      <c r="P152" s="185"/>
      <c r="Q152" s="185"/>
      <c r="R152" s="185"/>
      <c r="S152" s="185"/>
      <c r="T152" s="185"/>
      <c r="U152" s="185"/>
      <c r="V152" s="185"/>
    </row>
    <row r="153" ht="14.25" customHeight="1">
      <c r="A153" s="178"/>
      <c r="B153" s="12"/>
      <c r="C153" s="13"/>
      <c r="D153" s="179"/>
      <c r="E153" s="180"/>
      <c r="F153" s="188"/>
      <c r="G153" s="179"/>
      <c r="H153" s="190"/>
      <c r="I153" s="190"/>
      <c r="J153" s="187"/>
      <c r="K153" s="187"/>
      <c r="L153" s="184" t="str">
        <f>IFERROR(__xludf.DUMMYFUNCTION("ifna(IF(and(D153=""Saída"",J153=""Sangria""),if(sum(QUERY(IMPORTRANGE(""https://docs.google.com/spreadsheets/d/1E4szPcLzsqlw4uyBAoJ61L1ChCgpz4wVP8tHfHW1g_c"",""BD M Sangrias!a:i""),""select Col6 where Col7 = 'Depositada' and Col9 = '""&amp;K153&amp;""' and Col6 ="&amp;" ""&amp;M153&amp;"" and Col4 = date '""&amp;YEAR(#REF!)&amp;""-""&amp;MONTH(#REF!)&amp;""-""&amp;DAY(#REF!)&amp;""'""))&gt;0,""Depositada"",if(sum(QUERY(IMPORTRANGE(""https://docs.google.com/spreadsheets/d/1EcLIvUgMoBC5as4ikW0wuQsGH5yVZ6cQ1y16qEfgPnk"",""BD M Sangrias!a:i""),""select Col6 "&amp;"where Col7 = 'Caixa Atendimento' and Col9 = '""&amp;K153&amp;""' and Col6 = ""&amp;M153&amp;"" and Col4 = date '""&amp;YEAR(#REF!)&amp;""-""&amp;MONTH(#REF!)&amp;""-""&amp;DAY(#REF!)&amp;""'""))&gt;0,""Caixa Atendimento"",""Caixa Sangria"")),""""),""Caixa Sangria"")"),"")</f>
        <v/>
      </c>
      <c r="M153" s="185" t="str">
        <f>IFERROR(__xludf.DUMMYFUNCTION("ifna(VALUE(REGEXEXTRACT(E153,""[0-9.]+[,]+[0-9]+"")))"),"")</f>
        <v/>
      </c>
      <c r="N153" s="185"/>
      <c r="O153" s="185"/>
      <c r="P153" s="185"/>
      <c r="Q153" s="185"/>
      <c r="R153" s="185"/>
      <c r="S153" s="185"/>
      <c r="T153" s="185"/>
      <c r="U153" s="185"/>
      <c r="V153" s="185"/>
    </row>
    <row r="154" ht="14.25" customHeight="1">
      <c r="A154" s="178"/>
      <c r="B154" s="12"/>
      <c r="C154" s="13"/>
      <c r="D154" s="179"/>
      <c r="E154" s="180"/>
      <c r="F154" s="188"/>
      <c r="G154" s="179"/>
      <c r="H154" s="190"/>
      <c r="I154" s="190"/>
      <c r="J154" s="187"/>
      <c r="K154" s="187"/>
      <c r="L154" s="184" t="str">
        <f>IFERROR(__xludf.DUMMYFUNCTION("ifna(IF(and(D154=""Saída"",J154=""Sangria""),if(sum(QUERY(IMPORTRANGE(""https://docs.google.com/spreadsheets/d/1E4szPcLzsqlw4uyBAoJ61L1ChCgpz4wVP8tHfHW1g_c"",""BD M Sangrias!a:i""),""select Col6 where Col7 = 'Depositada' and Col9 = '""&amp;K154&amp;""' and Col6 ="&amp;" ""&amp;M154&amp;"" and Col4 = date '""&amp;YEAR(C153)&amp;""-""&amp;MONTH(C153)&amp;""-""&amp;DAY(C153)&amp;""'""))&gt;0,""Depositada"",if(sum(QUERY(IMPORTRANGE(""https://docs.google.com/spreadsheets/d/1EcLIvUgMoBC5as4ikW0wuQsGH5yVZ6cQ1y16qEfgPnk"",""BD M Sangrias!a:i""),""select Col6 whe"&amp;"re Col7 = 'Caixa Atendimento' and Col9 = '""&amp;K154&amp;""' and Col6 = ""&amp;M154&amp;"" and Col4 = date '""&amp;YEAR(C153)&amp;""-""&amp;MONTH(C153)&amp;""-""&amp;DAY(C153)&amp;""'""))&gt;0,""Caixa Atendimento"",""Caixa Sangria"")),""""),""Caixa Sangria"")"),"")</f>
        <v/>
      </c>
      <c r="M154" s="185" t="str">
        <f>IFERROR(__xludf.DUMMYFUNCTION("ifna(VALUE(REGEXEXTRACT(E154,""[0-9.]+[,]+[0-9]+"")))"),"")</f>
        <v/>
      </c>
      <c r="N154" s="185"/>
      <c r="O154" s="185"/>
      <c r="P154" s="185"/>
      <c r="Q154" s="185"/>
      <c r="R154" s="185"/>
      <c r="S154" s="185"/>
      <c r="T154" s="185"/>
      <c r="U154" s="185"/>
      <c r="V154" s="185"/>
    </row>
    <row r="155" ht="14.25" customHeight="1">
      <c r="A155" s="178"/>
      <c r="B155" s="12"/>
      <c r="C155" s="13"/>
      <c r="D155" s="179"/>
      <c r="E155" s="180"/>
      <c r="F155" s="181"/>
      <c r="G155" s="179"/>
      <c r="H155" s="190"/>
      <c r="I155" s="190"/>
      <c r="J155" s="187"/>
      <c r="K155" s="187"/>
      <c r="L155" s="184" t="str">
        <f>IFERROR(__xludf.DUMMYFUNCTION("ifna(IF(and(D155=""Saída"",J155=""Sangria""),if(sum(QUERY(IMPORTRANGE(""https://docs.google.com/spreadsheets/d/1E4szPcLzsqlw4uyBAoJ61L1ChCgpz4wVP8tHfHW1g_c"",""BD M Sangrias!a:i""),""select Col6 where Col7 = 'Depositada' and Col9 = '""&amp;K155&amp;""' and Col6 ="&amp;" ""&amp;M155&amp;"" and Col4 = date '""&amp;YEAR(C155)&amp;""-""&amp;MONTH(C155)&amp;""-""&amp;DAY(C155)&amp;""'""))&gt;0,""Depositada"",if(sum(QUERY(IMPORTRANGE(""https://docs.google.com/spreadsheets/d/1EcLIvUgMoBC5as4ikW0wuQsGH5yVZ6cQ1y16qEfgPnk"",""BD M Sangrias!a:i""),""select Col6 whe"&amp;"re Col7 = 'Caixa Atendimento' and Col9 = '""&amp;K155&amp;""' and Col6 = ""&amp;M155&amp;"" and Col4 = date '""&amp;YEAR(C155)&amp;""-""&amp;MONTH(C155)&amp;""-""&amp;DAY(C155)&amp;""'""))&gt;0,""Caixa Atendimento"",""Caixa Sangria"")),""""),""Caixa Sangria"")"),"")</f>
        <v/>
      </c>
      <c r="M155" s="185" t="str">
        <f>IFERROR(__xludf.DUMMYFUNCTION("ifna(VALUE(REGEXEXTRACT(E155,""[0-9.]+[,]+[0-9]+"")))"),"")</f>
        <v/>
      </c>
      <c r="N155" s="185"/>
      <c r="O155" s="185"/>
      <c r="P155" s="185"/>
      <c r="Q155" s="185"/>
      <c r="R155" s="185"/>
      <c r="S155" s="185"/>
      <c r="T155" s="185"/>
      <c r="U155" s="185"/>
      <c r="V155" s="185"/>
    </row>
    <row r="156" ht="14.25" customHeight="1">
      <c r="A156" s="178"/>
      <c r="B156" s="12"/>
      <c r="C156" s="13"/>
      <c r="D156" s="179"/>
      <c r="E156" s="180"/>
      <c r="F156" s="181"/>
      <c r="G156" s="179"/>
      <c r="H156" s="190"/>
      <c r="I156" s="190"/>
      <c r="J156" s="187"/>
      <c r="K156" s="187"/>
      <c r="L156" s="184" t="str">
        <f>IFERROR(__xludf.DUMMYFUNCTION("ifna(IF(and(D156=""Saída"",J156=""Sangria""),if(sum(QUERY(IMPORTRANGE(""https://docs.google.com/spreadsheets/d/1E4szPcLzsqlw4uyBAoJ61L1ChCgpz4wVP8tHfHW1g_c"",""BD M Sangrias!a:i""),""select Col6 where Col7 = 'Depositada' and Col9 = '""&amp;K156&amp;""' and Col6 ="&amp;" ""&amp;M156&amp;"" and Col4 = date '""&amp;YEAR(C156)&amp;""-""&amp;MONTH(C156)&amp;""-""&amp;DAY(C156)&amp;""'""))&gt;0,""Depositada"",if(sum(QUERY(IMPORTRANGE(""https://docs.google.com/spreadsheets/d/1EcLIvUgMoBC5as4ikW0wuQsGH5yVZ6cQ1y16qEfgPnk"",""BD M Sangrias!a:i""),""select Col6 whe"&amp;"re Col7 = 'Caixa Atendimento' and Col9 = '""&amp;K156&amp;""' and Col6 = ""&amp;M156&amp;"" and Col4 = date '""&amp;YEAR(C156)&amp;""-""&amp;MONTH(C156)&amp;""-""&amp;DAY(C156)&amp;""'""))&gt;0,""Caixa Atendimento"",""Caixa Sangria"")),""""),""Caixa Sangria"")"),"")</f>
        <v/>
      </c>
      <c r="M156" s="185" t="str">
        <f>IFERROR(__xludf.DUMMYFUNCTION("ifna(VALUE(REGEXEXTRACT(E156,""[0-9.]+[,]+[0-9]+"")))"),"")</f>
        <v/>
      </c>
      <c r="N156" s="185"/>
      <c r="O156" s="185"/>
      <c r="P156" s="185"/>
      <c r="Q156" s="185"/>
      <c r="R156" s="185"/>
      <c r="S156" s="185"/>
      <c r="T156" s="185"/>
      <c r="U156" s="185"/>
      <c r="V156" s="185"/>
    </row>
    <row r="157" ht="14.25" customHeight="1">
      <c r="A157" s="178"/>
      <c r="B157" s="12"/>
      <c r="C157" s="13"/>
      <c r="D157" s="179"/>
      <c r="E157" s="180"/>
      <c r="F157" s="181"/>
      <c r="G157" s="179"/>
      <c r="H157" s="190"/>
      <c r="I157" s="190"/>
      <c r="J157" s="187"/>
      <c r="K157" s="187"/>
      <c r="L157" s="184" t="str">
        <f>IFERROR(__xludf.DUMMYFUNCTION("ifna(IF(and(D157=""Saída"",J157=""Sangria""),if(sum(QUERY(IMPORTRANGE(""https://docs.google.com/spreadsheets/d/1E4szPcLzsqlw4uyBAoJ61L1ChCgpz4wVP8tHfHW1g_c"",""BD M Sangrias!a:i""),""select Col6 where Col7 = 'Depositada' and Col9 = '""&amp;K157&amp;""' and Col6 ="&amp;" ""&amp;M157&amp;"" and Col4 = date '""&amp;YEAR(C157)&amp;""-""&amp;MONTH(C157)&amp;""-""&amp;DAY(C157)&amp;""'""))&gt;0,""Depositada"",if(sum(QUERY(IMPORTRANGE(""https://docs.google.com/spreadsheets/d/1EcLIvUgMoBC5as4ikW0wuQsGH5yVZ6cQ1y16qEfgPnk"",""BD M Sangrias!a:i""),""select Col6 whe"&amp;"re Col7 = 'Caixa Atendimento' and Col9 = '""&amp;K157&amp;""' and Col6 = ""&amp;M157&amp;"" and Col4 = date '""&amp;YEAR(C157)&amp;""-""&amp;MONTH(C157)&amp;""-""&amp;DAY(C157)&amp;""'""))&gt;0,""Caixa Atendimento"",""Caixa Sangria"")),""""),""Caixa Sangria"")"),"")</f>
        <v/>
      </c>
      <c r="M157" s="185" t="str">
        <f>IFERROR(__xludf.DUMMYFUNCTION("ifna(VALUE(REGEXEXTRACT(E157,""[0-9.]+[,]+[0-9]+"")))"),"")</f>
        <v/>
      </c>
      <c r="N157" s="185"/>
      <c r="O157" s="185"/>
      <c r="P157" s="185"/>
      <c r="Q157" s="185"/>
      <c r="R157" s="185"/>
      <c r="S157" s="185"/>
      <c r="T157" s="185"/>
      <c r="U157" s="185"/>
      <c r="V157" s="185"/>
    </row>
    <row r="158" ht="14.25" customHeight="1">
      <c r="A158" s="178"/>
      <c r="B158" s="12"/>
      <c r="C158" s="13"/>
      <c r="D158" s="179"/>
      <c r="E158" s="180"/>
      <c r="F158" s="188"/>
      <c r="G158" s="179"/>
      <c r="H158" s="190"/>
      <c r="I158" s="190"/>
      <c r="J158" s="187"/>
      <c r="K158" s="187"/>
      <c r="L158" s="184" t="str">
        <f>IFERROR(__xludf.DUMMYFUNCTION("ifna(IF(and(D158=""Saída"",J158=""Sangria""),if(sum(QUERY(IMPORTRANGE(""https://docs.google.com/spreadsheets/d/1E4szPcLzsqlw4uyBAoJ61L1ChCgpz4wVP8tHfHW1g_c"",""BD M Sangrias!a:i""),""select Col6 where Col7 = 'Depositada' and Col9 = '""&amp;K158&amp;""' and Col6 ="&amp;" ""&amp;M158&amp;"" and Col4 = date '""&amp;YEAR(C158)&amp;""-""&amp;MONTH(C158)&amp;""-""&amp;DAY(C158)&amp;""'""))&gt;0,""Depositada"",if(sum(QUERY(IMPORTRANGE(""https://docs.google.com/spreadsheets/d/1EcLIvUgMoBC5as4ikW0wuQsGH5yVZ6cQ1y16qEfgPnk"",""BD M Sangrias!a:i""),""select Col6 whe"&amp;"re Col7 = 'Caixa Atendimento' and Col9 = '""&amp;K158&amp;""' and Col6 = ""&amp;M158&amp;"" and Col4 = date '""&amp;YEAR(C158)&amp;""-""&amp;MONTH(C158)&amp;""-""&amp;DAY(C158)&amp;""'""))&gt;0,""Caixa Atendimento"",""Caixa Sangria"")),""""),""Caixa Sangria"")"),"")</f>
        <v/>
      </c>
      <c r="M158" s="185" t="str">
        <f>IFERROR(__xludf.DUMMYFUNCTION("ifna(VALUE(REGEXEXTRACT(E158,""[0-9.]+[,]+[0-9]+"")))"),"")</f>
        <v/>
      </c>
      <c r="N158" s="185"/>
      <c r="O158" s="185"/>
      <c r="P158" s="185"/>
      <c r="Q158" s="185"/>
      <c r="R158" s="185"/>
      <c r="S158" s="185"/>
      <c r="T158" s="185"/>
      <c r="U158" s="185"/>
      <c r="V158" s="185"/>
    </row>
    <row r="159" ht="14.25" customHeight="1">
      <c r="A159" s="178"/>
      <c r="B159" s="12"/>
      <c r="C159" s="13"/>
      <c r="D159" s="179"/>
      <c r="E159" s="180"/>
      <c r="F159" s="181"/>
      <c r="G159" s="179"/>
      <c r="H159" s="190"/>
      <c r="I159" s="190"/>
      <c r="J159" s="187"/>
      <c r="K159" s="187"/>
      <c r="L159" s="184" t="str">
        <f>IFERROR(__xludf.DUMMYFUNCTION("ifna(IF(and(D159=""Saída"",J159=""Sangria""),if(sum(QUERY(IMPORTRANGE(""https://docs.google.com/spreadsheets/d/1E4szPcLzsqlw4uyBAoJ61L1ChCgpz4wVP8tHfHW1g_c"",""BD M Sangrias!a:i""),""select Col6 where Col7 = 'Depositada' and Col9 = '""&amp;K159&amp;""' and Col6 ="&amp;" ""&amp;M159&amp;"" and Col4 = date '""&amp;YEAR(C159)&amp;""-""&amp;MONTH(C159)&amp;""-""&amp;DAY(C159)&amp;""'""))&gt;0,""Depositada"",if(sum(QUERY(IMPORTRANGE(""https://docs.google.com/spreadsheets/d/1EcLIvUgMoBC5as4ikW0wuQsGH5yVZ6cQ1y16qEfgPnk"",""BD M Sangrias!a:i""),""select Col6 whe"&amp;"re Col7 = 'Caixa Atendimento' and Col9 = '""&amp;K159&amp;""' and Col6 = ""&amp;M159&amp;"" and Col4 = date '""&amp;YEAR(C159)&amp;""-""&amp;MONTH(C159)&amp;""-""&amp;DAY(C159)&amp;""'""))&gt;0,""Caixa Atendimento"",""Caixa Sangria"")),""""),""Caixa Sangria"")"),"")</f>
        <v/>
      </c>
      <c r="M159" s="185" t="str">
        <f>IFERROR(__xludf.DUMMYFUNCTION("ifna(VALUE(REGEXEXTRACT(E159,""[0-9.]+[,]+[0-9]+"")))"),"")</f>
        <v/>
      </c>
      <c r="N159" s="185"/>
      <c r="O159" s="185"/>
      <c r="P159" s="185"/>
      <c r="Q159" s="185"/>
      <c r="R159" s="185"/>
      <c r="S159" s="185"/>
      <c r="T159" s="185"/>
      <c r="U159" s="185"/>
      <c r="V159" s="185"/>
    </row>
    <row r="160" ht="14.25" customHeight="1">
      <c r="A160" s="178"/>
      <c r="B160" s="12"/>
      <c r="C160" s="13"/>
      <c r="D160" s="179"/>
      <c r="E160" s="180"/>
      <c r="F160" s="181"/>
      <c r="G160" s="179"/>
      <c r="H160" s="190"/>
      <c r="I160" s="190"/>
      <c r="J160" s="187"/>
      <c r="K160" s="187"/>
      <c r="L160" s="184" t="str">
        <f>IFERROR(__xludf.DUMMYFUNCTION("ifna(IF(and(D160=""Saída"",J160=""Sangria""),if(sum(QUERY(IMPORTRANGE(""https://docs.google.com/spreadsheets/d/1E4szPcLzsqlw4uyBAoJ61L1ChCgpz4wVP8tHfHW1g_c"",""BD M Sangrias!a:i""),""select Col6 where Col7 = 'Depositada' and Col9 = '""&amp;K160&amp;""' and Col6 ="&amp;" ""&amp;M160&amp;"" and Col4 = date '""&amp;YEAR(C160)&amp;""-""&amp;MONTH(C160)&amp;""-""&amp;DAY(C160)&amp;""'""))&gt;0,""Depositada"",if(sum(QUERY(IMPORTRANGE(""https://docs.google.com/spreadsheets/d/1EcLIvUgMoBC5as4ikW0wuQsGH5yVZ6cQ1y16qEfgPnk"",""BD M Sangrias!a:i""),""select Col6 whe"&amp;"re Col7 = 'Caixa Atendimento' and Col9 = '""&amp;K160&amp;""' and Col6 = ""&amp;M160&amp;"" and Col4 = date '""&amp;YEAR(C160)&amp;""-""&amp;MONTH(C160)&amp;""-""&amp;DAY(C160)&amp;""'""))&gt;0,""Caixa Atendimento"",""Caixa Sangria"")),""""),""Caixa Sangria"")"),"")</f>
        <v/>
      </c>
      <c r="M160" s="185" t="str">
        <f>IFERROR(__xludf.DUMMYFUNCTION("ifna(VALUE(REGEXEXTRACT(E160,""[0-9.]+[,]+[0-9]+"")))"),"")</f>
        <v/>
      </c>
      <c r="N160" s="185"/>
      <c r="O160" s="185"/>
      <c r="P160" s="185"/>
      <c r="Q160" s="185"/>
      <c r="R160" s="185"/>
      <c r="S160" s="185"/>
      <c r="T160" s="185"/>
      <c r="U160" s="185"/>
      <c r="V160" s="185"/>
    </row>
    <row r="161" ht="14.25" customHeight="1">
      <c r="A161" s="178"/>
      <c r="B161" s="12"/>
      <c r="C161" s="13"/>
      <c r="D161" s="179"/>
      <c r="E161" s="180"/>
      <c r="F161" s="188"/>
      <c r="G161" s="179"/>
      <c r="H161" s="190"/>
      <c r="I161" s="190"/>
      <c r="J161" s="187"/>
      <c r="K161" s="187"/>
      <c r="L161" s="184" t="str">
        <f>IFERROR(__xludf.DUMMYFUNCTION("ifna(IF(and(D161=""Saída"",J161=""Sangria""),if(sum(QUERY(IMPORTRANGE(""https://docs.google.com/spreadsheets/d/1E4szPcLzsqlw4uyBAoJ61L1ChCgpz4wVP8tHfHW1g_c"",""BD M Sangrias!a:i""),""select Col6 where Col7 = 'Depositada' and Col9 = '""&amp;K161&amp;""' and Col6 ="&amp;" ""&amp;M161&amp;"" and Col4 = date '""&amp;YEAR(C161)&amp;""-""&amp;MONTH(C161)&amp;""-""&amp;DAY(C161)&amp;""'""))&gt;0,""Depositada"",if(sum(QUERY(IMPORTRANGE(""https://docs.google.com/spreadsheets/d/1EcLIvUgMoBC5as4ikW0wuQsGH5yVZ6cQ1y16qEfgPnk"",""BD M Sangrias!a:i""),""select Col6 whe"&amp;"re Col7 = 'Caixa Atendimento' and Col9 = '""&amp;K161&amp;""' and Col6 = ""&amp;M161&amp;"" and Col4 = date '""&amp;YEAR(C161)&amp;""-""&amp;MONTH(C161)&amp;""-""&amp;DAY(C161)&amp;""'""))&gt;0,""Caixa Atendimento"",""Caixa Sangria"")),""""),""Caixa Sangria"")"),"")</f>
        <v/>
      </c>
      <c r="M161" s="185" t="str">
        <f>IFERROR(__xludf.DUMMYFUNCTION("ifna(VALUE(REGEXEXTRACT(E161,""[0-9.]+[,]+[0-9]+"")))"),"")</f>
        <v/>
      </c>
      <c r="N161" s="185"/>
      <c r="O161" s="185"/>
      <c r="P161" s="185"/>
      <c r="Q161" s="185"/>
      <c r="R161" s="185"/>
      <c r="S161" s="185"/>
      <c r="T161" s="185"/>
      <c r="U161" s="185"/>
      <c r="V161" s="185"/>
    </row>
    <row r="162" ht="14.25" customHeight="1">
      <c r="A162" s="178"/>
      <c r="B162" s="12"/>
      <c r="C162" s="13"/>
      <c r="D162" s="179"/>
      <c r="E162" s="180"/>
      <c r="F162" s="181"/>
      <c r="G162" s="179"/>
      <c r="H162" s="190"/>
      <c r="I162" s="190"/>
      <c r="J162" s="187"/>
      <c r="K162" s="187"/>
      <c r="L162" s="184" t="str">
        <f>IFERROR(__xludf.DUMMYFUNCTION("ifna(IF(and(D162=""Saída"",J162=""Sangria""),if(sum(QUERY(IMPORTRANGE(""https://docs.google.com/spreadsheets/d/1E4szPcLzsqlw4uyBAoJ61L1ChCgpz4wVP8tHfHW1g_c"",""BD M Sangrias!a:i""),""select Col6 where Col7 = 'Depositada' and Col9 = '""&amp;K162&amp;""' and Col6 ="&amp;" ""&amp;M162&amp;"" and Col4 = date '""&amp;YEAR(C162)&amp;""-""&amp;MONTH(C162)&amp;""-""&amp;DAY(C162)&amp;""'""))&gt;0,""Depositada"",if(sum(QUERY(IMPORTRANGE(""https://docs.google.com/spreadsheets/d/1EcLIvUgMoBC5as4ikW0wuQsGH5yVZ6cQ1y16qEfgPnk"",""BD M Sangrias!a:i""),""select Col6 whe"&amp;"re Col7 = 'Caixa Atendimento' and Col9 = '""&amp;K162&amp;""' and Col6 = ""&amp;M162&amp;"" and Col4 = date '""&amp;YEAR(C162)&amp;""-""&amp;MONTH(C162)&amp;""-""&amp;DAY(C162)&amp;""'""))&gt;0,""Caixa Atendimento"",""Caixa Sangria"")),""""),""Caixa Sangria"")"),"")</f>
        <v/>
      </c>
      <c r="M162" s="185" t="str">
        <f>IFERROR(__xludf.DUMMYFUNCTION("ifna(VALUE(REGEXEXTRACT(E162,""[0-9.]+[,]+[0-9]+"")))"),"")</f>
        <v/>
      </c>
      <c r="N162" s="185"/>
      <c r="O162" s="185"/>
      <c r="P162" s="185"/>
      <c r="Q162" s="185"/>
      <c r="R162" s="185"/>
      <c r="S162" s="185"/>
      <c r="T162" s="185"/>
      <c r="U162" s="185"/>
      <c r="V162" s="185"/>
    </row>
    <row r="163" ht="14.25" customHeight="1">
      <c r="A163" s="178"/>
      <c r="B163" s="12"/>
      <c r="C163" s="13"/>
      <c r="D163" s="179"/>
      <c r="E163" s="180"/>
      <c r="F163" s="181"/>
      <c r="G163" s="179"/>
      <c r="H163" s="190"/>
      <c r="I163" s="190"/>
      <c r="J163" s="187"/>
      <c r="K163" s="187"/>
      <c r="L163" s="184" t="str">
        <f>IFERROR(__xludf.DUMMYFUNCTION("ifna(IF(and(D163=""Saída"",J163=""Sangria""),if(sum(QUERY(IMPORTRANGE(""https://docs.google.com/spreadsheets/d/1E4szPcLzsqlw4uyBAoJ61L1ChCgpz4wVP8tHfHW1g_c"",""BD M Sangrias!a:i""),""select Col6 where Col7 = 'Depositada' and Col9 = '""&amp;K163&amp;""' and Col6 ="&amp;" ""&amp;M163&amp;"" and Col4 = date '""&amp;YEAR(C163)&amp;""-""&amp;MONTH(C163)&amp;""-""&amp;DAY(C163)&amp;""'""))&gt;0,""Depositada"",if(sum(QUERY(IMPORTRANGE(""https://docs.google.com/spreadsheets/d/1EcLIvUgMoBC5as4ikW0wuQsGH5yVZ6cQ1y16qEfgPnk"",""BD M Sangrias!a:i""),""select Col6 whe"&amp;"re Col7 = 'Caixa Atendimento' and Col9 = '""&amp;K163&amp;""' and Col6 = ""&amp;M163&amp;"" and Col4 = date '""&amp;YEAR(C163)&amp;""-""&amp;MONTH(C163)&amp;""-""&amp;DAY(C163)&amp;""'""))&gt;0,""Caixa Atendimento"",""Caixa Sangria"")),""""),""Caixa Sangria"")"),"")</f>
        <v/>
      </c>
      <c r="M163" s="185" t="str">
        <f>IFERROR(__xludf.DUMMYFUNCTION("ifna(VALUE(REGEXEXTRACT(E163,""[0-9.]+[,]+[0-9]+"")))"),"")</f>
        <v/>
      </c>
      <c r="N163" s="185"/>
      <c r="O163" s="185"/>
      <c r="P163" s="185"/>
      <c r="Q163" s="185"/>
      <c r="R163" s="185"/>
      <c r="S163" s="185"/>
      <c r="T163" s="185"/>
      <c r="U163" s="185"/>
      <c r="V163" s="185"/>
    </row>
    <row r="164" ht="14.25" customHeight="1">
      <c r="A164" s="178"/>
      <c r="B164" s="12"/>
      <c r="C164" s="13"/>
      <c r="D164" s="179"/>
      <c r="E164" s="180"/>
      <c r="F164" s="181"/>
      <c r="G164" s="179"/>
      <c r="H164" s="190"/>
      <c r="I164" s="190"/>
      <c r="J164" s="187"/>
      <c r="K164" s="187"/>
      <c r="L164" s="184" t="str">
        <f>IFERROR(__xludf.DUMMYFUNCTION("ifna(IF(and(D164=""Saída"",J164=""Sangria""),if(sum(QUERY(IMPORTRANGE(""https://docs.google.com/spreadsheets/d/1E4szPcLzsqlw4uyBAoJ61L1ChCgpz4wVP8tHfHW1g_c"",""BD M Sangrias!a:i""),""select Col6 where Col7 = 'Depositada' and Col9 = '""&amp;K164&amp;""' and Col6 ="&amp;" ""&amp;M164&amp;"" and Col4 = date '""&amp;YEAR(C164)&amp;""-""&amp;MONTH(C164)&amp;""-""&amp;DAY(C164)&amp;""'""))&gt;0,""Depositada"",if(sum(QUERY(IMPORTRANGE(""https://docs.google.com/spreadsheets/d/1EcLIvUgMoBC5as4ikW0wuQsGH5yVZ6cQ1y16qEfgPnk"",""BD M Sangrias!a:i""),""select Col6 whe"&amp;"re Col7 = 'Caixa Atendimento' and Col9 = '""&amp;K164&amp;""' and Col6 = ""&amp;M164&amp;"" and Col4 = date '""&amp;YEAR(C164)&amp;""-""&amp;MONTH(C164)&amp;""-""&amp;DAY(C164)&amp;""'""))&gt;0,""Caixa Atendimento"",""Caixa Sangria"")),""""),""Caixa Sangria"")"),"")</f>
        <v/>
      </c>
      <c r="M164" s="185" t="str">
        <f>IFERROR(__xludf.DUMMYFUNCTION("ifna(VALUE(REGEXEXTRACT(E164,""[0-9.]+[,]+[0-9]+"")))"),"")</f>
        <v/>
      </c>
      <c r="N164" s="185"/>
      <c r="O164" s="185"/>
      <c r="P164" s="185"/>
      <c r="Q164" s="185"/>
      <c r="R164" s="185"/>
      <c r="S164" s="185"/>
      <c r="T164" s="185"/>
      <c r="U164" s="185"/>
      <c r="V164" s="185"/>
    </row>
    <row r="165" ht="14.25" customHeight="1">
      <c r="A165" s="178"/>
      <c r="B165" s="12"/>
      <c r="C165" s="13"/>
      <c r="D165" s="179"/>
      <c r="E165" s="180"/>
      <c r="F165" s="181"/>
      <c r="G165" s="179"/>
      <c r="H165" s="190"/>
      <c r="I165" s="190"/>
      <c r="J165" s="187"/>
      <c r="K165" s="187"/>
      <c r="L165" s="184" t="str">
        <f>IFERROR(__xludf.DUMMYFUNCTION("ifna(IF(and(D165=""Saída"",J165=""Sangria""),if(sum(QUERY(IMPORTRANGE(""https://docs.google.com/spreadsheets/d/1E4szPcLzsqlw4uyBAoJ61L1ChCgpz4wVP8tHfHW1g_c"",""BD M Sangrias!a:i""),""select Col6 where Col7 = 'Depositada' and Col9 = '""&amp;K165&amp;""' and Col6 ="&amp;" ""&amp;M165&amp;"" and Col4 = date '""&amp;YEAR(C165)&amp;""-""&amp;MONTH(C165)&amp;""-""&amp;DAY(C165)&amp;""'""))&gt;0,""Depositada"",if(sum(QUERY(IMPORTRANGE(""https://docs.google.com/spreadsheets/d/1EcLIvUgMoBC5as4ikW0wuQsGH5yVZ6cQ1y16qEfgPnk"",""BD M Sangrias!a:i""),""select Col6 whe"&amp;"re Col7 = 'Caixa Atendimento' and Col9 = '""&amp;K165&amp;""' and Col6 = ""&amp;M165&amp;"" and Col4 = date '""&amp;YEAR(C165)&amp;""-""&amp;MONTH(C165)&amp;""-""&amp;DAY(C165)&amp;""'""))&gt;0,""Caixa Atendimento"",""Caixa Sangria"")),""""),""Caixa Sangria"")"),"")</f>
        <v/>
      </c>
      <c r="M165" s="185" t="str">
        <f>IFERROR(__xludf.DUMMYFUNCTION("ifna(VALUE(REGEXEXTRACT(E165,""[0-9.]+[,]+[0-9]+"")))"),"")</f>
        <v/>
      </c>
      <c r="N165" s="185"/>
      <c r="O165" s="185"/>
      <c r="P165" s="185"/>
      <c r="Q165" s="185"/>
      <c r="R165" s="185"/>
      <c r="S165" s="185"/>
      <c r="T165" s="185"/>
      <c r="U165" s="185"/>
      <c r="V165" s="185"/>
    </row>
    <row r="166" ht="14.25" customHeight="1">
      <c r="A166" s="178"/>
      <c r="B166" s="12"/>
      <c r="C166" s="13"/>
      <c r="D166" s="179"/>
      <c r="E166" s="180"/>
      <c r="F166" s="188"/>
      <c r="G166" s="179"/>
      <c r="H166" s="190"/>
      <c r="I166" s="190"/>
      <c r="J166" s="187"/>
      <c r="K166" s="187"/>
      <c r="L166" s="184" t="str">
        <f>IFERROR(__xludf.DUMMYFUNCTION("ifna(IF(and(D166=""Saída"",J166=""Sangria""),if(sum(QUERY(IMPORTRANGE(""https://docs.google.com/spreadsheets/d/1E4szPcLzsqlw4uyBAoJ61L1ChCgpz4wVP8tHfHW1g_c"",""BD M Sangrias!a:i""),""select Col6 where Col7 = 'Depositada' and Col9 = '""&amp;K166&amp;""' and Col6 ="&amp;" ""&amp;M166&amp;"" and Col4 = date '""&amp;YEAR(C166)&amp;""-""&amp;MONTH(C166)&amp;""-""&amp;DAY(C166)&amp;""'""))&gt;0,""Depositada"",if(sum(QUERY(IMPORTRANGE(""https://docs.google.com/spreadsheets/d/1EcLIvUgMoBC5as4ikW0wuQsGH5yVZ6cQ1y16qEfgPnk"",""BD M Sangrias!a:i""),""select Col6 whe"&amp;"re Col7 = 'Caixa Atendimento' and Col9 = '""&amp;K166&amp;""' and Col6 = ""&amp;M166&amp;"" and Col4 = date '""&amp;YEAR(C166)&amp;""-""&amp;MONTH(C166)&amp;""-""&amp;DAY(C166)&amp;""'""))&gt;0,""Caixa Atendimento"",""Caixa Sangria"")),""""),""Caixa Sangria"")"),"")</f>
        <v/>
      </c>
      <c r="M166" s="185" t="str">
        <f>IFERROR(__xludf.DUMMYFUNCTION("ifna(VALUE(REGEXEXTRACT(E166,""[0-9.]+[,]+[0-9]+"")))"),"")</f>
        <v/>
      </c>
      <c r="N166" s="185"/>
      <c r="O166" s="185"/>
      <c r="P166" s="185"/>
      <c r="Q166" s="185"/>
      <c r="R166" s="185"/>
      <c r="S166" s="185"/>
      <c r="T166" s="185"/>
      <c r="U166" s="185"/>
      <c r="V166" s="185"/>
    </row>
    <row r="167" ht="14.25" customHeight="1">
      <c r="A167" s="178"/>
      <c r="B167" s="12"/>
      <c r="C167" s="13"/>
      <c r="D167" s="179"/>
      <c r="E167" s="180"/>
      <c r="F167" s="181"/>
      <c r="G167" s="179"/>
      <c r="H167" s="190"/>
      <c r="I167" s="190"/>
      <c r="J167" s="187"/>
      <c r="K167" s="187"/>
      <c r="L167" s="184" t="str">
        <f>IFERROR(__xludf.DUMMYFUNCTION("ifna(IF(and(D167=""Saída"",J167=""Sangria""),if(sum(QUERY(IMPORTRANGE(""https://docs.google.com/spreadsheets/d/1E4szPcLzsqlw4uyBAoJ61L1ChCgpz4wVP8tHfHW1g_c"",""BD M Sangrias!a:i""),""select Col6 where Col7 = 'Depositada' and Col9 = '""&amp;K167&amp;""' and Col6 ="&amp;" ""&amp;M167&amp;"" and Col4 = date '""&amp;YEAR(C167)&amp;""-""&amp;MONTH(C167)&amp;""-""&amp;DAY(C167)&amp;""'""))&gt;0,""Depositada"",if(sum(QUERY(IMPORTRANGE(""https://docs.google.com/spreadsheets/d/1EcLIvUgMoBC5as4ikW0wuQsGH5yVZ6cQ1y16qEfgPnk"",""BD M Sangrias!a:i""),""select Col6 whe"&amp;"re Col7 = 'Caixa Atendimento' and Col9 = '""&amp;K167&amp;""' and Col6 = ""&amp;M167&amp;"" and Col4 = date '""&amp;YEAR(C167)&amp;""-""&amp;MONTH(C167)&amp;""-""&amp;DAY(C167)&amp;""'""))&gt;0,""Caixa Atendimento"",""Caixa Sangria"")),""""),""Caixa Sangria"")"),"")</f>
        <v/>
      </c>
      <c r="M167" s="185" t="str">
        <f>IFERROR(__xludf.DUMMYFUNCTION("ifna(VALUE(REGEXEXTRACT(E167,""[0-9.]+[,]+[0-9]+"")))"),"")</f>
        <v/>
      </c>
      <c r="N167" s="185"/>
      <c r="O167" s="185"/>
      <c r="P167" s="185"/>
      <c r="Q167" s="185"/>
      <c r="R167" s="185"/>
      <c r="S167" s="185"/>
      <c r="T167" s="185"/>
      <c r="U167" s="185"/>
      <c r="V167" s="185"/>
    </row>
    <row r="168" ht="14.25" customHeight="1">
      <c r="A168" s="178"/>
      <c r="B168" s="12"/>
      <c r="C168" s="13"/>
      <c r="D168" s="179"/>
      <c r="E168" s="180"/>
      <c r="F168" s="181"/>
      <c r="G168" s="179"/>
      <c r="H168" s="190"/>
      <c r="I168" s="190"/>
      <c r="J168" s="187"/>
      <c r="K168" s="187"/>
      <c r="L168" s="184" t="str">
        <f>IFERROR(__xludf.DUMMYFUNCTION("ifna(IF(and(D168=""Saída"",J168=""Sangria""),if(sum(QUERY(IMPORTRANGE(""https://docs.google.com/spreadsheets/d/1E4szPcLzsqlw4uyBAoJ61L1ChCgpz4wVP8tHfHW1g_c"",""BD M Sangrias!a:i""),""select Col6 where Col7 = 'Depositada' and Col9 = '""&amp;K168&amp;""' and Col6 ="&amp;" ""&amp;M168&amp;"" and Col4 = date '""&amp;YEAR(C168)&amp;""-""&amp;MONTH(C168)&amp;""-""&amp;DAY(C168)&amp;""'""))&gt;0,""Depositada"",if(sum(QUERY(IMPORTRANGE(""https://docs.google.com/spreadsheets/d/1EcLIvUgMoBC5as4ikW0wuQsGH5yVZ6cQ1y16qEfgPnk"",""BD M Sangrias!a:i""),""select Col6 whe"&amp;"re Col7 = 'Caixa Atendimento' and Col9 = '""&amp;K168&amp;""' and Col6 = ""&amp;M168&amp;"" and Col4 = date '""&amp;YEAR(C168)&amp;""-""&amp;MONTH(C168)&amp;""-""&amp;DAY(C168)&amp;""'""))&gt;0,""Caixa Atendimento"",""Caixa Sangria"")),""""),""Caixa Sangria"")"),"")</f>
        <v/>
      </c>
      <c r="M168" s="185" t="str">
        <f>IFERROR(__xludf.DUMMYFUNCTION("ifna(VALUE(REGEXEXTRACT(E168,""[0-9.]+[,]+[0-9]+"")))"),"")</f>
        <v/>
      </c>
      <c r="N168" s="185"/>
      <c r="O168" s="185"/>
      <c r="P168" s="185"/>
      <c r="Q168" s="185"/>
      <c r="R168" s="185"/>
      <c r="S168" s="185"/>
      <c r="T168" s="185"/>
      <c r="U168" s="185"/>
      <c r="V168" s="185"/>
    </row>
    <row r="169" ht="14.25" customHeight="1">
      <c r="A169" s="178"/>
      <c r="B169" s="12"/>
      <c r="C169" s="13"/>
      <c r="D169" s="179"/>
      <c r="E169" s="180"/>
      <c r="F169" s="181"/>
      <c r="G169" s="179"/>
      <c r="H169" s="190"/>
      <c r="I169" s="190"/>
      <c r="J169" s="187"/>
      <c r="K169" s="187"/>
      <c r="L169" s="184" t="str">
        <f>IFERROR(__xludf.DUMMYFUNCTION("ifna(IF(and(D169=""Saída"",J169=""Sangria""),if(sum(QUERY(IMPORTRANGE(""https://docs.google.com/spreadsheets/d/1E4szPcLzsqlw4uyBAoJ61L1ChCgpz4wVP8tHfHW1g_c"",""BD M Sangrias!a:i""),""select Col6 where Col7 = 'Depositada' and Col9 = '""&amp;K169&amp;""' and Col6 ="&amp;" ""&amp;M169&amp;"" and Col4 = date '""&amp;YEAR(C169)&amp;""-""&amp;MONTH(C169)&amp;""-""&amp;DAY(C169)&amp;""'""))&gt;0,""Depositada"",if(sum(QUERY(IMPORTRANGE(""https://docs.google.com/spreadsheets/d/1EcLIvUgMoBC5as4ikW0wuQsGH5yVZ6cQ1y16qEfgPnk"",""BD M Sangrias!a:i""),""select Col6 whe"&amp;"re Col7 = 'Caixa Atendimento' and Col9 = '""&amp;K169&amp;""' and Col6 = ""&amp;M169&amp;"" and Col4 = date '""&amp;YEAR(C169)&amp;""-""&amp;MONTH(C169)&amp;""-""&amp;DAY(C169)&amp;""'""))&gt;0,""Caixa Atendimento"",""Caixa Sangria"")),""""),""Caixa Sangria"")"),"")</f>
        <v/>
      </c>
      <c r="M169" s="185" t="str">
        <f>IFERROR(__xludf.DUMMYFUNCTION("ifna(VALUE(REGEXEXTRACT(E169,""[0-9.]+[,]+[0-9]+"")))"),"")</f>
        <v/>
      </c>
      <c r="N169" s="185"/>
      <c r="O169" s="185"/>
      <c r="P169" s="185"/>
      <c r="Q169" s="185"/>
      <c r="R169" s="185"/>
      <c r="S169" s="185"/>
      <c r="T169" s="185"/>
      <c r="U169" s="185"/>
      <c r="V169" s="185"/>
    </row>
    <row r="170" ht="14.25" customHeight="1">
      <c r="A170" s="178"/>
      <c r="B170" s="12"/>
      <c r="C170" s="13"/>
      <c r="D170" s="179"/>
      <c r="E170" s="180"/>
      <c r="F170" s="181"/>
      <c r="G170" s="179"/>
      <c r="H170" s="190"/>
      <c r="I170" s="190"/>
      <c r="J170" s="187"/>
      <c r="K170" s="187"/>
      <c r="L170" s="184" t="str">
        <f>IFERROR(__xludf.DUMMYFUNCTION("ifna(IF(and(D170=""Saída"",J170=""Sangria""),if(sum(QUERY(IMPORTRANGE(""https://docs.google.com/spreadsheets/d/1E4szPcLzsqlw4uyBAoJ61L1ChCgpz4wVP8tHfHW1g_c"",""BD M Sangrias!a:i""),""select Col6 where Col7 = 'Depositada' and Col9 = '""&amp;K170&amp;""' and Col6 ="&amp;" ""&amp;M170&amp;"" and Col4 = date '""&amp;YEAR(C170)&amp;""-""&amp;MONTH(C170)&amp;""-""&amp;DAY(C170)&amp;""'""))&gt;0,""Depositada"",if(sum(QUERY(IMPORTRANGE(""https://docs.google.com/spreadsheets/d/1EcLIvUgMoBC5as4ikW0wuQsGH5yVZ6cQ1y16qEfgPnk"",""BD M Sangrias!a:i""),""select Col6 whe"&amp;"re Col7 = 'Caixa Atendimento' and Col9 = '""&amp;K170&amp;""' and Col6 = ""&amp;M170&amp;"" and Col4 = date '""&amp;YEAR(C170)&amp;""-""&amp;MONTH(C170)&amp;""-""&amp;DAY(C170)&amp;""'""))&gt;0,""Caixa Atendimento"",""Caixa Sangria"")),""""),""Caixa Sangria"")"),"")</f>
        <v/>
      </c>
      <c r="M170" s="185" t="str">
        <f>IFERROR(__xludf.DUMMYFUNCTION("ifna(VALUE(REGEXEXTRACT(E170,""[0-9.]+[,]+[0-9]+"")))"),"")</f>
        <v/>
      </c>
      <c r="N170" s="185"/>
      <c r="O170" s="185"/>
      <c r="P170" s="185"/>
      <c r="Q170" s="185"/>
      <c r="R170" s="185"/>
      <c r="S170" s="185"/>
      <c r="T170" s="185"/>
      <c r="U170" s="185"/>
      <c r="V170" s="185"/>
    </row>
    <row r="171" ht="14.25" customHeight="1">
      <c r="A171" s="178"/>
      <c r="B171" s="12"/>
      <c r="C171" s="13"/>
      <c r="D171" s="179"/>
      <c r="E171" s="180"/>
      <c r="F171" s="181"/>
      <c r="G171" s="179"/>
      <c r="H171" s="190"/>
      <c r="I171" s="190"/>
      <c r="J171" s="187"/>
      <c r="K171" s="187"/>
      <c r="L171" s="184" t="str">
        <f>IFERROR(__xludf.DUMMYFUNCTION("ifna(IF(and(D171=""Saída"",J171=""Sangria""),if(sum(QUERY(IMPORTRANGE(""https://docs.google.com/spreadsheets/d/1E4szPcLzsqlw4uyBAoJ61L1ChCgpz4wVP8tHfHW1g_c"",""BD M Sangrias!a:i""),""select Col6 where Col7 = 'Depositada' and Col9 = '""&amp;K171&amp;""' and Col6 ="&amp;" ""&amp;M171&amp;"" and Col4 = date '""&amp;YEAR(C171)&amp;""-""&amp;MONTH(C171)&amp;""-""&amp;DAY(C171)&amp;""'""))&gt;0,""Depositada"",if(sum(QUERY(IMPORTRANGE(""https://docs.google.com/spreadsheets/d/1EcLIvUgMoBC5as4ikW0wuQsGH5yVZ6cQ1y16qEfgPnk"",""BD M Sangrias!a:i""),""select Col6 whe"&amp;"re Col7 = 'Caixa Atendimento' and Col9 = '""&amp;K171&amp;""' and Col6 = ""&amp;M171&amp;"" and Col4 = date '""&amp;YEAR(C171)&amp;""-""&amp;MONTH(C171)&amp;""-""&amp;DAY(C171)&amp;""'""))&gt;0,""Caixa Atendimento"",""Caixa Sangria"")),""""),""Caixa Sangria"")"),"")</f>
        <v/>
      </c>
      <c r="M171" s="185" t="str">
        <f>IFERROR(__xludf.DUMMYFUNCTION("ifna(VALUE(REGEXEXTRACT(E171,""[0-9.]+[,]+[0-9]+"")))"),"")</f>
        <v/>
      </c>
      <c r="N171" s="185"/>
      <c r="O171" s="185"/>
      <c r="P171" s="185"/>
      <c r="Q171" s="185"/>
      <c r="R171" s="185"/>
      <c r="S171" s="185"/>
      <c r="T171" s="185"/>
      <c r="U171" s="185"/>
      <c r="V171" s="185"/>
    </row>
    <row r="172" ht="14.25" customHeight="1">
      <c r="A172" s="178"/>
      <c r="B172" s="12"/>
      <c r="C172" s="13"/>
      <c r="D172" s="179"/>
      <c r="E172" s="180"/>
      <c r="F172" s="181"/>
      <c r="G172" s="179"/>
      <c r="H172" s="190"/>
      <c r="I172" s="190"/>
      <c r="J172" s="187"/>
      <c r="K172" s="187"/>
      <c r="L172" s="184" t="str">
        <f>IFERROR(__xludf.DUMMYFUNCTION("ifna(IF(and(D172=""Saída"",J172=""Sangria""),if(sum(QUERY(IMPORTRANGE(""https://docs.google.com/spreadsheets/d/1E4szPcLzsqlw4uyBAoJ61L1ChCgpz4wVP8tHfHW1g_c"",""BD M Sangrias!a:i""),""select Col6 where Col7 = 'Depositada' and Col9 = '""&amp;K172&amp;""' and Col6 ="&amp;" ""&amp;M172&amp;"" and Col4 = date '""&amp;YEAR(C172)&amp;""-""&amp;MONTH(C172)&amp;""-""&amp;DAY(C172)&amp;""'""))&gt;0,""Depositada"",if(sum(QUERY(IMPORTRANGE(""https://docs.google.com/spreadsheets/d/1EcLIvUgMoBC5as4ikW0wuQsGH5yVZ6cQ1y16qEfgPnk"",""BD M Sangrias!a:i""),""select Col6 whe"&amp;"re Col7 = 'Caixa Atendimento' and Col9 = '""&amp;K172&amp;""' and Col6 = ""&amp;M172&amp;"" and Col4 = date '""&amp;YEAR(C172)&amp;""-""&amp;MONTH(C172)&amp;""-""&amp;DAY(C172)&amp;""'""))&gt;0,""Caixa Atendimento"",""Caixa Sangria"")),""""),""Caixa Sangria"")"),"")</f>
        <v/>
      </c>
      <c r="M172" s="185" t="str">
        <f>IFERROR(__xludf.DUMMYFUNCTION("ifna(VALUE(REGEXEXTRACT(E172,""[0-9.]+[,]+[0-9]+"")))"),"")</f>
        <v/>
      </c>
      <c r="N172" s="185"/>
      <c r="O172" s="185"/>
      <c r="P172" s="185"/>
      <c r="Q172" s="185"/>
      <c r="R172" s="185"/>
      <c r="S172" s="185"/>
      <c r="T172" s="185"/>
      <c r="U172" s="185"/>
      <c r="V172" s="185"/>
    </row>
    <row r="173" ht="14.25" customHeight="1">
      <c r="A173" s="178"/>
      <c r="B173" s="12"/>
      <c r="C173" s="13"/>
      <c r="D173" s="179"/>
      <c r="E173" s="180"/>
      <c r="F173" s="181"/>
      <c r="G173" s="179"/>
      <c r="H173" s="190"/>
      <c r="I173" s="190"/>
      <c r="J173" s="187"/>
      <c r="K173" s="187"/>
      <c r="L173" s="184" t="str">
        <f>IFERROR(__xludf.DUMMYFUNCTION("ifna(IF(and(D173=""Saída"",J173=""Sangria""),if(sum(QUERY(IMPORTRANGE(""https://docs.google.com/spreadsheets/d/1E4szPcLzsqlw4uyBAoJ61L1ChCgpz4wVP8tHfHW1g_c"",""BD M Sangrias!a:i""),""select Col6 where Col7 = 'Depositada' and Col9 = '""&amp;K173&amp;""' and Col6 ="&amp;" ""&amp;M173&amp;"" and Col4 = date '""&amp;YEAR(C173)&amp;""-""&amp;MONTH(C173)&amp;""-""&amp;DAY(C173)&amp;""'""))&gt;0,""Depositada"",if(sum(QUERY(IMPORTRANGE(""https://docs.google.com/spreadsheets/d/1EcLIvUgMoBC5as4ikW0wuQsGH5yVZ6cQ1y16qEfgPnk"",""BD M Sangrias!a:i""),""select Col6 whe"&amp;"re Col7 = 'Caixa Atendimento' and Col9 = '""&amp;K173&amp;""' and Col6 = ""&amp;M173&amp;"" and Col4 = date '""&amp;YEAR(C173)&amp;""-""&amp;MONTH(C173)&amp;""-""&amp;DAY(C173)&amp;""'""))&gt;0,""Caixa Atendimento"",""Caixa Sangria"")),""""),""Caixa Sangria"")"),"")</f>
        <v/>
      </c>
      <c r="M173" s="185" t="str">
        <f>IFERROR(__xludf.DUMMYFUNCTION("ifna(VALUE(REGEXEXTRACT(E173,""[0-9.]+[,]+[0-9]+"")))"),"")</f>
        <v/>
      </c>
      <c r="N173" s="185"/>
      <c r="O173" s="185"/>
      <c r="P173" s="185"/>
      <c r="Q173" s="185"/>
      <c r="R173" s="185"/>
      <c r="S173" s="185"/>
      <c r="T173" s="185"/>
      <c r="U173" s="185"/>
      <c r="V173" s="185"/>
    </row>
    <row r="174" ht="14.25" customHeight="1">
      <c r="A174" s="178"/>
      <c r="B174" s="12"/>
      <c r="C174" s="13"/>
      <c r="D174" s="179"/>
      <c r="E174" s="180"/>
      <c r="F174" s="181"/>
      <c r="G174" s="179"/>
      <c r="H174" s="190"/>
      <c r="I174" s="190"/>
      <c r="J174" s="187"/>
      <c r="K174" s="187"/>
      <c r="L174" s="184" t="str">
        <f>IFERROR(__xludf.DUMMYFUNCTION("ifna(IF(and(D174=""Saída"",J174=""Sangria""),if(sum(QUERY(IMPORTRANGE(""https://docs.google.com/spreadsheets/d/1E4szPcLzsqlw4uyBAoJ61L1ChCgpz4wVP8tHfHW1g_c"",""BD M Sangrias!a:i""),""select Col6 where Col7 = 'Depositada' and Col9 = '""&amp;K174&amp;""' and Col6 ="&amp;" ""&amp;M174&amp;"" and Col4 = date '""&amp;YEAR(C174)&amp;""-""&amp;MONTH(C174)&amp;""-""&amp;DAY(C174)&amp;""'""))&gt;0,""Depositada"",if(sum(QUERY(IMPORTRANGE(""https://docs.google.com/spreadsheets/d/1EcLIvUgMoBC5as4ikW0wuQsGH5yVZ6cQ1y16qEfgPnk"",""BD M Sangrias!a:i""),""select Col6 whe"&amp;"re Col7 = 'Caixa Atendimento' and Col9 = '""&amp;K174&amp;""' and Col6 = ""&amp;M174&amp;"" and Col4 = date '""&amp;YEAR(C174)&amp;""-""&amp;MONTH(C174)&amp;""-""&amp;DAY(C174)&amp;""'""))&gt;0,""Caixa Atendimento"",""Caixa Sangria"")),""""),""Caixa Sangria"")"),"")</f>
        <v/>
      </c>
      <c r="M174" s="185" t="str">
        <f>IFERROR(__xludf.DUMMYFUNCTION("ifna(VALUE(REGEXEXTRACT(E174,""[0-9.]+[,]+[0-9]+"")))"),"")</f>
        <v/>
      </c>
      <c r="N174" s="185"/>
      <c r="O174" s="185"/>
      <c r="P174" s="185"/>
      <c r="Q174" s="185"/>
      <c r="R174" s="185"/>
      <c r="S174" s="185"/>
      <c r="T174" s="185"/>
      <c r="U174" s="185"/>
      <c r="V174" s="185"/>
    </row>
    <row r="175" ht="14.25" customHeight="1">
      <c r="A175" s="178"/>
      <c r="B175" s="12"/>
      <c r="C175" s="13"/>
      <c r="D175" s="179"/>
      <c r="E175" s="180"/>
      <c r="F175" s="181"/>
      <c r="G175" s="179"/>
      <c r="H175" s="190"/>
      <c r="I175" s="190"/>
      <c r="J175" s="187"/>
      <c r="K175" s="187"/>
      <c r="L175" s="184" t="str">
        <f>IFERROR(__xludf.DUMMYFUNCTION("ifna(IF(and(D175=""Saída"",J175=""Sangria""),if(sum(QUERY(IMPORTRANGE(""https://docs.google.com/spreadsheets/d/1E4szPcLzsqlw4uyBAoJ61L1ChCgpz4wVP8tHfHW1g_c"",""BD M Sangrias!a:i""),""select Col6 where Col7 = 'Depositada' and Col9 = '""&amp;K175&amp;""' and Col6 ="&amp;" ""&amp;M175&amp;"" and Col4 = date '""&amp;YEAR(C175)&amp;""-""&amp;MONTH(C175)&amp;""-""&amp;DAY(C175)&amp;""'""))&gt;0,""Depositada"",if(sum(QUERY(IMPORTRANGE(""https://docs.google.com/spreadsheets/d/1EcLIvUgMoBC5as4ikW0wuQsGH5yVZ6cQ1y16qEfgPnk"",""BD M Sangrias!a:i""),""select Col6 whe"&amp;"re Col7 = 'Caixa Atendimento' and Col9 = '""&amp;K175&amp;""' and Col6 = ""&amp;M175&amp;"" and Col4 = date '""&amp;YEAR(C175)&amp;""-""&amp;MONTH(C175)&amp;""-""&amp;DAY(C175)&amp;""'""))&gt;0,""Caixa Atendimento"",""Caixa Sangria"")),""""),""Caixa Sangria"")"),"")</f>
        <v/>
      </c>
      <c r="M175" s="185" t="str">
        <f>IFERROR(__xludf.DUMMYFUNCTION("ifna(VALUE(REGEXEXTRACT(E175,""[0-9.]+[,]+[0-9]+"")))"),"")</f>
        <v/>
      </c>
      <c r="N175" s="185"/>
      <c r="O175" s="185"/>
      <c r="P175" s="185"/>
      <c r="Q175" s="185"/>
      <c r="R175" s="185"/>
      <c r="S175" s="185"/>
      <c r="T175" s="185"/>
      <c r="U175" s="185"/>
      <c r="V175" s="185"/>
    </row>
    <row r="176" ht="14.25" customHeight="1">
      <c r="A176" s="178"/>
      <c r="B176" s="12"/>
      <c r="C176" s="13"/>
      <c r="D176" s="179"/>
      <c r="E176" s="180"/>
      <c r="F176" s="188"/>
      <c r="G176" s="179"/>
      <c r="H176" s="190"/>
      <c r="I176" s="190"/>
      <c r="J176" s="187"/>
      <c r="K176" s="187"/>
      <c r="L176" s="184" t="str">
        <f>IFERROR(__xludf.DUMMYFUNCTION("ifna(IF(and(D176=""Saída"",#REF!=""Sangria""),if(sum(QUERY(IMPORTRANGE(""https://docs.google.com/spreadsheets/d/1E4szPcLzsqlw4uyBAoJ61L1ChCgpz4wVP8tHfHW1g_c"",""BD M Sangrias!a:i""),""select Col6 where Col7 = 'Depositada' and Col9 = '""&amp;K176&amp;""' and Col6 "&amp;"= ""&amp;M176&amp;"" and Col4 = date '""&amp;YEAR(C176)&amp;""-""&amp;MONTH(C176)&amp;""-""&amp;DAY(C176)&amp;""'""))&gt;0,""Depositada"",if(sum(QUERY(IMPORTRANGE(""https://docs.google.com/spreadsheets/d/1EcLIvUgMoBC5as4ikW0wuQsGH5yVZ6cQ1y16qEfgPnk"",""BD M Sangrias!a:i""),""select Col6 wh"&amp;"ere Col7 = 'Caixa Atendimento' and Col9 = '""&amp;K176&amp;""' and Col6 = ""&amp;M176&amp;"" and Col4 = date '""&amp;YEAR(C176)&amp;""-""&amp;MONTH(C176)&amp;""-""&amp;DAY(C176)&amp;""'""))&gt;0,""Caixa Atendimento"",""Caixa Sangria"")),""""),""Caixa Sangria"")"),"#REF!")</f>
        <v>#REF!</v>
      </c>
      <c r="M176" s="185" t="str">
        <f>IFERROR(__xludf.DUMMYFUNCTION("ifna(VALUE(REGEXEXTRACT(E176,""[0-9.]+[,]+[0-9]+"")))"),"")</f>
        <v/>
      </c>
      <c r="N176" s="185"/>
      <c r="O176" s="185"/>
      <c r="P176" s="185"/>
      <c r="Q176" s="185"/>
      <c r="R176" s="185"/>
      <c r="S176" s="185"/>
      <c r="T176" s="185"/>
      <c r="U176" s="185"/>
      <c r="V176" s="185"/>
    </row>
    <row r="177" ht="14.25" customHeight="1">
      <c r="A177" s="178"/>
      <c r="B177" s="12"/>
      <c r="C177" s="13"/>
      <c r="D177" s="179"/>
      <c r="E177" s="180"/>
      <c r="F177" s="181"/>
      <c r="G177" s="179"/>
      <c r="H177" s="190"/>
      <c r="I177" s="190"/>
      <c r="K177" s="187"/>
      <c r="L177" s="184" t="str">
        <f>IFERROR(__xludf.DUMMYFUNCTION("ifna(IF(and(D177=""Saída"",J176=""Sangria""),if(sum(QUERY(IMPORTRANGE(""https://docs.google.com/spreadsheets/d/1E4szPcLzsqlw4uyBAoJ61L1ChCgpz4wVP8tHfHW1g_c"",""BD M Sangrias!a:i""),""select Col6 where Col7 = 'Depositada' and Col9 = '""&amp;K177&amp;""' and Col6 ="&amp;" ""&amp;M177&amp;"" and Col4 = date '""&amp;YEAR(C177)&amp;""-""&amp;MONTH(C177)&amp;""-""&amp;DAY(C177)&amp;""'""))&gt;0,""Depositada"",if(sum(QUERY(IMPORTRANGE(""https://docs.google.com/spreadsheets/d/1EcLIvUgMoBC5as4ikW0wuQsGH5yVZ6cQ1y16qEfgPnk"",""BD M Sangrias!a:i""),""select Col6 whe"&amp;"re Col7 = 'Caixa Atendimento' and Col9 = '""&amp;K177&amp;""' and Col6 = ""&amp;M177&amp;"" and Col4 = date '""&amp;YEAR(C177)&amp;""-""&amp;MONTH(C177)&amp;""-""&amp;DAY(C177)&amp;""'""))&gt;0,""Caixa Atendimento"",""Caixa Sangria"")),""""),""Caixa Sangria"")"),"")</f>
        <v/>
      </c>
      <c r="M177" s="185" t="str">
        <f>IFERROR(__xludf.DUMMYFUNCTION("ifna(VALUE(REGEXEXTRACT(E177,""[0-9.]+[,]+[0-9]+"")))"),"")</f>
        <v/>
      </c>
      <c r="N177" s="185"/>
      <c r="O177" s="185"/>
      <c r="P177" s="185"/>
      <c r="Q177" s="185"/>
      <c r="R177" s="185"/>
      <c r="S177" s="185"/>
      <c r="T177" s="185"/>
      <c r="U177" s="185"/>
      <c r="V177" s="185"/>
    </row>
    <row r="178" ht="14.25" customHeight="1">
      <c r="A178" s="178"/>
      <c r="B178" s="12"/>
      <c r="C178" s="13"/>
      <c r="D178" s="179"/>
      <c r="E178" s="180"/>
      <c r="F178" s="181"/>
      <c r="G178" s="179"/>
      <c r="H178" s="190"/>
      <c r="I178" s="190"/>
      <c r="J178" s="187"/>
      <c r="K178" s="187"/>
      <c r="L178" s="184" t="str">
        <f>IFERROR(__xludf.DUMMYFUNCTION("ifna(IF(and(D178=""Saída"",J178=""Sangria""),if(sum(QUERY(IMPORTRANGE(""https://docs.google.com/spreadsheets/d/1E4szPcLzsqlw4uyBAoJ61L1ChCgpz4wVP8tHfHW1g_c"",""BD M Sangrias!a:i""),""select Col6 where Col7 = 'Depositada' and Col9 = '""&amp;K178&amp;""' and Col6 ="&amp;" ""&amp;M178&amp;"" and Col4 = date '""&amp;YEAR(C178)&amp;""-""&amp;MONTH(C178)&amp;""-""&amp;DAY(C178)&amp;""'""))&gt;0,""Depositada"",if(sum(QUERY(IMPORTRANGE(""https://docs.google.com/spreadsheets/d/1EcLIvUgMoBC5as4ikW0wuQsGH5yVZ6cQ1y16qEfgPnk"",""BD M Sangrias!a:i""),""select Col6 whe"&amp;"re Col7 = 'Caixa Atendimento' and Col9 = '""&amp;K178&amp;""' and Col6 = ""&amp;M178&amp;"" and Col4 = date '""&amp;YEAR(C178)&amp;""-""&amp;MONTH(C178)&amp;""-""&amp;DAY(C178)&amp;""'""))&gt;0,""Caixa Atendimento"",""Caixa Sangria"")),""""),""Caixa Sangria"")"),"")</f>
        <v/>
      </c>
      <c r="M178" s="185" t="str">
        <f>IFERROR(__xludf.DUMMYFUNCTION("ifna(VALUE(REGEXEXTRACT(E178,""[0-9.]+[,]+[0-9]+"")))"),"")</f>
        <v/>
      </c>
      <c r="N178" s="185"/>
      <c r="O178" s="185"/>
      <c r="P178" s="185"/>
      <c r="Q178" s="185"/>
      <c r="R178" s="185"/>
      <c r="S178" s="185"/>
      <c r="T178" s="185"/>
      <c r="U178" s="185"/>
      <c r="V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184" t="str">
        <f>IFERROR(__xludf.DUMMYFUNCTION("ifna(IF(and(D179=""Saída"",J179=""Sangria""),if(sum(QUERY(IMPORTRANGE(""https://docs.google.com/spreadsheets/d/1E4szPcLzsqlw4uyBAoJ61L1ChCgpz4wVP8tHfHW1g_c"",""BD M Sangrias!a:i""),""select Col6 where Col7 = 'Depositada' and Col9 = '""&amp;K179&amp;""' and Col6 ="&amp;" ""&amp;M179&amp;"" and Col4 = date '""&amp;YEAR(C179)&amp;""-""&amp;MONTH(C179)&amp;""-""&amp;DAY(C179)&amp;""'""))&gt;0,""Depositada"",if(sum(QUERY(IMPORTRANGE(""https://docs.google.com/spreadsheets/d/1EcLIvUgMoBC5as4ikW0wuQsGH5yVZ6cQ1y16qEfgPnk"",""BD M Sangrias!a:i""),""select Col6 whe"&amp;"re Col7 = 'Caixa Atendimento' and Col9 = '""&amp;K179&amp;""' and Col6 = ""&amp;M179&amp;"" and Col4 = date '""&amp;YEAR(C179)&amp;""-""&amp;MONTH(C179)&amp;""-""&amp;DAY(C179)&amp;""'""))&gt;0,""Caixa Atendimento"",""Caixa Sangria"")),""""),""Caixa Sangria"")"),"")</f>
        <v/>
      </c>
      <c r="M179" s="185" t="str">
        <f>IFERROR(__xludf.DUMMYFUNCTION("ifna(VALUE(REGEXEXTRACT(E179,""[0-9.]+[,]+[0-9]+"")))"),"")</f>
        <v/>
      </c>
      <c r="N179" s="185"/>
      <c r="O179" s="185"/>
      <c r="P179" s="185"/>
      <c r="Q179" s="185"/>
      <c r="R179" s="185"/>
      <c r="S179" s="185"/>
      <c r="T179" s="185"/>
      <c r="U179" s="185"/>
      <c r="V179" s="185"/>
    </row>
    <row r="180" ht="14.25" customHeight="1">
      <c r="A180" s="178"/>
      <c r="B180" s="12"/>
      <c r="C180" s="13"/>
      <c r="D180" s="179"/>
      <c r="E180" s="180"/>
      <c r="F180" s="188"/>
      <c r="G180" s="179"/>
      <c r="H180" s="190"/>
      <c r="I180" s="190"/>
      <c r="K180" s="187"/>
      <c r="L180" s="184" t="str">
        <f>IFERROR(__xludf.DUMMYFUNCTION("ifna(IF(and(D180=""Saída"",J180=""Sangria""),if(sum(QUERY(IMPORTRANGE(""https://docs.google.com/spreadsheets/d/1E4szPcLzsqlw4uyBAoJ61L1ChCgpz4wVP8tHfHW1g_c"",""BD M Sangrias!a:i""),""select Col6 where Col7 = 'Depositada' and Col9 = '""&amp;K180&amp;""' and Col6 ="&amp;" ""&amp;M180&amp;"" and Col4 = date '""&amp;YEAR(C180)&amp;""-""&amp;MONTH(C180)&amp;""-""&amp;DAY(C180)&amp;""'""))&gt;0,""Depositada"",if(sum(QUERY(IMPORTRANGE(""https://docs.google.com/spreadsheets/d/1EcLIvUgMoBC5as4ikW0wuQsGH5yVZ6cQ1y16qEfgPnk"",""BD M Sangrias!a:i""),""select Col6 whe"&amp;"re Col7 = 'Caixa Atendimento' and Col9 = '""&amp;K180&amp;""' and Col6 = ""&amp;M180&amp;"" and Col4 = date '""&amp;YEAR(C180)&amp;""-""&amp;MONTH(C180)&amp;""-""&amp;DAY(C180)&amp;""'""))&gt;0,""Caixa Atendimento"",""Caixa Sangria"")),""""),""Caixa Sangria"")"),"")</f>
        <v/>
      </c>
      <c r="M180" s="185" t="str">
        <f>IFERROR(__xludf.DUMMYFUNCTION("ifna(VALUE(REGEXEXTRACT(E180,""[0-9.]+[,]+[0-9]+"")))"),"")</f>
        <v/>
      </c>
      <c r="N180" s="185"/>
      <c r="O180" s="185"/>
      <c r="P180" s="185"/>
      <c r="Q180" s="185"/>
      <c r="R180" s="185"/>
      <c r="S180" s="185"/>
      <c r="T180" s="185"/>
      <c r="U180" s="185"/>
      <c r="V180" s="185"/>
    </row>
    <row r="181" ht="14.25" customHeight="1">
      <c r="A181" s="178"/>
      <c r="B181" s="12"/>
      <c r="C181" s="13"/>
      <c r="D181" s="179"/>
      <c r="E181" s="180"/>
      <c r="F181" s="181"/>
      <c r="G181" s="179"/>
      <c r="H181" s="190"/>
      <c r="I181" s="190"/>
      <c r="J181" s="187"/>
      <c r="K181" s="187"/>
      <c r="L181" s="184" t="str">
        <f>IFERROR(__xludf.DUMMYFUNCTION("ifna(IF(and(D181=""Saída"",J181=""Sangria""),if(sum(QUERY(IMPORTRANGE(""https://docs.google.com/spreadsheets/d/1E4szPcLzsqlw4uyBAoJ61L1ChCgpz4wVP8tHfHW1g_c"",""BD M Sangrias!a:i""),""select Col6 where Col7 = 'Depositada' and Col9 = '""&amp;K181&amp;""' and Col6 ="&amp;" ""&amp;M181&amp;"" and Col4 = date '""&amp;YEAR(C181)&amp;""-""&amp;MONTH(C181)&amp;""-""&amp;DAY(C181)&amp;""'""))&gt;0,""Depositada"",if(sum(QUERY(IMPORTRANGE(""https://docs.google.com/spreadsheets/d/1EcLIvUgMoBC5as4ikW0wuQsGH5yVZ6cQ1y16qEfgPnk"",""BD M Sangrias!a:i""),""select Col6 whe"&amp;"re Col7 = 'Caixa Atendimento' and Col9 = '""&amp;K181&amp;""' and Col6 = ""&amp;M181&amp;"" and Col4 = date '""&amp;YEAR(C181)&amp;""-""&amp;MONTH(C181)&amp;""-""&amp;DAY(C181)&amp;""'""))&gt;0,""Caixa Atendimento"",""Caixa Sangria"")),""""),""Caixa Sangria"")"),"")</f>
        <v/>
      </c>
      <c r="M181" s="185" t="str">
        <f>IFERROR(__xludf.DUMMYFUNCTION("ifna(VALUE(REGEXEXTRACT(E181,""[0-9.]+[,]+[0-9]+"")))"),"")</f>
        <v/>
      </c>
      <c r="N181" s="185"/>
      <c r="O181" s="185"/>
      <c r="P181" s="185"/>
      <c r="Q181" s="185"/>
      <c r="R181" s="185"/>
      <c r="S181" s="185"/>
      <c r="T181" s="185"/>
      <c r="U181" s="185"/>
      <c r="V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184" t="str">
        <f>IFERROR(__xludf.DUMMYFUNCTION("ifna(IF(and(D182=""Saída"",J182=""Sangria""),if(sum(QUERY(IMPORTRANGE(""https://docs.google.com/spreadsheets/d/1E4szPcLzsqlw4uyBAoJ61L1ChCgpz4wVP8tHfHW1g_c"",""BD M Sangrias!a:i""),""select Col6 where Col7 = 'Depositada' and Col9 = '""&amp;K182&amp;""' and Col6 ="&amp;" ""&amp;M182&amp;"" and Col4 = date '""&amp;YEAR(C182)&amp;""-""&amp;MONTH(C182)&amp;""-""&amp;DAY(C182)&amp;""'""))&gt;0,""Depositada"",if(sum(QUERY(IMPORTRANGE(""https://docs.google.com/spreadsheets/d/1EcLIvUgMoBC5as4ikW0wuQsGH5yVZ6cQ1y16qEfgPnk"",""BD M Sangrias!a:i""),""select Col6 whe"&amp;"re Col7 = 'Caixa Atendimento' and Col9 = '""&amp;K182&amp;""' and Col6 = ""&amp;M182&amp;"" and Col4 = date '""&amp;YEAR(C182)&amp;""-""&amp;MONTH(C182)&amp;""-""&amp;DAY(C182)&amp;""'""))&gt;0,""Caixa Atendimento"",""Caixa Sangria"")),""""),""Caixa Sangria"")"),"")</f>
        <v/>
      </c>
      <c r="M182" s="185" t="str">
        <f>IFERROR(__xludf.DUMMYFUNCTION("ifna(VALUE(REGEXEXTRACT(E182,""[0-9.]+[,]+[0-9]+"")))"),"")</f>
        <v/>
      </c>
      <c r="N182" s="185"/>
      <c r="O182" s="185"/>
      <c r="P182" s="185"/>
      <c r="Q182" s="185"/>
      <c r="R182" s="185"/>
      <c r="S182" s="185"/>
      <c r="T182" s="185"/>
      <c r="U182" s="185"/>
      <c r="V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184" t="str">
        <f>IFERROR(__xludf.DUMMYFUNCTION("ifna(IF(and(D183=""Saída"",J183=""Sangria""),if(sum(QUERY(IMPORTRANGE(""https://docs.google.com/spreadsheets/d/1E4szPcLzsqlw4uyBAoJ61L1ChCgpz4wVP8tHfHW1g_c"",""BD M Sangrias!a:i""),""select Col6 where Col7 = 'Depositada' and Col9 = '""&amp;K183&amp;""' and Col6 ="&amp;" ""&amp;M183&amp;"" and Col4 = date '""&amp;YEAR(C183)&amp;""-""&amp;MONTH(C183)&amp;""-""&amp;DAY(C183)&amp;""'""))&gt;0,""Depositada"",if(sum(QUERY(IMPORTRANGE(""https://docs.google.com/spreadsheets/d/1EcLIvUgMoBC5as4ikW0wuQsGH5yVZ6cQ1y16qEfgPnk"",""BD M Sangrias!a:i""),""select Col6 whe"&amp;"re Col7 = 'Caixa Atendimento' and Col9 = '""&amp;K183&amp;""' and Col6 = ""&amp;M183&amp;"" and Col4 = date '""&amp;YEAR(C183)&amp;""-""&amp;MONTH(C183)&amp;""-""&amp;DAY(C183)&amp;""'""))&gt;0,""Caixa Atendimento"",""Caixa Sangria"")),""""),""Caixa Sangria"")"),"")</f>
        <v/>
      </c>
      <c r="M183" s="185" t="str">
        <f>IFERROR(__xludf.DUMMYFUNCTION("ifna(VALUE(REGEXEXTRACT(E183,""[0-9.]+[,]+[0-9]+"")))"),"")</f>
        <v/>
      </c>
      <c r="N183" s="185"/>
      <c r="O183" s="185"/>
      <c r="P183" s="185"/>
      <c r="Q183" s="185"/>
      <c r="R183" s="185"/>
      <c r="S183" s="185"/>
      <c r="T183" s="185"/>
      <c r="U183" s="185"/>
      <c r="V183" s="185"/>
    </row>
    <row r="184" ht="14.25" customHeight="1">
      <c r="A184" s="178"/>
      <c r="B184" s="12"/>
      <c r="C184" s="13"/>
      <c r="D184" s="179"/>
      <c r="E184" s="180"/>
      <c r="F184" s="188"/>
      <c r="G184" s="179"/>
      <c r="H184" s="190"/>
      <c r="I184" s="190"/>
      <c r="J184" s="187"/>
      <c r="K184" s="187"/>
      <c r="L184" s="184" t="str">
        <f>IFERROR(__xludf.DUMMYFUNCTION("ifna(IF(and(D184=""Saída"",J184=""Sangria""),if(sum(QUERY(IMPORTRANGE(""https://docs.google.com/spreadsheets/d/1E4szPcLzsqlw4uyBAoJ61L1ChCgpz4wVP8tHfHW1g_c"",""BD M Sangrias!a:i""),""select Col6 where Col7 = 'Depositada' and Col9 = '""&amp;K184&amp;""' and Col6 ="&amp;" ""&amp;M184&amp;"" and Col4 = date '""&amp;YEAR(C184)&amp;""-""&amp;MONTH(C184)&amp;""-""&amp;DAY(C184)&amp;""'""))&gt;0,""Depositada"",if(sum(QUERY(IMPORTRANGE(""https://docs.google.com/spreadsheets/d/1EcLIvUgMoBC5as4ikW0wuQsGH5yVZ6cQ1y16qEfgPnk"",""BD M Sangrias!a:i""),""select Col6 whe"&amp;"re Col7 = 'Caixa Atendimento' and Col9 = '""&amp;K184&amp;""' and Col6 = ""&amp;M184&amp;"" and Col4 = date '""&amp;YEAR(C184)&amp;""-""&amp;MONTH(C184)&amp;""-""&amp;DAY(C184)&amp;""'""))&gt;0,""Caixa Atendimento"",""Caixa Sangria"")),""""),""Caixa Sangria"")"),"")</f>
        <v/>
      </c>
      <c r="M184" s="185" t="str">
        <f>IFERROR(__xludf.DUMMYFUNCTION("ifna(VALUE(REGEXEXTRACT(E184,""[0-9.]+[,]+[0-9]+"")))"),"")</f>
        <v/>
      </c>
      <c r="N184" s="185"/>
      <c r="O184" s="185"/>
      <c r="P184" s="185"/>
      <c r="Q184" s="185"/>
      <c r="R184" s="185"/>
      <c r="S184" s="185"/>
      <c r="T184" s="185"/>
      <c r="U184" s="185"/>
      <c r="V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184" t="str">
        <f>IFERROR(__xludf.DUMMYFUNCTION("ifna(IF(and(D185=""Saída"",J185=""Sangria""),if(sum(QUERY(IMPORTRANGE(""https://docs.google.com/spreadsheets/d/1E4szPcLzsqlw4uyBAoJ61L1ChCgpz4wVP8tHfHW1g_c"",""BD M Sangrias!a:i""),""select Col6 where Col7 = 'Depositada' and Col9 = '""&amp;K185&amp;""' and Col6 ="&amp;" ""&amp;M185&amp;"" and Col4 = date '""&amp;YEAR(C185)&amp;""-""&amp;MONTH(C185)&amp;""-""&amp;DAY(C185)&amp;""'""))&gt;0,""Depositada"",if(sum(QUERY(IMPORTRANGE(""https://docs.google.com/spreadsheets/d/1EcLIvUgMoBC5as4ikW0wuQsGH5yVZ6cQ1y16qEfgPnk"",""BD M Sangrias!a:i""),""select Col6 whe"&amp;"re Col7 = 'Caixa Atendimento' and Col9 = '""&amp;K185&amp;""' and Col6 = ""&amp;M185&amp;"" and Col4 = date '""&amp;YEAR(C185)&amp;""-""&amp;MONTH(C185)&amp;""-""&amp;DAY(C185)&amp;""'""))&gt;0,""Caixa Atendimento"",""Caixa Sangria"")),""""),""Caixa Sangria"")"),"")</f>
        <v/>
      </c>
      <c r="M185" s="185" t="str">
        <f>IFERROR(__xludf.DUMMYFUNCTION("ifna(VALUE(REGEXEXTRACT(E185,""[0-9.]+[,]+[0-9]+"")))"),"")</f>
        <v/>
      </c>
      <c r="N185" s="185"/>
      <c r="O185" s="185"/>
      <c r="P185" s="185"/>
      <c r="Q185" s="185"/>
      <c r="R185" s="185"/>
      <c r="S185" s="185"/>
      <c r="T185" s="185"/>
      <c r="U185" s="185"/>
      <c r="V185" s="185"/>
    </row>
    <row r="186" ht="14.25" customHeight="1">
      <c r="A186" s="178"/>
      <c r="B186" s="12"/>
      <c r="C186" s="13"/>
      <c r="D186" s="179"/>
      <c r="E186" s="180"/>
      <c r="F186" s="188"/>
      <c r="G186" s="179"/>
      <c r="H186" s="190"/>
      <c r="I186" s="190"/>
      <c r="J186" s="187"/>
      <c r="K186" s="187"/>
      <c r="L186" s="184" t="str">
        <f>IFERROR(__xludf.DUMMYFUNCTION("ifna(IF(and(D186=""Saída"",J186=""Sangria""),if(sum(QUERY(IMPORTRANGE(""https://docs.google.com/spreadsheets/d/1E4szPcLzsqlw4uyBAoJ61L1ChCgpz4wVP8tHfHW1g_c"",""BD M Sangrias!a:i""),""select Col6 where Col7 = 'Depositada' and Col9 = '""&amp;K186&amp;""' and Col6 ="&amp;" ""&amp;M186&amp;"" and Col4 = date '""&amp;YEAR(C186)&amp;""-""&amp;MONTH(C186)&amp;""-""&amp;DAY(C186)&amp;""'""))&gt;0,""Depositada"",if(sum(QUERY(IMPORTRANGE(""https://docs.google.com/spreadsheets/d/1EcLIvUgMoBC5as4ikW0wuQsGH5yVZ6cQ1y16qEfgPnk"",""BD M Sangrias!a:i""),""select Col6 whe"&amp;"re Col7 = 'Caixa Atendimento' and Col9 = '""&amp;K186&amp;""' and Col6 = ""&amp;M186&amp;"" and Col4 = date '""&amp;YEAR(C186)&amp;""-""&amp;MONTH(C186)&amp;""-""&amp;DAY(C186)&amp;""'""))&gt;0,""Caixa Atendimento"",""Caixa Sangria"")),""""),""Caixa Sangria"")"),"")</f>
        <v/>
      </c>
      <c r="M186" s="185" t="str">
        <f>IFERROR(__xludf.DUMMYFUNCTION("ifna(VALUE(REGEXEXTRACT(E186,""[0-9.]+[,]+[0-9]+"")))"),"")</f>
        <v/>
      </c>
      <c r="N186" s="185"/>
      <c r="O186" s="185"/>
      <c r="P186" s="185"/>
      <c r="Q186" s="185"/>
      <c r="R186" s="185"/>
      <c r="S186" s="185"/>
      <c r="T186" s="185"/>
      <c r="U186" s="185"/>
      <c r="V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184" t="str">
        <f>IFERROR(__xludf.DUMMYFUNCTION("ifna(IF(and(D187=""Saída"",J187=""Sangria""),if(sum(QUERY(IMPORTRANGE(""https://docs.google.com/spreadsheets/d/1E4szPcLzsqlw4uyBAoJ61L1ChCgpz4wVP8tHfHW1g_c"",""BD M Sangrias!a:i""),""select Col6 where Col7 = 'Depositada' and Col9 = '""&amp;K187&amp;""' and Col6 ="&amp;" ""&amp;M187&amp;"" and Col4 = date '""&amp;YEAR(C187)&amp;""-""&amp;MONTH(C187)&amp;""-""&amp;DAY(C187)&amp;""'""))&gt;0,""Depositada"",if(sum(QUERY(IMPORTRANGE(""https://docs.google.com/spreadsheets/d/1EcLIvUgMoBC5as4ikW0wuQsGH5yVZ6cQ1y16qEfgPnk"",""BD M Sangrias!a:i""),""select Col6 whe"&amp;"re Col7 = 'Caixa Atendimento' and Col9 = '""&amp;K187&amp;""' and Col6 = ""&amp;M187&amp;"" and Col4 = date '""&amp;YEAR(C187)&amp;""-""&amp;MONTH(C187)&amp;""-""&amp;DAY(C187)&amp;""'""))&gt;0,""Caixa Atendimento"",""Caixa Sangria"")),""""),""Caixa Sangria"")"),"")</f>
        <v/>
      </c>
      <c r="M187" s="185" t="str">
        <f>IFERROR(__xludf.DUMMYFUNCTION("ifna(VALUE(REGEXEXTRACT(E187,""[0-9.]+[,]+[0-9]+"")))"),"")</f>
        <v/>
      </c>
      <c r="N187" s="185"/>
      <c r="O187" s="185"/>
      <c r="P187" s="185"/>
      <c r="Q187" s="185"/>
      <c r="R187" s="185"/>
      <c r="S187" s="185"/>
      <c r="T187" s="185"/>
      <c r="U187" s="185"/>
      <c r="V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184" t="str">
        <f>IFERROR(__xludf.DUMMYFUNCTION("ifna(IF(and(D188=""Saída"",J188=""Sangria""),if(sum(QUERY(IMPORTRANGE(""https://docs.google.com/spreadsheets/d/1E4szPcLzsqlw4uyBAoJ61L1ChCgpz4wVP8tHfHW1g_c"",""BD M Sangrias!a:i""),""select Col6 where Col7 = 'Depositada' and Col9 = '""&amp;K188&amp;""' and Col6 ="&amp;" ""&amp;M188&amp;"" and Col4 = date '""&amp;YEAR(C188)&amp;""-""&amp;MONTH(C188)&amp;""-""&amp;DAY(C188)&amp;""'""))&gt;0,""Depositada"",if(sum(QUERY(IMPORTRANGE(""https://docs.google.com/spreadsheets/d/1EcLIvUgMoBC5as4ikW0wuQsGH5yVZ6cQ1y16qEfgPnk"",""BD M Sangrias!a:i""),""select Col6 whe"&amp;"re Col7 = 'Caixa Atendimento' and Col9 = '""&amp;K188&amp;""' and Col6 = ""&amp;M188&amp;"" and Col4 = date '""&amp;YEAR(C188)&amp;""-""&amp;MONTH(C188)&amp;""-""&amp;DAY(C188)&amp;""'""))&gt;0,""Caixa Atendimento"",""Caixa Sangria"")),""""),""Caixa Sangria"")"),"")</f>
        <v/>
      </c>
      <c r="M188" s="185" t="str">
        <f>IFERROR(__xludf.DUMMYFUNCTION("ifna(VALUE(REGEXEXTRACT(E188,""[0-9.]+[,]+[0-9]+"")))"),"")</f>
        <v/>
      </c>
      <c r="N188" s="185"/>
      <c r="O188" s="185"/>
      <c r="P188" s="185"/>
      <c r="Q188" s="185"/>
      <c r="R188" s="185"/>
      <c r="S188" s="185"/>
      <c r="T188" s="185"/>
      <c r="U188" s="185"/>
      <c r="V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184" t="str">
        <f>IFERROR(__xludf.DUMMYFUNCTION("ifna(IF(and(D189=""Saída"",J189=""Sangria""),if(sum(QUERY(IMPORTRANGE(""https://docs.google.com/spreadsheets/d/1E4szPcLzsqlw4uyBAoJ61L1ChCgpz4wVP8tHfHW1g_c"",""BD M Sangrias!a:i""),""select Col6 where Col7 = 'Depositada' and Col9 = '""&amp;K189&amp;""' and Col6 ="&amp;" ""&amp;M189&amp;"" and Col4 = date '""&amp;YEAR(C189)&amp;""-""&amp;MONTH(C189)&amp;""-""&amp;DAY(C189)&amp;""'""))&gt;0,""Depositada"",if(sum(QUERY(IMPORTRANGE(""https://docs.google.com/spreadsheets/d/1EcLIvUgMoBC5as4ikW0wuQsGH5yVZ6cQ1y16qEfgPnk"",""BD M Sangrias!a:i""),""select Col6 whe"&amp;"re Col7 = 'Caixa Atendimento' and Col9 = '""&amp;K189&amp;""' and Col6 = ""&amp;M189&amp;"" and Col4 = date '""&amp;YEAR(C189)&amp;""-""&amp;MONTH(C189)&amp;""-""&amp;DAY(C189)&amp;""'""))&gt;0,""Caixa Atendimento"",""Caixa Sangria"")),""""),""Caixa Sangria"")"),"")</f>
        <v/>
      </c>
      <c r="M189" s="185" t="str">
        <f>IFERROR(__xludf.DUMMYFUNCTION("ifna(VALUE(REGEXEXTRACT(E189,""[0-9.]+[,]+[0-9]+"")))"),"")</f>
        <v/>
      </c>
      <c r="N189" s="185"/>
      <c r="O189" s="185"/>
      <c r="P189" s="185"/>
      <c r="Q189" s="185"/>
      <c r="R189" s="185"/>
      <c r="S189" s="185"/>
      <c r="T189" s="185"/>
      <c r="U189" s="185"/>
      <c r="V189" s="185"/>
    </row>
    <row r="190" ht="14.25" customHeight="1">
      <c r="A190" s="178"/>
      <c r="B190" s="12"/>
      <c r="C190" s="13"/>
      <c r="D190" s="179"/>
      <c r="E190" s="180"/>
      <c r="F190" s="181"/>
      <c r="G190" s="179"/>
      <c r="H190" s="190"/>
      <c r="I190" s="190"/>
      <c r="J190" s="187"/>
      <c r="K190" s="187"/>
      <c r="L190" s="184" t="str">
        <f>IFERROR(__xludf.DUMMYFUNCTION("ifna(IF(and(D190=""Saída"",J190=""Sangria""),if(sum(QUERY(IMPORTRANGE(""https://docs.google.com/spreadsheets/d/1E4szPcLzsqlw4uyBAoJ61L1ChCgpz4wVP8tHfHW1g_c"",""BD M Sangrias!a:i""),""select Col6 where Col7 = 'Depositada' and Col9 = '""&amp;K190&amp;""' and Col6 ="&amp;" ""&amp;M190&amp;"" and Col4 = date '""&amp;YEAR(C190)&amp;""-""&amp;MONTH(C190)&amp;""-""&amp;DAY(C190)&amp;""'""))&gt;0,""Depositada"",if(sum(QUERY(IMPORTRANGE(""https://docs.google.com/spreadsheets/d/1EcLIvUgMoBC5as4ikW0wuQsGH5yVZ6cQ1y16qEfgPnk"",""BD M Sangrias!a:i""),""select Col6 whe"&amp;"re Col7 = 'Caixa Atendimento' and Col9 = '""&amp;K190&amp;""' and Col6 = ""&amp;M190&amp;"" and Col4 = date '""&amp;YEAR(C190)&amp;""-""&amp;MONTH(C190)&amp;""-""&amp;DAY(C190)&amp;""'""))&gt;0,""Caixa Atendimento"",""Caixa Sangria"")),""""),""Caixa Sangria"")"),"")</f>
        <v/>
      </c>
      <c r="M190" s="185" t="str">
        <f>IFERROR(__xludf.DUMMYFUNCTION("ifna(VALUE(REGEXEXTRACT(E190,""[0-9.]+[,]+[0-9]+"")))"),"")</f>
        <v/>
      </c>
      <c r="N190" s="185"/>
      <c r="O190" s="185"/>
      <c r="P190" s="185"/>
      <c r="Q190" s="185"/>
      <c r="R190" s="185"/>
      <c r="S190" s="185"/>
      <c r="T190" s="185"/>
      <c r="U190" s="185"/>
      <c r="V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233"/>
      <c r="K191" s="187"/>
      <c r="L191" s="184" t="str">
        <f>IFERROR(__xludf.DUMMYFUNCTION("ifna(IF(and(D191=""Saída"",J191=""Sangria""),if(sum(QUERY(IMPORTRANGE(""https://docs.google.com/spreadsheets/d/1E4szPcLzsqlw4uyBAoJ61L1ChCgpz4wVP8tHfHW1g_c"",""BD M Sangrias!a:i""),""select Col6 where Col7 = 'Depositada' and Col9 = '""&amp;K191&amp;""' and Col6 ="&amp;" ""&amp;M191&amp;"" and Col4 = date '""&amp;YEAR(C191)&amp;""-""&amp;MONTH(C191)&amp;""-""&amp;DAY(C191)&amp;""'""))&gt;0,""Depositada"",if(sum(QUERY(IMPORTRANGE(""https://docs.google.com/spreadsheets/d/1EcLIvUgMoBC5as4ikW0wuQsGH5yVZ6cQ1y16qEfgPnk"",""BD M Sangrias!a:i""),""select Col6 whe"&amp;"re Col7 = 'Caixa Atendimento' and Col9 = '""&amp;K191&amp;""' and Col6 = ""&amp;M191&amp;"" and Col4 = date '""&amp;YEAR(C191)&amp;""-""&amp;MONTH(C191)&amp;""-""&amp;DAY(C191)&amp;""'""))&gt;0,""Caixa Atendimento"",""Caixa Sangria"")),""""),""Caixa Sangria"")"),"")</f>
        <v/>
      </c>
      <c r="M191" s="185" t="str">
        <f>IFERROR(__xludf.DUMMYFUNCTION("ifna(VALUE(REGEXEXTRACT(E191,""[0-9.]+[,]+[0-9]+"")))"),"")</f>
        <v/>
      </c>
      <c r="N191" s="185"/>
      <c r="O191" s="185"/>
      <c r="P191" s="185"/>
      <c r="Q191" s="185"/>
      <c r="R191" s="185"/>
      <c r="S191" s="185"/>
      <c r="T191" s="185"/>
      <c r="U191" s="185"/>
      <c r="V191" s="185"/>
    </row>
    <row r="192" ht="14.25" customHeight="1">
      <c r="A192" s="178"/>
      <c r="B192" s="12"/>
      <c r="C192" s="13"/>
      <c r="D192" s="179"/>
      <c r="E192" s="180"/>
      <c r="F192" s="188"/>
      <c r="G192" s="179"/>
      <c r="H192" s="190"/>
      <c r="I192" s="190"/>
      <c r="J192" s="187"/>
      <c r="K192" s="187"/>
      <c r="L192" s="184" t="str">
        <f>IFERROR(__xludf.DUMMYFUNCTION("ifna(IF(and(D192=""Saída"",J192=""Sangria""),if(sum(QUERY(IMPORTRANGE(""https://docs.google.com/spreadsheets/d/1E4szPcLzsqlw4uyBAoJ61L1ChCgpz4wVP8tHfHW1g_c"",""BD M Sangrias!a:i""),""select Col6 where Col7 = 'Depositada' and Col9 = '""&amp;K192&amp;""' and Col6 ="&amp;" ""&amp;M192&amp;"" and Col4 = date '""&amp;YEAR(C192)&amp;""-""&amp;MONTH(C192)&amp;""-""&amp;DAY(C192)&amp;""'""))&gt;0,""Depositada"",if(sum(QUERY(IMPORTRANGE(""https://docs.google.com/spreadsheets/d/1EcLIvUgMoBC5as4ikW0wuQsGH5yVZ6cQ1y16qEfgPnk"",""BD M Sangrias!a:i""),""select Col6 whe"&amp;"re Col7 = 'Caixa Atendimento' and Col9 = '""&amp;K192&amp;""' and Col6 = ""&amp;M192&amp;"" and Col4 = date '""&amp;YEAR(C192)&amp;""-""&amp;MONTH(C192)&amp;""-""&amp;DAY(C192)&amp;""'""))&gt;0,""Caixa Atendimento"",""Caixa Sangria"")),""""),""Caixa Sangria"")"),"")</f>
        <v/>
      </c>
      <c r="M192" s="185" t="str">
        <f>IFERROR(__xludf.DUMMYFUNCTION("ifna(VALUE(REGEXEXTRACT(E192,""[0-9.]+[,]+[0-9]+"")))"),"")</f>
        <v/>
      </c>
      <c r="N192" s="185"/>
      <c r="O192" s="185"/>
      <c r="P192" s="185"/>
      <c r="Q192" s="185"/>
      <c r="R192" s="185"/>
      <c r="S192" s="185"/>
      <c r="T192" s="185"/>
      <c r="U192" s="185"/>
      <c r="V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184" t="str">
        <f>IFERROR(__xludf.DUMMYFUNCTION("ifna(IF(and(D193=""Saída"",J193=""Sangria""),if(sum(QUERY(IMPORTRANGE(""https://docs.google.com/spreadsheets/d/1E4szPcLzsqlw4uyBAoJ61L1ChCgpz4wVP8tHfHW1g_c"",""BD M Sangrias!a:i""),""select Col6 where Col7 = 'Depositada' and Col9 = '""&amp;K193&amp;""' and Col6 ="&amp;" ""&amp;M193&amp;"" and Col4 = date '""&amp;YEAR(C193)&amp;""-""&amp;MONTH(C193)&amp;""-""&amp;DAY(C193)&amp;""'""))&gt;0,""Depositada"",if(sum(QUERY(IMPORTRANGE(""https://docs.google.com/spreadsheets/d/1EcLIvUgMoBC5as4ikW0wuQsGH5yVZ6cQ1y16qEfgPnk"",""BD M Sangrias!a:i""),""select Col6 whe"&amp;"re Col7 = 'Caixa Atendimento' and Col9 = '""&amp;K193&amp;""' and Col6 = ""&amp;M193&amp;"" and Col4 = date '""&amp;YEAR(C193)&amp;""-""&amp;MONTH(C193)&amp;""-""&amp;DAY(C193)&amp;""'""))&gt;0,""Caixa Atendimento"",""Caixa Sangria"")),""""),""Caixa Sangria"")"),"")</f>
        <v/>
      </c>
      <c r="M193" s="185" t="str">
        <f>IFERROR(__xludf.DUMMYFUNCTION("ifna(VALUE(REGEXEXTRACT(E193,""[0-9.]+[,]+[0-9]+"")))"),"")</f>
        <v/>
      </c>
      <c r="N193" s="185"/>
      <c r="O193" s="185"/>
      <c r="P193" s="185"/>
      <c r="Q193" s="185"/>
      <c r="R193" s="185"/>
      <c r="S193" s="185"/>
      <c r="T193" s="185"/>
      <c r="U193" s="185"/>
      <c r="V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184" t="str">
        <f>IFERROR(__xludf.DUMMYFUNCTION("ifna(IF(and(D194=""Saída"",J194=""Sangria""),if(sum(QUERY(IMPORTRANGE(""https://docs.google.com/spreadsheets/d/1E4szPcLzsqlw4uyBAoJ61L1ChCgpz4wVP8tHfHW1g_c"",""BD M Sangrias!a:i""),""select Col6 where Col7 = 'Depositada' and Col9 = '""&amp;K194&amp;""' and Col6 ="&amp;" ""&amp;M194&amp;"" and Col4 = date '""&amp;YEAR(C194)&amp;""-""&amp;MONTH(C194)&amp;""-""&amp;DAY(C194)&amp;""'""))&gt;0,""Depositada"",if(sum(QUERY(IMPORTRANGE(""https://docs.google.com/spreadsheets/d/1EcLIvUgMoBC5as4ikW0wuQsGH5yVZ6cQ1y16qEfgPnk"",""BD M Sangrias!a:i""),""select Col6 whe"&amp;"re Col7 = 'Caixa Atendimento' and Col9 = '""&amp;K194&amp;""' and Col6 = ""&amp;M194&amp;"" and Col4 = date '""&amp;YEAR(C194)&amp;""-""&amp;MONTH(C194)&amp;""-""&amp;DAY(C194)&amp;""'""))&gt;0,""Caixa Atendimento"",""Caixa Sangria"")),""""),""Caixa Sangria"")"),"")</f>
        <v/>
      </c>
      <c r="M194" s="185" t="str">
        <f>IFERROR(__xludf.DUMMYFUNCTION("ifna(VALUE(REGEXEXTRACT(E194,""[0-9.]+[,]+[0-9]+"")))"),"")</f>
        <v/>
      </c>
      <c r="N194" s="185"/>
      <c r="O194" s="185"/>
      <c r="P194" s="185"/>
      <c r="Q194" s="185"/>
      <c r="R194" s="185"/>
      <c r="S194" s="185"/>
      <c r="T194" s="185"/>
      <c r="U194" s="185"/>
      <c r="V194" s="185"/>
    </row>
    <row r="195" ht="14.25" customHeight="1">
      <c r="A195" s="178"/>
      <c r="B195" s="12"/>
      <c r="C195" s="13"/>
      <c r="D195" s="179"/>
      <c r="E195" s="180"/>
      <c r="F195" s="188"/>
      <c r="G195" s="179"/>
      <c r="H195" s="190"/>
      <c r="I195" s="190"/>
      <c r="J195" s="187"/>
      <c r="K195" s="187"/>
      <c r="L195" s="184" t="str">
        <f>IFERROR(__xludf.DUMMYFUNCTION("ifna(IF(and(D195=""Saída"",J195=""Sangria""),if(sum(QUERY(IMPORTRANGE(""https://docs.google.com/spreadsheets/d/1E4szPcLzsqlw4uyBAoJ61L1ChCgpz4wVP8tHfHW1g_c"",""BD M Sangrias!a:i""),""select Col6 where Col7 = 'Depositada' and Col9 = '""&amp;K195&amp;""' and Col6 ="&amp;" ""&amp;M195&amp;"" and Col4 = date '""&amp;YEAR(C195)&amp;""-""&amp;MONTH(C195)&amp;""-""&amp;DAY(C195)&amp;""'""))&gt;0,""Depositada"",if(sum(QUERY(IMPORTRANGE(""https://docs.google.com/spreadsheets/d/1EcLIvUgMoBC5as4ikW0wuQsGH5yVZ6cQ1y16qEfgPnk"",""BD M Sangrias!a:i""),""select Col6 whe"&amp;"re Col7 = 'Caixa Atendimento' and Col9 = '""&amp;K195&amp;""' and Col6 = ""&amp;M195&amp;"" and Col4 = date '""&amp;YEAR(C195)&amp;""-""&amp;MONTH(C195)&amp;""-""&amp;DAY(C195)&amp;""'""))&gt;0,""Caixa Atendimento"",""Caixa Sangria"")),""""),""Caixa Sangria"")"),"")</f>
        <v/>
      </c>
      <c r="M195" s="185" t="str">
        <f>IFERROR(__xludf.DUMMYFUNCTION("ifna(VALUE(REGEXEXTRACT(E195,""[0-9.]+[,]+[0-9]+"")))"),"")</f>
        <v/>
      </c>
      <c r="N195" s="185"/>
      <c r="O195" s="185"/>
      <c r="P195" s="185"/>
      <c r="Q195" s="185"/>
      <c r="R195" s="185"/>
      <c r="S195" s="185"/>
      <c r="T195" s="185"/>
      <c r="U195" s="185"/>
      <c r="V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K196" s="187"/>
      <c r="L196" s="184" t="str">
        <f>IFERROR(__xludf.DUMMYFUNCTION("ifna(IF(and(D196=""Saída"",J197=""Sangria""),if(sum(QUERY(IMPORTRANGE(""https://docs.google.com/spreadsheets/d/1E4szPcLzsqlw4uyBAoJ61L1ChCgpz4wVP8tHfHW1g_c"",""BD M Sangrias!a:i""),""select Col6 where Col7 = 'Depositada' and Col9 = '""&amp;K196&amp;""' and Col6 ="&amp;" ""&amp;M196&amp;"" and Col4 = date '""&amp;YEAR(C196)&amp;""-""&amp;MONTH(C196)&amp;""-""&amp;DAY(C196)&amp;""'""))&gt;0,""Depositada"",if(sum(QUERY(IMPORTRANGE(""https://docs.google.com/spreadsheets/d/1EcLIvUgMoBC5as4ikW0wuQsGH5yVZ6cQ1y16qEfgPnk"",""BD M Sangrias!a:i""),""select Col6 whe"&amp;"re Col7 = 'Caixa Atendimento' and Col9 = '""&amp;K196&amp;""' and Col6 = ""&amp;M196&amp;"" and Col4 = date '""&amp;YEAR(C196)&amp;""-""&amp;MONTH(C196)&amp;""-""&amp;DAY(C196)&amp;""'""))&gt;0,""Caixa Atendimento"",""Caixa Sangria"")),""""),""Caixa Sangria"")"),"")</f>
        <v/>
      </c>
      <c r="M196" s="185" t="str">
        <f>IFERROR(__xludf.DUMMYFUNCTION("ifna(VALUE(REGEXEXTRACT(E196,""[0-9.]+[,]+[0-9]+"")))"),"")</f>
        <v/>
      </c>
      <c r="N196" s="185"/>
      <c r="O196" s="185"/>
      <c r="P196" s="185"/>
      <c r="Q196" s="185"/>
      <c r="R196" s="185"/>
      <c r="S196" s="185"/>
      <c r="T196" s="185"/>
      <c r="U196" s="185"/>
      <c r="V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184" t="str">
        <f>IFERROR(__xludf.DUMMYFUNCTION("ifna(IF(and(D197=""Saída"",J198=""Sangria""),if(sum(QUERY(IMPORTRANGE(""https://docs.google.com/spreadsheets/d/1E4szPcLzsqlw4uyBAoJ61L1ChCgpz4wVP8tHfHW1g_c"",""BD M Sangrias!a:i""),""select Col6 where Col7 = 'Depositada' and Col9 = '""&amp;K197&amp;""' and Col6 ="&amp;" ""&amp;M197&amp;"" and Col4 = date '""&amp;YEAR(C197)&amp;""-""&amp;MONTH(C197)&amp;""-""&amp;DAY(C197)&amp;""'""))&gt;0,""Depositada"",if(sum(QUERY(IMPORTRANGE(""https://docs.google.com/spreadsheets/d/1EcLIvUgMoBC5as4ikW0wuQsGH5yVZ6cQ1y16qEfgPnk"",""BD M Sangrias!a:i""),""select Col6 whe"&amp;"re Col7 = 'Caixa Atendimento' and Col9 = '""&amp;K197&amp;""' and Col6 = ""&amp;M197&amp;"" and Col4 = date '""&amp;YEAR(C197)&amp;""-""&amp;MONTH(C197)&amp;""-""&amp;DAY(C197)&amp;""'""))&gt;0,""Caixa Atendimento"",""Caixa Sangria"")),""""),""Caixa Sangria"")"),"")</f>
        <v/>
      </c>
      <c r="M197" s="185" t="str">
        <f>IFERROR(__xludf.DUMMYFUNCTION("ifna(VALUE(REGEXEXTRACT(E197,""[0-9.]+[,]+[0-9]+"")))"),"")</f>
        <v/>
      </c>
      <c r="N197" s="185"/>
      <c r="O197" s="185"/>
      <c r="P197" s="185"/>
      <c r="Q197" s="185"/>
      <c r="R197" s="185"/>
      <c r="S197" s="185"/>
      <c r="T197" s="185"/>
      <c r="U197" s="185"/>
      <c r="V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184"/>
      <c r="M198" s="185" t="str">
        <f>IFERROR(__xludf.DUMMYFUNCTION("ifna(VALUE(REGEXEXTRACT(E198,""[0-9.]+[,]+[0-9]+"")))"),"")</f>
        <v/>
      </c>
      <c r="N198" s="185"/>
      <c r="O198" s="185"/>
      <c r="P198" s="185"/>
      <c r="Q198" s="185"/>
      <c r="R198" s="185"/>
      <c r="S198" s="185"/>
      <c r="T198" s="185"/>
      <c r="U198" s="185"/>
      <c r="V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184" t="str">
        <f>IFERROR(__xludf.DUMMYFUNCTION("ifna(IF(and(D199=""Saída"",J199=""Sangria""),if(sum(QUERY(IMPORTRANGE(""https://docs.google.com/spreadsheets/d/1E4szPcLzsqlw4uyBAoJ61L1ChCgpz4wVP8tHfHW1g_c"",""BD M Sangrias!a:i""),""select Col6 where Col7 = 'Depositada' and Col9 = '""&amp;K199&amp;""' and Col6 ="&amp;" ""&amp;M199&amp;"" and Col4 = date '""&amp;YEAR(C199)&amp;""-""&amp;MONTH(C199)&amp;""-""&amp;DAY(C199)&amp;""'""))&gt;0,""Depositada"",if(sum(QUERY(IMPORTRANGE(""https://docs.google.com/spreadsheets/d/1EcLIvUgMoBC5as4ikW0wuQsGH5yVZ6cQ1y16qEfgPnk"",""BD M Sangrias!a:i""),""select Col6 whe"&amp;"re Col7 = 'Caixa Atendimento' and Col9 = '""&amp;K199&amp;""' and Col6 = ""&amp;M199&amp;"" and Col4 = date '""&amp;YEAR(C199)&amp;""-""&amp;MONTH(C199)&amp;""-""&amp;DAY(C199)&amp;""'""))&gt;0,""Caixa Atendimento"",""Caixa Sangria"")),""""),""Caixa Sangria"")"),"")</f>
        <v/>
      </c>
      <c r="M199" s="185" t="str">
        <f>IFERROR(__xludf.DUMMYFUNCTION("ifna(VALUE(REGEXEXTRACT(E199,""[0-9.]+[,]+[0-9]+"")))"),"")</f>
        <v/>
      </c>
      <c r="N199" s="185"/>
      <c r="O199" s="185"/>
      <c r="P199" s="185"/>
      <c r="Q199" s="185"/>
      <c r="R199" s="185"/>
      <c r="S199" s="185"/>
      <c r="T199" s="185"/>
      <c r="U199" s="185"/>
      <c r="V199" s="185"/>
    </row>
    <row r="200" ht="14.25" customHeight="1">
      <c r="A200" s="178"/>
      <c r="B200" s="12"/>
      <c r="C200" s="13"/>
      <c r="D200" s="179"/>
      <c r="E200" s="180"/>
      <c r="F200" s="181"/>
      <c r="G200" s="179"/>
      <c r="H200" s="190"/>
      <c r="I200" s="190"/>
      <c r="J200" s="187"/>
      <c r="K200" s="187"/>
      <c r="L200" s="184" t="str">
        <f>IFERROR(__xludf.DUMMYFUNCTION("ifna(IF(and(D200=""Saída"",J200=""Sangria""),if(sum(QUERY(IMPORTRANGE(""https://docs.google.com/spreadsheets/d/1E4szPcLzsqlw4uyBAoJ61L1ChCgpz4wVP8tHfHW1g_c"",""BD M Sangrias!a:i""),""select Col6 where Col7 = 'Depositada' and Col9 = '""&amp;K200&amp;""' and Col6 ="&amp;" ""&amp;M200&amp;"" and Col4 = date '""&amp;YEAR(C200)&amp;""-""&amp;MONTH(C200)&amp;""-""&amp;DAY(C200)&amp;""'""))&gt;0,""Depositada"",if(sum(QUERY(IMPORTRANGE(""https://docs.google.com/spreadsheets/d/1EcLIvUgMoBC5as4ikW0wuQsGH5yVZ6cQ1y16qEfgPnk"",""BD M Sangrias!a:i""),""select Col6 whe"&amp;"re Col7 = 'Caixa Atendimento' and Col9 = '""&amp;K200&amp;""' and Col6 = ""&amp;M200&amp;"" and Col4 = date '""&amp;YEAR(C200)&amp;""-""&amp;MONTH(C200)&amp;""-""&amp;DAY(C200)&amp;""'""))&gt;0,""Caixa Atendimento"",""Caixa Sangria"")),""""),""Caixa Sangria"")"),"")</f>
        <v/>
      </c>
      <c r="M200" s="185" t="str">
        <f>IFERROR(__xludf.DUMMYFUNCTION("ifna(VALUE(REGEXEXTRACT(E200,""[0-9.]+[,]+[0-9]+"")))"),"")</f>
        <v/>
      </c>
      <c r="N200" s="185"/>
      <c r="O200" s="185"/>
      <c r="P200" s="185"/>
      <c r="Q200" s="185"/>
      <c r="R200" s="185"/>
      <c r="S200" s="185"/>
      <c r="T200" s="185"/>
      <c r="U200" s="185"/>
      <c r="V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184" t="str">
        <f>IFERROR(__xludf.DUMMYFUNCTION("ifna(IF(and(D201=""Saída"",J201=""Sangria""),if(sum(QUERY(IMPORTRANGE(""https://docs.google.com/spreadsheets/d/1E4szPcLzsqlw4uyBAoJ61L1ChCgpz4wVP8tHfHW1g_c"",""BD M Sangrias!a:i""),""select Col6 where Col7 = 'Depositada' and Col9 = '""&amp;K201&amp;""' and Col6 ="&amp;" ""&amp;M201&amp;"" and Col4 = date '""&amp;YEAR(C201)&amp;""-""&amp;MONTH(C201)&amp;""-""&amp;DAY(C201)&amp;""'""))&gt;0,""Depositada"",if(sum(QUERY(IMPORTRANGE(""https://docs.google.com/spreadsheets/d/1EcLIvUgMoBC5as4ikW0wuQsGH5yVZ6cQ1y16qEfgPnk"",""BD M Sangrias!a:i""),""select Col6 whe"&amp;"re Col7 = 'Caixa Atendimento' and Col9 = '""&amp;K201&amp;""' and Col6 = ""&amp;M201&amp;"" and Col4 = date '""&amp;YEAR(C201)&amp;""-""&amp;MONTH(C201)&amp;""-""&amp;DAY(C201)&amp;""'""))&gt;0,""Caixa Atendimento"",""Caixa Sangria"")),""""),""Caixa Sangria"")"),"")</f>
        <v/>
      </c>
      <c r="M201" s="185" t="str">
        <f>IFERROR(__xludf.DUMMYFUNCTION("ifna(VALUE(REGEXEXTRACT(E201,""[0-9.]+[,]+[0-9]+"")))"),"")</f>
        <v/>
      </c>
      <c r="N201" s="185"/>
      <c r="O201" s="185"/>
      <c r="P201" s="185"/>
      <c r="Q201" s="185"/>
      <c r="R201" s="185"/>
      <c r="S201" s="185"/>
      <c r="T201" s="185"/>
      <c r="U201" s="185"/>
      <c r="V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184" t="str">
        <f>IFERROR(__xludf.DUMMYFUNCTION("ifna(IF(and(D202=""Saída"",J202=""Sangria""),if(sum(QUERY(IMPORTRANGE(""https://docs.google.com/spreadsheets/d/1E4szPcLzsqlw4uyBAoJ61L1ChCgpz4wVP8tHfHW1g_c"",""BD M Sangrias!a:i""),""select Col6 where Col7 = 'Depositada' and Col9 = '""&amp;K202&amp;""' and Col6 ="&amp;" ""&amp;M202&amp;"" and Col4 = date '""&amp;YEAR(C202)&amp;""-""&amp;MONTH(C202)&amp;""-""&amp;DAY(C202)&amp;""'""))&gt;0,""Depositada"",if(sum(QUERY(IMPORTRANGE(""https://docs.google.com/spreadsheets/d/1EcLIvUgMoBC5as4ikW0wuQsGH5yVZ6cQ1y16qEfgPnk"",""BD M Sangrias!a:i""),""select Col6 whe"&amp;"re Col7 = 'Caixa Atendimento' and Col9 = '""&amp;K202&amp;""' and Col6 = ""&amp;M202&amp;"" and Col4 = date '""&amp;YEAR(C202)&amp;""-""&amp;MONTH(C202)&amp;""-""&amp;DAY(C202)&amp;""'""))&gt;0,""Caixa Atendimento"",""Caixa Sangria"")),""""),""Caixa Sangria"")"),"")</f>
        <v/>
      </c>
      <c r="M202" s="185" t="str">
        <f>IFERROR(__xludf.DUMMYFUNCTION("ifna(VALUE(REGEXEXTRACT(E202,""[0-9.]+[,]+[0-9]+"")))"),"")</f>
        <v/>
      </c>
      <c r="N202" s="185"/>
      <c r="O202" s="185"/>
      <c r="P202" s="185"/>
      <c r="Q202" s="185"/>
      <c r="R202" s="185"/>
      <c r="S202" s="185"/>
      <c r="T202" s="185"/>
      <c r="U202" s="185"/>
      <c r="V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184" t="str">
        <f>IFERROR(__xludf.DUMMYFUNCTION("ifna(IF(and(D203=""Saída"",J203=""Sangria""),if(sum(QUERY(IMPORTRANGE(""https://docs.google.com/spreadsheets/d/1E4szPcLzsqlw4uyBAoJ61L1ChCgpz4wVP8tHfHW1g_c"",""BD M Sangrias!a:i""),""select Col6 where Col7 = 'Depositada' and Col9 = '""&amp;K203&amp;""' and Col6 ="&amp;" ""&amp;M203&amp;"" and Col4 = date '""&amp;YEAR(C203)&amp;""-""&amp;MONTH(C203)&amp;""-""&amp;DAY(C203)&amp;""'""))&gt;0,""Depositada"",if(sum(QUERY(IMPORTRANGE(""https://docs.google.com/spreadsheets/d/1EcLIvUgMoBC5as4ikW0wuQsGH5yVZ6cQ1y16qEfgPnk"",""BD M Sangrias!a:i""),""select Col6 whe"&amp;"re Col7 = 'Caixa Atendimento' and Col9 = '""&amp;K203&amp;""' and Col6 = ""&amp;M203&amp;"" and Col4 = date '""&amp;YEAR(C203)&amp;""-""&amp;MONTH(C203)&amp;""-""&amp;DAY(C203)&amp;""'""))&gt;0,""Caixa Atendimento"",""Caixa Sangria"")),""""),""Caixa Sangria"")"),"")</f>
        <v/>
      </c>
      <c r="M203" s="185" t="str">
        <f>IFERROR(__xludf.DUMMYFUNCTION("ifna(VALUE(REGEXEXTRACT(E203,""[0-9.]+[,]+[0-9]+"")))"),"")</f>
        <v/>
      </c>
      <c r="N203" s="185"/>
      <c r="O203" s="185"/>
      <c r="P203" s="185"/>
      <c r="Q203" s="185"/>
      <c r="R203" s="185"/>
      <c r="S203" s="185"/>
      <c r="T203" s="185"/>
      <c r="U203" s="185"/>
      <c r="V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184" t="str">
        <f>IFERROR(__xludf.DUMMYFUNCTION("ifna(IF(and(D204=""Saída"",J204=""Sangria""),if(sum(QUERY(IMPORTRANGE(""https://docs.google.com/spreadsheets/d/1E4szPcLzsqlw4uyBAoJ61L1ChCgpz4wVP8tHfHW1g_c"",""BD M Sangrias!a:i""),""select Col6 where Col7 = 'Depositada' and Col9 = '""&amp;K204&amp;""' and Col6 ="&amp;" ""&amp;M204&amp;"" and Col4 = date '""&amp;YEAR(C204)&amp;""-""&amp;MONTH(C204)&amp;""-""&amp;DAY(C204)&amp;""'""))&gt;0,""Depositada"",if(sum(QUERY(IMPORTRANGE(""https://docs.google.com/spreadsheets/d/1EcLIvUgMoBC5as4ikW0wuQsGH5yVZ6cQ1y16qEfgPnk"",""BD M Sangrias!a:i""),""select Col6 whe"&amp;"re Col7 = 'Caixa Atendimento' and Col9 = '""&amp;K204&amp;""' and Col6 = ""&amp;M204&amp;"" and Col4 = date '""&amp;YEAR(C204)&amp;""-""&amp;MONTH(C204)&amp;""-""&amp;DAY(C204)&amp;""'""))&gt;0,""Caixa Atendimento"",""Caixa Sangria"")),""""),""Caixa Sangria"")"),"")</f>
        <v/>
      </c>
      <c r="M204" s="185" t="str">
        <f>IFERROR(__xludf.DUMMYFUNCTION("ifna(VALUE(REGEXEXTRACT(E204,""[0-9.]+[,]+[0-9]+"")))"),"")</f>
        <v/>
      </c>
      <c r="N204" s="185"/>
      <c r="O204" s="185"/>
      <c r="P204" s="185"/>
      <c r="Q204" s="185"/>
      <c r="R204" s="185"/>
      <c r="S204" s="185"/>
      <c r="T204" s="185"/>
      <c r="U204" s="185"/>
      <c r="V204" s="185"/>
    </row>
    <row r="205" ht="14.25" customHeight="1">
      <c r="A205" s="178"/>
      <c r="B205" s="12"/>
      <c r="C205" s="13"/>
      <c r="D205" s="179"/>
      <c r="E205" s="180"/>
      <c r="F205" s="188"/>
      <c r="G205" s="179"/>
      <c r="H205" s="190"/>
      <c r="I205" s="190"/>
      <c r="J205" s="187"/>
      <c r="K205" s="187"/>
      <c r="L205" s="184" t="str">
        <f>IFERROR(__xludf.DUMMYFUNCTION("ifna(IF(and(D205=""Saída"",J205=""Sangria""),if(sum(QUERY(IMPORTRANGE(""https://docs.google.com/spreadsheets/d/1E4szPcLzsqlw4uyBAoJ61L1ChCgpz4wVP8tHfHW1g_c"",""BD M Sangrias!a:i""),""select Col6 where Col7 = 'Depositada' and Col9 = '""&amp;K205&amp;""' and Col6 ="&amp;" ""&amp;M205&amp;"" and Col4 = date '""&amp;YEAR(C205)&amp;""-""&amp;MONTH(C205)&amp;""-""&amp;DAY(C205)&amp;""'""))&gt;0,""Depositada"",if(sum(QUERY(IMPORTRANGE(""https://docs.google.com/spreadsheets/d/1EcLIvUgMoBC5as4ikW0wuQsGH5yVZ6cQ1y16qEfgPnk"",""BD M Sangrias!a:i""),""select Col6 whe"&amp;"re Col7 = 'Caixa Atendimento' and Col9 = '""&amp;K205&amp;""' and Col6 = ""&amp;M205&amp;"" and Col4 = date '""&amp;YEAR(C205)&amp;""-""&amp;MONTH(C205)&amp;""-""&amp;DAY(C205)&amp;""'""))&gt;0,""Caixa Atendimento"",""Caixa Sangria"")),""""),""Caixa Sangria"")"),"")</f>
        <v/>
      </c>
      <c r="M205" s="185" t="str">
        <f>IFERROR(__xludf.DUMMYFUNCTION("ifna(VALUE(REGEXEXTRACT(E205,""[0-9.]+[,]+[0-9]+"")))"),"")</f>
        <v/>
      </c>
      <c r="N205" s="185"/>
      <c r="O205" s="185"/>
      <c r="P205" s="185"/>
      <c r="Q205" s="185"/>
      <c r="R205" s="185"/>
      <c r="S205" s="185"/>
      <c r="T205" s="185"/>
      <c r="U205" s="185"/>
      <c r="V205" s="185"/>
    </row>
    <row r="206" ht="14.25" customHeight="1">
      <c r="A206" s="178"/>
      <c r="B206" s="12"/>
      <c r="C206" s="13"/>
      <c r="D206" s="179"/>
      <c r="E206" s="180"/>
      <c r="F206" s="181"/>
      <c r="G206" s="179"/>
      <c r="H206" s="190"/>
      <c r="I206" s="190"/>
      <c r="J206" s="187"/>
      <c r="K206" s="187"/>
      <c r="L206" s="184" t="str">
        <f>IFERROR(__xludf.DUMMYFUNCTION("ifna(IF(and(D206=""Saída"",J206=""Sangria""),if(sum(QUERY(IMPORTRANGE(""https://docs.google.com/spreadsheets/d/1E4szPcLzsqlw4uyBAoJ61L1ChCgpz4wVP8tHfHW1g_c"",""BD M Sangrias!a:i""),""select Col6 where Col7 = 'Depositada' and Col9 = '""&amp;K206&amp;""' and Col6 ="&amp;" ""&amp;M206&amp;"" and Col4 = date '""&amp;YEAR(C206)&amp;""-""&amp;MONTH(C206)&amp;""-""&amp;DAY(C206)&amp;""'""))&gt;0,""Depositada"",if(sum(QUERY(IMPORTRANGE(""https://docs.google.com/spreadsheets/d/1EcLIvUgMoBC5as4ikW0wuQsGH5yVZ6cQ1y16qEfgPnk"",""BD M Sangrias!a:i""),""select Col6 whe"&amp;"re Col7 = 'Caixa Atendimento' and Col9 = '""&amp;K206&amp;""' and Col6 = ""&amp;M206&amp;"" and Col4 = date '""&amp;YEAR(C206)&amp;""-""&amp;MONTH(C206)&amp;""-""&amp;DAY(C206)&amp;""'""))&gt;0,""Caixa Atendimento"",""Caixa Sangria"")),""""),""Caixa Sangria"")"),"")</f>
        <v/>
      </c>
      <c r="M206" s="185" t="str">
        <f>IFERROR(__xludf.DUMMYFUNCTION("ifna(VALUE(REGEXEXTRACT(E206,""[0-9.]+[,]+[0-9]+"")))"),"")</f>
        <v/>
      </c>
      <c r="N206" s="185"/>
      <c r="O206" s="185"/>
      <c r="P206" s="185"/>
      <c r="Q206" s="185"/>
      <c r="R206" s="185"/>
      <c r="S206" s="185"/>
      <c r="T206" s="185"/>
      <c r="U206" s="185"/>
      <c r="V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184" t="str">
        <f>IFERROR(__xludf.DUMMYFUNCTION("ifna(IF(and(D207=""Saída"",J207=""Sangria""),if(sum(QUERY(IMPORTRANGE(""https://docs.google.com/spreadsheets/d/1E4szPcLzsqlw4uyBAoJ61L1ChCgpz4wVP8tHfHW1g_c"",""BD M Sangrias!a:i""),""select Col6 where Col7 = 'Depositada' and Col9 = '""&amp;K207&amp;""' and Col6 ="&amp;" ""&amp;M207&amp;"" and Col4 = date '""&amp;YEAR(C207)&amp;""-""&amp;MONTH(C207)&amp;""-""&amp;DAY(C207)&amp;""'""))&gt;0,""Depositada"",if(sum(QUERY(IMPORTRANGE(""https://docs.google.com/spreadsheets/d/1EcLIvUgMoBC5as4ikW0wuQsGH5yVZ6cQ1y16qEfgPnk"",""BD M Sangrias!a:i""),""select Col6 whe"&amp;"re Col7 = 'Caixa Atendimento' and Col9 = '""&amp;K207&amp;""' and Col6 = ""&amp;M207&amp;"" and Col4 = date '""&amp;YEAR(C207)&amp;""-""&amp;MONTH(C207)&amp;""-""&amp;DAY(C207)&amp;""'""))&gt;0,""Caixa Atendimento"",""Caixa Sangria"")),""""),""Caixa Sangria"")"),"")</f>
        <v/>
      </c>
      <c r="M207" s="185" t="str">
        <f>IFERROR(__xludf.DUMMYFUNCTION("ifna(VALUE(REGEXEXTRACT(E207,""[0-9.]+[,]+[0-9]+"")))"),"")</f>
        <v/>
      </c>
      <c r="N207" s="185"/>
      <c r="O207" s="185"/>
      <c r="P207" s="185"/>
      <c r="Q207" s="185"/>
      <c r="R207" s="185"/>
      <c r="S207" s="185"/>
      <c r="T207" s="185"/>
      <c r="U207" s="185"/>
      <c r="V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184"/>
      <c r="M208" s="185" t="str">
        <f>IFERROR(__xludf.DUMMYFUNCTION("ifna(VALUE(REGEXEXTRACT(E208,""[0-9.]+[,]+[0-9]+"")))"),"")</f>
        <v/>
      </c>
      <c r="N208" s="185"/>
      <c r="O208" s="185"/>
      <c r="P208" s="185"/>
      <c r="Q208" s="185"/>
      <c r="R208" s="185"/>
      <c r="S208" s="185"/>
      <c r="T208" s="185"/>
      <c r="U208" s="185"/>
      <c r="V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184" t="str">
        <f>IFERROR(__xludf.DUMMYFUNCTION("ifna(IF(and(D209=""Saída"",J208=""Sangria""),if(sum(QUERY(IMPORTRANGE(""https://docs.google.com/spreadsheets/d/1E4szPcLzsqlw4uyBAoJ61L1ChCgpz4wVP8tHfHW1g_c"",""BD M Sangrias!a:i""),""select Col6 where Col7 = 'Depositada' and Col9 = '""&amp;K209&amp;""' and Col6 ="&amp;" ""&amp;M209&amp;"" and Col4 = date '""&amp;YEAR(C209)&amp;""-""&amp;MONTH(C209)&amp;""-""&amp;DAY(C209)&amp;""'""))&gt;0,""Depositada"",if(sum(QUERY(IMPORTRANGE(""https://docs.google.com/spreadsheets/d/1EcLIvUgMoBC5as4ikW0wuQsGH5yVZ6cQ1y16qEfgPnk"",""BD M Sangrias!a:i""),""select Col6 whe"&amp;"re Col7 = 'Caixa Atendimento' and Col9 = '""&amp;K209&amp;""' and Col6 = ""&amp;M209&amp;"" and Col4 = date '""&amp;YEAR(C209)&amp;""-""&amp;MONTH(C209)&amp;""-""&amp;DAY(C209)&amp;""'""))&gt;0,""Caixa Atendimento"",""Caixa Sangria"")),""""),""Caixa Sangria"")"),"")</f>
        <v/>
      </c>
      <c r="M209" s="185" t="str">
        <f>IFERROR(__xludf.DUMMYFUNCTION("ifna(VALUE(REGEXEXTRACT(E209,""[0-9.]+[,]+[0-9]+"")))"),"")</f>
        <v/>
      </c>
      <c r="N209" s="185"/>
      <c r="O209" s="185"/>
      <c r="P209" s="185"/>
      <c r="Q209" s="185"/>
      <c r="R209" s="185"/>
      <c r="S209" s="185"/>
      <c r="T209" s="185"/>
      <c r="U209" s="185"/>
      <c r="V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184" t="str">
        <f>IFERROR(__xludf.DUMMYFUNCTION("ifna(IF(and(D210=""Saída"",J210=""Sangria""),if(sum(QUERY(IMPORTRANGE(""https://docs.google.com/spreadsheets/d/1E4szPcLzsqlw4uyBAoJ61L1ChCgpz4wVP8tHfHW1g_c"",""BD M Sangrias!a:i""),""select Col6 where Col7 = 'Depositada' and Col9 = '""&amp;K210&amp;""' and Col6 ="&amp;" ""&amp;M210&amp;"" and Col4 = date '""&amp;YEAR(C210)&amp;""-""&amp;MONTH(C210)&amp;""-""&amp;DAY(C210)&amp;""'""))&gt;0,""Depositada"",if(sum(QUERY(IMPORTRANGE(""https://docs.google.com/spreadsheets/d/1EcLIvUgMoBC5as4ikW0wuQsGH5yVZ6cQ1y16qEfgPnk"",""BD M Sangrias!a:i""),""select Col6 whe"&amp;"re Col7 = 'Caixa Atendimento' and Col9 = '""&amp;K210&amp;""' and Col6 = ""&amp;M210&amp;"" and Col4 = date '""&amp;YEAR(C210)&amp;""-""&amp;MONTH(C210)&amp;""-""&amp;DAY(C210)&amp;""'""))&gt;0,""Caixa Atendimento"",""Caixa Sangria"")),""""),""Caixa Sangria"")"),"")</f>
        <v/>
      </c>
      <c r="M210" s="185" t="str">
        <f>IFERROR(__xludf.DUMMYFUNCTION("ifna(VALUE(REGEXEXTRACT(E210,""[0-9.]+[,]+[0-9]+"")))"),"")</f>
        <v/>
      </c>
      <c r="N210" s="185"/>
      <c r="O210" s="185"/>
      <c r="P210" s="185"/>
      <c r="Q210" s="185"/>
      <c r="R210" s="185"/>
      <c r="S210" s="185"/>
      <c r="T210" s="185"/>
      <c r="U210" s="185"/>
      <c r="V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184" t="str">
        <f>IFERROR(__xludf.DUMMYFUNCTION("ifna(IF(and(D211=""Saída"",J211=""Sangria""),if(sum(QUERY(IMPORTRANGE(""https://docs.google.com/spreadsheets/d/1E4szPcLzsqlw4uyBAoJ61L1ChCgpz4wVP8tHfHW1g_c"",""BD M Sangrias!a:i""),""select Col6 where Col7 = 'Depositada' and Col9 = '""&amp;K211&amp;""' and Col6 ="&amp;" ""&amp;M211&amp;"" and Col4 = date '""&amp;YEAR(C211)&amp;""-""&amp;MONTH(C211)&amp;""-""&amp;DAY(C211)&amp;""'""))&gt;0,""Depositada"",if(sum(QUERY(IMPORTRANGE(""https://docs.google.com/spreadsheets/d/1EcLIvUgMoBC5as4ikW0wuQsGH5yVZ6cQ1y16qEfgPnk"",""BD M Sangrias!a:i""),""select Col6 whe"&amp;"re Col7 = 'Caixa Atendimento' and Col9 = '""&amp;K211&amp;""' and Col6 = ""&amp;M211&amp;"" and Col4 = date '""&amp;YEAR(C211)&amp;""-""&amp;MONTH(C211)&amp;""-""&amp;DAY(C211)&amp;""'""))&gt;0,""Caixa Atendimento"",""Caixa Sangria"")),""""),""Caixa Sangria"")"),"")</f>
        <v/>
      </c>
      <c r="M211" s="185" t="str">
        <f>IFERROR(__xludf.DUMMYFUNCTION("ifna(VALUE(REGEXEXTRACT(E211,""[0-9.]+[,]+[0-9]+"")))"),"")</f>
        <v/>
      </c>
      <c r="N211" s="185"/>
      <c r="O211" s="185"/>
      <c r="P211" s="185"/>
      <c r="Q211" s="185"/>
      <c r="R211" s="185"/>
      <c r="S211" s="185"/>
      <c r="T211" s="185"/>
      <c r="U211" s="185"/>
      <c r="V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184" t="str">
        <f>IFERROR(__xludf.DUMMYFUNCTION("ifna(IF(and(D212=""Saída"",J212=""Sangria""),if(sum(QUERY(IMPORTRANGE(""https://docs.google.com/spreadsheets/d/1E4szPcLzsqlw4uyBAoJ61L1ChCgpz4wVP8tHfHW1g_c"",""BD M Sangrias!a:i""),""select Col6 where Col7 = 'Depositada' and Col9 = '""&amp;K212&amp;""' and Col6 ="&amp;" ""&amp;M212&amp;"" and Col4 = date '""&amp;YEAR(C212)&amp;""-""&amp;MONTH(C212)&amp;""-""&amp;DAY(C212)&amp;""'""))&gt;0,""Depositada"",if(sum(QUERY(IMPORTRANGE(""https://docs.google.com/spreadsheets/d/1EcLIvUgMoBC5as4ikW0wuQsGH5yVZ6cQ1y16qEfgPnk"",""BD M Sangrias!a:i""),""select Col6 whe"&amp;"re Col7 = 'Caixa Atendimento' and Col9 = '""&amp;K212&amp;""' and Col6 = ""&amp;M212&amp;"" and Col4 = date '""&amp;YEAR(C212)&amp;""-""&amp;MONTH(C212)&amp;""-""&amp;DAY(C212)&amp;""'""))&gt;0,""Caixa Atendimento"",""Caixa Sangria"")),""""),""Caixa Sangria"")"),"")</f>
        <v/>
      </c>
      <c r="M212" s="185" t="str">
        <f>IFERROR(__xludf.DUMMYFUNCTION("ifna(VALUE(REGEXEXTRACT(E212,""[0-9.]+[,]+[0-9]+"")))"),"")</f>
        <v/>
      </c>
      <c r="N212" s="185"/>
      <c r="O212" s="185"/>
      <c r="P212" s="185"/>
      <c r="Q212" s="185"/>
      <c r="R212" s="185"/>
      <c r="S212" s="185"/>
      <c r="T212" s="185"/>
      <c r="U212" s="185"/>
      <c r="V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184" t="str">
        <f>IFERROR(__xludf.DUMMYFUNCTION("ifna(IF(and(D213=""Saída"",J213=""Sangria""),if(sum(QUERY(IMPORTRANGE(""https://docs.google.com/spreadsheets/d/1E4szPcLzsqlw4uyBAoJ61L1ChCgpz4wVP8tHfHW1g_c"",""BD M Sangrias!a:i""),""select Col6 where Col7 = 'Depositada' and Col9 = '""&amp;K213&amp;""' and Col6 ="&amp;" ""&amp;M213&amp;"" and Col4 = date '""&amp;YEAR(C213)&amp;""-""&amp;MONTH(C213)&amp;""-""&amp;DAY(C213)&amp;""'""))&gt;0,""Depositada"",if(sum(QUERY(IMPORTRANGE(""https://docs.google.com/spreadsheets/d/1EcLIvUgMoBC5as4ikW0wuQsGH5yVZ6cQ1y16qEfgPnk"",""BD M Sangrias!a:i""),""select Col6 whe"&amp;"re Col7 = 'Caixa Atendimento' and Col9 = '""&amp;K213&amp;""' and Col6 = ""&amp;M213&amp;"" and Col4 = date '""&amp;YEAR(C213)&amp;""-""&amp;MONTH(C213)&amp;""-""&amp;DAY(C213)&amp;""'""))&gt;0,""Caixa Atendimento"",""Caixa Sangria"")),""""),""Caixa Sangria"")"),"")</f>
        <v/>
      </c>
      <c r="M213" s="185" t="str">
        <f>IFERROR(__xludf.DUMMYFUNCTION("ifna(VALUE(REGEXEXTRACT(E213,""[0-9.]+[,]+[0-9]+"")))"),"")</f>
        <v/>
      </c>
      <c r="N213" s="185"/>
      <c r="O213" s="185"/>
      <c r="P213" s="185"/>
      <c r="Q213" s="185"/>
      <c r="R213" s="185"/>
      <c r="S213" s="185"/>
      <c r="T213" s="185"/>
      <c r="U213" s="185"/>
      <c r="V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184" t="str">
        <f>IFERROR(__xludf.DUMMYFUNCTION("ifna(IF(and(D214=""Saída"",J214=""Sangria""),if(sum(QUERY(IMPORTRANGE(""https://docs.google.com/spreadsheets/d/1E4szPcLzsqlw4uyBAoJ61L1ChCgpz4wVP8tHfHW1g_c"",""BD M Sangrias!a:i""),""select Col6 where Col7 = 'Depositada' and Col9 = '""&amp;K214&amp;""' and Col6 ="&amp;" ""&amp;M214&amp;"" and Col4 = date '""&amp;YEAR(C214)&amp;""-""&amp;MONTH(C214)&amp;""-""&amp;DAY(C214)&amp;""'""))&gt;0,""Depositada"",if(sum(QUERY(IMPORTRANGE(""https://docs.google.com/spreadsheets/d/1EcLIvUgMoBC5as4ikW0wuQsGH5yVZ6cQ1y16qEfgPnk"",""BD M Sangrias!a:i""),""select Col6 whe"&amp;"re Col7 = 'Caixa Atendimento' and Col9 = '""&amp;K214&amp;""' and Col6 = ""&amp;M214&amp;"" and Col4 = date '""&amp;YEAR(C214)&amp;""-""&amp;MONTH(C214)&amp;""-""&amp;DAY(C214)&amp;""'""))&gt;0,""Caixa Atendimento"",""Caixa Sangria"")),""""),""Caixa Sangria"")"),"")</f>
        <v/>
      </c>
      <c r="M214" s="185" t="str">
        <f>IFERROR(__xludf.DUMMYFUNCTION("ifna(VALUE(REGEXEXTRACT(#REF!,""[0-9.]+[,]+[0-9]+"")))"),"#REF!")</f>
        <v>#REF!</v>
      </c>
      <c r="N214" s="185"/>
      <c r="O214" s="185"/>
      <c r="P214" s="185"/>
      <c r="Q214" s="185"/>
      <c r="R214" s="185"/>
      <c r="S214" s="185"/>
      <c r="T214" s="185"/>
      <c r="U214" s="185"/>
      <c r="V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184" t="str">
        <f>IFERROR(__xludf.DUMMYFUNCTION("ifna(IF(and(D215=""Saída"",J215=""Sangria""),if(sum(QUERY(IMPORTRANGE(""https://docs.google.com/spreadsheets/d/1E4szPcLzsqlw4uyBAoJ61L1ChCgpz4wVP8tHfHW1g_c"",""BD M Sangrias!a:i""),""select Col6 where Col7 = 'Depositada' and Col9 = '""&amp;K215&amp;""' and Col6 ="&amp;" ""&amp;M215&amp;"" and Col4 = date '""&amp;YEAR(C215)&amp;""-""&amp;MONTH(C215)&amp;""-""&amp;DAY(C215)&amp;""'""))&gt;0,""Depositada"",if(sum(QUERY(IMPORTRANGE(""https://docs.google.com/spreadsheets/d/1EcLIvUgMoBC5as4ikW0wuQsGH5yVZ6cQ1y16qEfgPnk"",""BD M Sangrias!a:i""),""select Col6 whe"&amp;"re Col7 = 'Caixa Atendimento' and Col9 = '""&amp;K215&amp;""' and Col6 = ""&amp;M215&amp;"" and Col4 = date '""&amp;YEAR(C215)&amp;""-""&amp;MONTH(C215)&amp;""-""&amp;DAY(C215)&amp;""'""))&gt;0,""Caixa Atendimento"",""Caixa Sangria"")),""""),""Caixa Sangria"")"),"")</f>
        <v/>
      </c>
      <c r="M215" s="185" t="str">
        <f>IFERROR(__xludf.DUMMYFUNCTION("ifna(VALUE(REGEXEXTRACT(E214,""[0-9.]+[,]+[0-9]+"")))"),"")</f>
        <v/>
      </c>
      <c r="N215" s="185"/>
      <c r="O215" s="185"/>
      <c r="P215" s="185"/>
      <c r="Q215" s="185"/>
      <c r="R215" s="185"/>
      <c r="S215" s="185"/>
      <c r="T215" s="185"/>
      <c r="U215" s="185"/>
      <c r="V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184" t="str">
        <f>IFERROR(__xludf.DUMMYFUNCTION("ifna(IF(and(D216=""Saída"",J216=""Sangria""),if(sum(QUERY(IMPORTRANGE(""https://docs.google.com/spreadsheets/d/1E4szPcLzsqlw4uyBAoJ61L1ChCgpz4wVP8tHfHW1g_c"",""BD M Sangrias!a:i""),""select Col6 where Col7 = 'Depositada' and Col9 = '""&amp;K216&amp;""' and Col6 ="&amp;" ""&amp;M216&amp;"" and Col4 = date '""&amp;YEAR(C216)&amp;""-""&amp;MONTH(C216)&amp;""-""&amp;DAY(C216)&amp;""'""))&gt;0,""Depositada"",if(sum(QUERY(IMPORTRANGE(""https://docs.google.com/spreadsheets/d/1EcLIvUgMoBC5as4ikW0wuQsGH5yVZ6cQ1y16qEfgPnk"",""BD M Sangrias!a:i""),""select Col6 whe"&amp;"re Col7 = 'Caixa Atendimento' and Col9 = '""&amp;K216&amp;""' and Col6 = ""&amp;M216&amp;"" and Col4 = date '""&amp;YEAR(C216)&amp;""-""&amp;MONTH(C216)&amp;""-""&amp;DAY(C216)&amp;""'""))&gt;0,""Caixa Atendimento"",""Caixa Sangria"")),""""),""Caixa Sangria"")"),"")</f>
        <v/>
      </c>
      <c r="M216" s="185" t="str">
        <f>IFERROR(__xludf.DUMMYFUNCTION("ifna(VALUE(REGEXEXTRACT(E216,""[0-9.]+[,]+[0-9]+"")))"),"")</f>
        <v/>
      </c>
      <c r="N216" s="185"/>
      <c r="O216" s="185"/>
      <c r="P216" s="185"/>
      <c r="Q216" s="185"/>
      <c r="R216" s="185"/>
      <c r="S216" s="185"/>
      <c r="T216" s="185"/>
      <c r="U216" s="185"/>
      <c r="V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184" t="str">
        <f>IFERROR(__xludf.DUMMYFUNCTION("ifna(IF(and(D217=""Saída"",J217=""Sangria""),if(sum(QUERY(IMPORTRANGE(""https://docs.google.com/spreadsheets/d/1E4szPcLzsqlw4uyBAoJ61L1ChCgpz4wVP8tHfHW1g_c"",""BD M Sangrias!a:i""),""select Col6 where Col7 = 'Depositada' and Col9 = '""&amp;K217&amp;""' and Col6 ="&amp;" ""&amp;M217&amp;"" and Col4 = date '""&amp;YEAR(C217)&amp;""-""&amp;MONTH(C217)&amp;""-""&amp;DAY(C217)&amp;""'""))&gt;0,""Depositada"",if(sum(QUERY(IMPORTRANGE(""https://docs.google.com/spreadsheets/d/1EcLIvUgMoBC5as4ikW0wuQsGH5yVZ6cQ1y16qEfgPnk"",""BD M Sangrias!a:i""),""select Col6 whe"&amp;"re Col7 = 'Caixa Atendimento' and Col9 = '""&amp;K217&amp;""' and Col6 = ""&amp;M217&amp;"" and Col4 = date '""&amp;YEAR(C217)&amp;""-""&amp;MONTH(C217)&amp;""-""&amp;DAY(C217)&amp;""'""))&gt;0,""Caixa Atendimento"",""Caixa Sangria"")),""""),""Caixa Sangria"")"),"")</f>
        <v/>
      </c>
      <c r="M217" s="185" t="str">
        <f>IFERROR(__xludf.DUMMYFUNCTION("ifna(VALUE(REGEXEXTRACT(E217,""[0-9.]+[,]+[0-9]+"")))"),"")</f>
        <v/>
      </c>
      <c r="N217" s="185"/>
      <c r="O217" s="185"/>
      <c r="P217" s="185"/>
      <c r="Q217" s="185"/>
      <c r="R217" s="185"/>
      <c r="S217" s="185"/>
      <c r="T217" s="185"/>
      <c r="U217" s="185"/>
      <c r="V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184" t="str">
        <f>IFERROR(__xludf.DUMMYFUNCTION("ifna(IF(and(D218=""Saída"",J218=""Sangria""),if(sum(QUERY(IMPORTRANGE(""https://docs.google.com/spreadsheets/d/1E4szPcLzsqlw4uyBAoJ61L1ChCgpz4wVP8tHfHW1g_c"",""BD M Sangrias!a:i""),""select Col6 where Col7 = 'Depositada' and Col9 = '""&amp;K218&amp;""' and Col6 ="&amp;" ""&amp;M218&amp;"" and Col4 = date '""&amp;YEAR(C218)&amp;""-""&amp;MONTH(C218)&amp;""-""&amp;DAY(C218)&amp;""'""))&gt;0,""Depositada"",if(sum(QUERY(IMPORTRANGE(""https://docs.google.com/spreadsheets/d/1EcLIvUgMoBC5as4ikW0wuQsGH5yVZ6cQ1y16qEfgPnk"",""BD M Sangrias!a:i""),""select Col6 whe"&amp;"re Col7 = 'Caixa Atendimento' and Col9 = '""&amp;K218&amp;""' and Col6 = ""&amp;M218&amp;"" and Col4 = date '""&amp;YEAR(C218)&amp;""-""&amp;MONTH(C218)&amp;""-""&amp;DAY(C218)&amp;""'""))&gt;0,""Caixa Atendimento"",""Caixa Sangria"")),""""),""Caixa Sangria"")"),"")</f>
        <v/>
      </c>
      <c r="M218" s="185" t="str">
        <f>IFERROR(__xludf.DUMMYFUNCTION("ifna(VALUE(REGEXEXTRACT(E218,""[0-9.]+[,]+[0-9]+"")))"),"")</f>
        <v/>
      </c>
      <c r="N218" s="185"/>
      <c r="O218" s="185"/>
      <c r="P218" s="185"/>
      <c r="Q218" s="185"/>
      <c r="R218" s="185"/>
      <c r="S218" s="185"/>
      <c r="T218" s="185"/>
      <c r="U218" s="185"/>
      <c r="V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184" t="str">
        <f>IFERROR(__xludf.DUMMYFUNCTION("ifna(IF(and(D219=""Saída"",J219=""Sangria""),if(sum(QUERY(IMPORTRANGE(""https://docs.google.com/spreadsheets/d/1E4szPcLzsqlw4uyBAoJ61L1ChCgpz4wVP8tHfHW1g_c"",""BD M Sangrias!a:i""),""select Col6 where Col7 = 'Depositada' and Col9 = '""&amp;K219&amp;""' and Col6 ="&amp;" ""&amp;M219&amp;"" and Col4 = date '""&amp;YEAR(C219)&amp;""-""&amp;MONTH(C219)&amp;""-""&amp;DAY(C219)&amp;""'""))&gt;0,""Depositada"",if(sum(QUERY(IMPORTRANGE(""https://docs.google.com/spreadsheets/d/1EcLIvUgMoBC5as4ikW0wuQsGH5yVZ6cQ1y16qEfgPnk"",""BD M Sangrias!a:i""),""select Col6 whe"&amp;"re Col7 = 'Caixa Atendimento' and Col9 = '""&amp;K219&amp;""' and Col6 = ""&amp;M219&amp;"" and Col4 = date '""&amp;YEAR(C219)&amp;""-""&amp;MONTH(C219)&amp;""-""&amp;DAY(C219)&amp;""'""))&gt;0,""Caixa Atendimento"",""Caixa Sangria"")),""""),""Caixa Sangria"")"),"")</f>
        <v/>
      </c>
      <c r="M219" s="185" t="str">
        <f>IFERROR(__xludf.DUMMYFUNCTION("ifna(VALUE(REGEXEXTRACT(E219,""[0-9.]+[,]+[0-9]+"")))"),"")</f>
        <v/>
      </c>
      <c r="N219" s="185"/>
      <c r="O219" s="185"/>
      <c r="P219" s="185"/>
      <c r="Q219" s="185"/>
      <c r="R219" s="185"/>
      <c r="S219" s="185"/>
      <c r="T219" s="185"/>
      <c r="U219" s="185"/>
      <c r="V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184" t="str">
        <f>IFERROR(__xludf.DUMMYFUNCTION("ifna(IF(and(D220=""Saída"",J220=""Sangria""),if(sum(QUERY(IMPORTRANGE(""https://docs.google.com/spreadsheets/d/1E4szPcLzsqlw4uyBAoJ61L1ChCgpz4wVP8tHfHW1g_c"",""BD M Sangrias!a:i""),""select Col6 where Col7 = 'Depositada' and Col9 = '""&amp;K220&amp;""' and Col6 ="&amp;" ""&amp;M220&amp;"" and Col4 = date '""&amp;YEAR(C220)&amp;""-""&amp;MONTH(C220)&amp;""-""&amp;DAY(C220)&amp;""'""))&gt;0,""Depositada"",if(sum(QUERY(IMPORTRANGE(""https://docs.google.com/spreadsheets/d/1EcLIvUgMoBC5as4ikW0wuQsGH5yVZ6cQ1y16qEfgPnk"",""BD M Sangrias!a:i""),""select Col6 whe"&amp;"re Col7 = 'Caixa Atendimento' and Col9 = '""&amp;K220&amp;""' and Col6 = ""&amp;M220&amp;"" and Col4 = date '""&amp;YEAR(C220)&amp;""-""&amp;MONTH(C220)&amp;""-""&amp;DAY(C220)&amp;""'""))&gt;0,""Caixa Atendimento"",""Caixa Sangria"")),""""),""Caixa Sangria"")"),"")</f>
        <v/>
      </c>
      <c r="M220" s="185" t="str">
        <f>IFERROR(__xludf.DUMMYFUNCTION("ifna(VALUE(REGEXEXTRACT(E220,""[0-9.]+[,]+[0-9]+"")))"),"")</f>
        <v/>
      </c>
      <c r="N220" s="185"/>
      <c r="O220" s="185"/>
      <c r="P220" s="185"/>
      <c r="Q220" s="185"/>
      <c r="R220" s="185"/>
      <c r="S220" s="185"/>
      <c r="T220" s="185"/>
      <c r="U220" s="185"/>
      <c r="V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184" t="str">
        <f>IFERROR(__xludf.DUMMYFUNCTION("ifna(IF(and(D221=""Saída"",J221=""Sangria""),if(sum(QUERY(IMPORTRANGE(""https://docs.google.com/spreadsheets/d/1E4szPcLzsqlw4uyBAoJ61L1ChCgpz4wVP8tHfHW1g_c"",""BD M Sangrias!a:i""),""select Col6 where Col7 = 'Depositada' and Col9 = '""&amp;K221&amp;""' and Col6 ="&amp;" ""&amp;M221&amp;"" and Col4 = date '""&amp;YEAR(C221)&amp;""-""&amp;MONTH(C221)&amp;""-""&amp;DAY(C221)&amp;""'""))&gt;0,""Depositada"",if(sum(QUERY(IMPORTRANGE(""https://docs.google.com/spreadsheets/d/1EcLIvUgMoBC5as4ikW0wuQsGH5yVZ6cQ1y16qEfgPnk"",""BD M Sangrias!a:i""),""select Col6 whe"&amp;"re Col7 = 'Caixa Atendimento' and Col9 = '""&amp;K221&amp;""' and Col6 = ""&amp;M221&amp;"" and Col4 = date '""&amp;YEAR(C221)&amp;""-""&amp;MONTH(C221)&amp;""-""&amp;DAY(C221)&amp;""'""))&gt;0,""Caixa Atendimento"",""Caixa Sangria"")),""""),""Caixa Sangria"")"),"")</f>
        <v/>
      </c>
      <c r="M221" s="185" t="str">
        <f>IFERROR(__xludf.DUMMYFUNCTION("ifna(VALUE(REGEXEXTRACT(E221,""[0-9.]+[,]+[0-9]+"")))"),"")</f>
        <v/>
      </c>
      <c r="N221" s="185"/>
      <c r="O221" s="185"/>
      <c r="P221" s="185"/>
      <c r="Q221" s="185"/>
      <c r="R221" s="185"/>
      <c r="S221" s="185"/>
      <c r="T221" s="185"/>
      <c r="U221" s="185"/>
      <c r="V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184" t="str">
        <f>IFERROR(__xludf.DUMMYFUNCTION("ifna(IF(and(D222=""Saída"",J222=""Sangria""),if(sum(QUERY(IMPORTRANGE(""https://docs.google.com/spreadsheets/d/1E4szPcLzsqlw4uyBAoJ61L1ChCgpz4wVP8tHfHW1g_c"",""BD M Sangrias!a:i""),""select Col6 where Col7 = 'Depositada' and Col9 = '""&amp;K222&amp;""' and Col6 ="&amp;" ""&amp;M222&amp;"" and Col4 = date '""&amp;YEAR(C222)&amp;""-""&amp;MONTH(C222)&amp;""-""&amp;DAY(C222)&amp;""'""))&gt;0,""Depositada"",if(sum(QUERY(IMPORTRANGE(""https://docs.google.com/spreadsheets/d/1EcLIvUgMoBC5as4ikW0wuQsGH5yVZ6cQ1y16qEfgPnk"",""BD M Sangrias!a:i""),""select Col6 whe"&amp;"re Col7 = 'Caixa Atendimento' and Col9 = '""&amp;K222&amp;""' and Col6 = ""&amp;M222&amp;"" and Col4 = date '""&amp;YEAR(C222)&amp;""-""&amp;MONTH(C222)&amp;""-""&amp;DAY(C222)&amp;""'""))&gt;0,""Caixa Atendimento"",""Caixa Sangria"")),""""),""Caixa Sangria"")"),"")</f>
        <v/>
      </c>
      <c r="M222" s="185" t="str">
        <f>IFERROR(__xludf.DUMMYFUNCTION("ifna(VALUE(REGEXEXTRACT(E222,""[0-9.]+[,]+[0-9]+"")))"),"")</f>
        <v/>
      </c>
      <c r="N222" s="185"/>
      <c r="O222" s="185"/>
      <c r="P222" s="185"/>
      <c r="Q222" s="185"/>
      <c r="R222" s="185"/>
      <c r="S222" s="185"/>
      <c r="T222" s="185"/>
      <c r="U222" s="185"/>
      <c r="V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184" t="str">
        <f>IFERROR(__xludf.DUMMYFUNCTION("ifna(IF(and(D223=""Saída"",J223=""Sangria""),if(sum(QUERY(IMPORTRANGE(""https://docs.google.com/spreadsheets/d/1E4szPcLzsqlw4uyBAoJ61L1ChCgpz4wVP8tHfHW1g_c"",""BD M Sangrias!a:i""),""select Col6 where Col7 = 'Depositada' and Col9 = '""&amp;K223&amp;""' and Col6 ="&amp;" ""&amp;M223&amp;"" and Col4 = date '""&amp;YEAR(C223)&amp;""-""&amp;MONTH(C223)&amp;""-""&amp;DAY(C223)&amp;""'""))&gt;0,""Depositada"",if(sum(QUERY(IMPORTRANGE(""https://docs.google.com/spreadsheets/d/1EcLIvUgMoBC5as4ikW0wuQsGH5yVZ6cQ1y16qEfgPnk"",""BD M Sangrias!a:i""),""select Col6 whe"&amp;"re Col7 = 'Caixa Atendimento' and Col9 = '""&amp;K223&amp;""' and Col6 = ""&amp;M223&amp;"" and Col4 = date '""&amp;YEAR(C223)&amp;""-""&amp;MONTH(C223)&amp;""-""&amp;DAY(C223)&amp;""'""))&gt;0,""Caixa Atendimento"",""Caixa Sangria"")),""""),""Caixa Sangria"")"),"")</f>
        <v/>
      </c>
      <c r="M223" s="185" t="str">
        <f>IFERROR(__xludf.DUMMYFUNCTION("ifna(VALUE(REGEXEXTRACT(E223,""[0-9.]+[,]+[0-9]+"")))"),"")</f>
        <v/>
      </c>
      <c r="N223" s="185"/>
      <c r="O223" s="185"/>
      <c r="P223" s="185"/>
      <c r="Q223" s="185"/>
      <c r="R223" s="185"/>
      <c r="S223" s="185"/>
      <c r="T223" s="185"/>
      <c r="U223" s="185"/>
      <c r="V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184" t="str">
        <f>IFERROR(__xludf.DUMMYFUNCTION("ifna(IF(and(D224=""Saída"",J224=""Sangria""),if(sum(QUERY(IMPORTRANGE(""https://docs.google.com/spreadsheets/d/1E4szPcLzsqlw4uyBAoJ61L1ChCgpz4wVP8tHfHW1g_c"",""BD M Sangrias!a:i""),""select Col6 where Col7 = 'Depositada' and Col9 = '""&amp;K224&amp;""' and Col6 ="&amp;" ""&amp;M224&amp;"" and Col4 = date '""&amp;YEAR(C224)&amp;""-""&amp;MONTH(C224)&amp;""-""&amp;DAY(C224)&amp;""'""))&gt;0,""Depositada"",if(sum(QUERY(IMPORTRANGE(""https://docs.google.com/spreadsheets/d/1EcLIvUgMoBC5as4ikW0wuQsGH5yVZ6cQ1y16qEfgPnk"",""BD M Sangrias!a:i""),""select Col6 whe"&amp;"re Col7 = 'Caixa Atendimento' and Col9 = '""&amp;K224&amp;""' and Col6 = ""&amp;M224&amp;"" and Col4 = date '""&amp;YEAR(C224)&amp;""-""&amp;MONTH(C224)&amp;""-""&amp;DAY(C224)&amp;""'""))&gt;0,""Caixa Atendimento"",""Caixa Sangria"")),""""),""Caixa Sangria"")"),"")</f>
        <v/>
      </c>
      <c r="M224" s="185" t="str">
        <f>IFERROR(__xludf.DUMMYFUNCTION("ifna(VALUE(REGEXEXTRACT(E224,""[0-9.]+[,]+[0-9]+"")))"),"")</f>
        <v/>
      </c>
      <c r="N224" s="185"/>
      <c r="O224" s="185"/>
      <c r="P224" s="185"/>
      <c r="Q224" s="185"/>
      <c r="R224" s="185"/>
      <c r="S224" s="185"/>
      <c r="T224" s="185"/>
      <c r="U224" s="185"/>
      <c r="V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184" t="str">
        <f>IFERROR(__xludf.DUMMYFUNCTION("ifna(IF(and(D225=""Saída"",J225=""Sangria""),if(sum(QUERY(IMPORTRANGE(""https://docs.google.com/spreadsheets/d/1E4szPcLzsqlw4uyBAoJ61L1ChCgpz4wVP8tHfHW1g_c"",""BD M Sangrias!a:i""),""select Col6 where Col7 = 'Depositada' and Col9 = '""&amp;K225&amp;""' and Col6 ="&amp;" ""&amp;M225&amp;"" and Col4 = date '""&amp;YEAR(C225)&amp;""-""&amp;MONTH(C225)&amp;""-""&amp;DAY(C225)&amp;""'""))&gt;0,""Depositada"",if(sum(QUERY(IMPORTRANGE(""https://docs.google.com/spreadsheets/d/1EcLIvUgMoBC5as4ikW0wuQsGH5yVZ6cQ1y16qEfgPnk"",""BD M Sangrias!a:i""),""select Col6 whe"&amp;"re Col7 = 'Caixa Atendimento' and Col9 = '""&amp;K225&amp;""' and Col6 = ""&amp;M225&amp;"" and Col4 = date '""&amp;YEAR(C225)&amp;""-""&amp;MONTH(C225)&amp;""-""&amp;DAY(C225)&amp;""'""))&gt;0,""Caixa Atendimento"",""Caixa Sangria"")),""""),""Caixa Sangria"")"),"")</f>
        <v/>
      </c>
      <c r="M225" s="185" t="str">
        <f>IFERROR(__xludf.DUMMYFUNCTION("ifna(VALUE(REGEXEXTRACT(E225,""[0-9.]+[,]+[0-9]+"")))"),"")</f>
        <v/>
      </c>
      <c r="N225" s="185"/>
      <c r="O225" s="185"/>
      <c r="P225" s="185"/>
      <c r="Q225" s="185"/>
      <c r="R225" s="185"/>
      <c r="S225" s="185"/>
      <c r="T225" s="185"/>
      <c r="U225" s="185"/>
      <c r="V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184" t="str">
        <f>IFERROR(__xludf.DUMMYFUNCTION("ifna(IF(and(D226=""Saída"",J226=""Sangria""),if(sum(QUERY(IMPORTRANGE(""https://docs.google.com/spreadsheets/d/1E4szPcLzsqlw4uyBAoJ61L1ChCgpz4wVP8tHfHW1g_c"",""BD M Sangrias!a:i""),""select Col6 where Col7 = 'Depositada' and Col9 = '""&amp;K226&amp;""' and Col6 ="&amp;" ""&amp;M226&amp;"" and Col4 = date '""&amp;YEAR(C226)&amp;""-""&amp;MONTH(C226)&amp;""-""&amp;DAY(C226)&amp;""'""))&gt;0,""Depositada"",if(sum(QUERY(IMPORTRANGE(""https://docs.google.com/spreadsheets/d/1EcLIvUgMoBC5as4ikW0wuQsGH5yVZ6cQ1y16qEfgPnk"",""BD M Sangrias!a:i""),""select Col6 whe"&amp;"re Col7 = 'Caixa Atendimento' and Col9 = '""&amp;K226&amp;""' and Col6 = ""&amp;M226&amp;"" and Col4 = date '""&amp;YEAR(C226)&amp;""-""&amp;MONTH(C226)&amp;""-""&amp;DAY(C226)&amp;""'""))&gt;0,""Caixa Atendimento"",""Caixa Sangria"")),""""),""Caixa Sangria"")"),"")</f>
        <v/>
      </c>
      <c r="M226" s="185" t="str">
        <f>IFERROR(__xludf.DUMMYFUNCTION("ifna(VALUE(REGEXEXTRACT(E226,""[0-9.]+[,]+[0-9]+"")))"),"")</f>
        <v/>
      </c>
      <c r="N226" s="185"/>
      <c r="O226" s="185"/>
      <c r="P226" s="185"/>
      <c r="Q226" s="185"/>
      <c r="R226" s="185"/>
      <c r="S226" s="185"/>
      <c r="T226" s="185"/>
      <c r="U226" s="185"/>
      <c r="V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184" t="str">
        <f>IFERROR(__xludf.DUMMYFUNCTION("ifna(IF(and(D227=""Saída"",J227=""Sangria""),if(sum(QUERY(IMPORTRANGE(""https://docs.google.com/spreadsheets/d/1E4szPcLzsqlw4uyBAoJ61L1ChCgpz4wVP8tHfHW1g_c"",""BD M Sangrias!a:i""),""select Col6 where Col7 = 'Depositada' and Col9 = '""&amp;K227&amp;""' and Col6 ="&amp;" ""&amp;M227&amp;"" and Col4 = date '""&amp;YEAR(C227)&amp;""-""&amp;MONTH(C227)&amp;""-""&amp;DAY(C227)&amp;""'""))&gt;0,""Depositada"",if(sum(QUERY(IMPORTRANGE(""https://docs.google.com/spreadsheets/d/1EcLIvUgMoBC5as4ikW0wuQsGH5yVZ6cQ1y16qEfgPnk"",""BD M Sangrias!a:i""),""select Col6 whe"&amp;"re Col7 = 'Caixa Atendimento' and Col9 = '""&amp;K227&amp;""' and Col6 = ""&amp;M227&amp;"" and Col4 = date '""&amp;YEAR(C227)&amp;""-""&amp;MONTH(C227)&amp;""-""&amp;DAY(C227)&amp;""'""))&gt;0,""Caixa Atendimento"",""Caixa Sangria"")),""""),""Caixa Sangria"")"),"")</f>
        <v/>
      </c>
      <c r="M227" s="185" t="str">
        <f>IFERROR(__xludf.DUMMYFUNCTION("ifna(VALUE(REGEXEXTRACT(E227,""[0-9.]+[,]+[0-9]+"")))"),"")</f>
        <v/>
      </c>
      <c r="N227" s="185"/>
      <c r="O227" s="185"/>
      <c r="P227" s="185"/>
      <c r="Q227" s="185"/>
      <c r="R227" s="185"/>
      <c r="S227" s="185"/>
      <c r="T227" s="185"/>
      <c r="U227" s="185"/>
      <c r="V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184" t="str">
        <f>IFERROR(__xludf.DUMMYFUNCTION("ifna(IF(and(D228=""Saída"",J228=""Sangria""),if(sum(QUERY(IMPORTRANGE(""https://docs.google.com/spreadsheets/d/1E4szPcLzsqlw4uyBAoJ61L1ChCgpz4wVP8tHfHW1g_c"",""BD M Sangrias!a:i""),""select Col6 where Col7 = 'Depositada' and Col9 = '""&amp;K228&amp;""' and Col6 ="&amp;" ""&amp;M228&amp;"" and Col4 = date '""&amp;YEAR(C228)&amp;""-""&amp;MONTH(C228)&amp;""-""&amp;DAY(C228)&amp;""'""))&gt;0,""Depositada"",if(sum(QUERY(IMPORTRANGE(""https://docs.google.com/spreadsheets/d/1EcLIvUgMoBC5as4ikW0wuQsGH5yVZ6cQ1y16qEfgPnk"",""BD M Sangrias!a:i""),""select Col6 whe"&amp;"re Col7 = 'Caixa Atendimento' and Col9 = '""&amp;K228&amp;""' and Col6 = ""&amp;M228&amp;"" and Col4 = date '""&amp;YEAR(C228)&amp;""-""&amp;MONTH(C228)&amp;""-""&amp;DAY(C228)&amp;""'""))&gt;0,""Caixa Atendimento"",""Caixa Sangria"")),""""),""Caixa Sangria"")"),"")</f>
        <v/>
      </c>
      <c r="M228" s="185" t="str">
        <f>IFERROR(__xludf.DUMMYFUNCTION("ifna(VALUE(REGEXEXTRACT(E228,""[0-9.]+[,]+[0-9]+"")))"),"")</f>
        <v/>
      </c>
      <c r="N228" s="185"/>
      <c r="O228" s="185"/>
      <c r="P228" s="185"/>
      <c r="Q228" s="185"/>
      <c r="R228" s="185"/>
      <c r="S228" s="185"/>
      <c r="T228" s="185"/>
      <c r="U228" s="185"/>
      <c r="V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184" t="str">
        <f>IFERROR(__xludf.DUMMYFUNCTION("ifna(IF(and(D229=""Saída"",J229=""Sangria""),if(sum(QUERY(IMPORTRANGE(""https://docs.google.com/spreadsheets/d/1E4szPcLzsqlw4uyBAoJ61L1ChCgpz4wVP8tHfHW1g_c"",""BD M Sangrias!a:i""),""select Col6 where Col7 = 'Depositada' and Col9 = '""&amp;K229&amp;""' and Col6 ="&amp;" ""&amp;M229&amp;"" and Col4 = date '""&amp;YEAR(C229)&amp;""-""&amp;MONTH(C229)&amp;""-""&amp;DAY(C229)&amp;""'""))&gt;0,""Depositada"",if(sum(QUERY(IMPORTRANGE(""https://docs.google.com/spreadsheets/d/1EcLIvUgMoBC5as4ikW0wuQsGH5yVZ6cQ1y16qEfgPnk"",""BD M Sangrias!a:i""),""select Col6 whe"&amp;"re Col7 = 'Caixa Atendimento' and Col9 = '""&amp;K229&amp;""' and Col6 = ""&amp;M229&amp;"" and Col4 = date '""&amp;YEAR(C229)&amp;""-""&amp;MONTH(C229)&amp;""-""&amp;DAY(C229)&amp;""'""))&gt;0,""Caixa Atendimento"",""Caixa Sangria"")),""""),""Caixa Sangria"")"),"")</f>
        <v/>
      </c>
      <c r="M229" s="185" t="str">
        <f>IFERROR(__xludf.DUMMYFUNCTION("ifna(VALUE(REGEXEXTRACT(E229,""[0-9.]+[,]+[0-9]+"")))"),"")</f>
        <v/>
      </c>
      <c r="N229" s="185"/>
      <c r="O229" s="185"/>
      <c r="P229" s="185"/>
      <c r="Q229" s="185"/>
      <c r="R229" s="185"/>
      <c r="S229" s="185"/>
      <c r="T229" s="185"/>
      <c r="U229" s="185"/>
      <c r="V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184" t="str">
        <f>IFERROR(__xludf.DUMMYFUNCTION("ifna(IF(and(D230=""Saída"",J230=""Sangria""),if(sum(QUERY(IMPORTRANGE(""https://docs.google.com/spreadsheets/d/1E4szPcLzsqlw4uyBAoJ61L1ChCgpz4wVP8tHfHW1g_c"",""BD M Sangrias!a:i""),""select Col6 where Col7 = 'Depositada' and Col9 = '""&amp;K230&amp;""' and Col6 ="&amp;" ""&amp;M230&amp;"" and Col4 = date '""&amp;YEAR(C230)&amp;""-""&amp;MONTH(C230)&amp;""-""&amp;DAY(C230)&amp;""'""))&gt;0,""Depositada"",if(sum(QUERY(IMPORTRANGE(""https://docs.google.com/spreadsheets/d/1EcLIvUgMoBC5as4ikW0wuQsGH5yVZ6cQ1y16qEfgPnk"",""BD M Sangrias!a:i""),""select Col6 whe"&amp;"re Col7 = 'Caixa Atendimento' and Col9 = '""&amp;K230&amp;""' and Col6 = ""&amp;M230&amp;"" and Col4 = date '""&amp;YEAR(C230)&amp;""-""&amp;MONTH(C230)&amp;""-""&amp;DAY(C230)&amp;""'""))&gt;0,""Caixa Atendimento"",""Caixa Sangria"")),""""),""Caixa Sangria"")"),"")</f>
        <v/>
      </c>
      <c r="M230" s="185" t="str">
        <f>IFERROR(__xludf.DUMMYFUNCTION("ifna(VALUE(REGEXEXTRACT(E230,""[0-9.]+[,]+[0-9]+"")))"),"")</f>
        <v/>
      </c>
      <c r="N230" s="185"/>
      <c r="O230" s="185"/>
      <c r="P230" s="185"/>
      <c r="Q230" s="185"/>
      <c r="R230" s="185"/>
      <c r="S230" s="185"/>
      <c r="T230" s="185"/>
      <c r="U230" s="185"/>
      <c r="V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184" t="str">
        <f>IFERROR(__xludf.DUMMYFUNCTION("ifna(IF(and(D231=""Saída"",J231=""Sangria""),if(sum(QUERY(IMPORTRANGE(""https://docs.google.com/spreadsheets/d/1E4szPcLzsqlw4uyBAoJ61L1ChCgpz4wVP8tHfHW1g_c"",""BD M Sangrias!a:i""),""select Col6 where Col7 = 'Depositada' and Col9 = '""&amp;K231&amp;""' and Col6 ="&amp;" ""&amp;M231&amp;"" and Col4 = date '""&amp;YEAR(C231)&amp;""-""&amp;MONTH(C231)&amp;""-""&amp;DAY(C231)&amp;""'""))&gt;0,""Depositada"",if(sum(QUERY(IMPORTRANGE(""https://docs.google.com/spreadsheets/d/1EcLIvUgMoBC5as4ikW0wuQsGH5yVZ6cQ1y16qEfgPnk"",""BD M Sangrias!a:i""),""select Col6 whe"&amp;"re Col7 = 'Caixa Atendimento' and Col9 = '""&amp;K231&amp;""' and Col6 = ""&amp;M231&amp;"" and Col4 = date '""&amp;YEAR(C231)&amp;""-""&amp;MONTH(C231)&amp;""-""&amp;DAY(C231)&amp;""'""))&gt;0,""Caixa Atendimento"",""Caixa Sangria"")),""""),""Caixa Sangria"")"),"")</f>
        <v/>
      </c>
      <c r="M231" s="185" t="str">
        <f>IFERROR(__xludf.DUMMYFUNCTION("ifna(VALUE(REGEXEXTRACT(E231,""[0-9.]+[,]+[0-9]+"")))"),"")</f>
        <v/>
      </c>
      <c r="N231" s="185"/>
      <c r="O231" s="185"/>
      <c r="P231" s="185"/>
      <c r="Q231" s="185"/>
      <c r="R231" s="185"/>
      <c r="S231" s="185"/>
      <c r="T231" s="185"/>
      <c r="U231" s="185"/>
      <c r="V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184" t="str">
        <f>IFERROR(__xludf.DUMMYFUNCTION("ifna(IF(and(D232=""Saída"",J232=""Sangria""),if(sum(QUERY(IMPORTRANGE(""https://docs.google.com/spreadsheets/d/1E4szPcLzsqlw4uyBAoJ61L1ChCgpz4wVP8tHfHW1g_c"",""BD M Sangrias!a:i""),""select Col6 where Col7 = 'Depositada' and Col9 = '""&amp;K232&amp;""' and Col6 ="&amp;" ""&amp;M232&amp;"" and Col4 = date '""&amp;YEAR(C232)&amp;""-""&amp;MONTH(C232)&amp;""-""&amp;DAY(C232)&amp;""'""))&gt;0,""Depositada"",if(sum(QUERY(IMPORTRANGE(""https://docs.google.com/spreadsheets/d/1EcLIvUgMoBC5as4ikW0wuQsGH5yVZ6cQ1y16qEfgPnk"",""BD M Sangrias!a:i""),""select Col6 whe"&amp;"re Col7 = 'Caixa Atendimento' and Col9 = '""&amp;K232&amp;""' and Col6 = ""&amp;M232&amp;"" and Col4 = date '""&amp;YEAR(C232)&amp;""-""&amp;MONTH(C232)&amp;""-""&amp;DAY(C232)&amp;""'""))&gt;0,""Caixa Atendimento"",""Caixa Sangria"")),""""),""Caixa Sangria"")"),"")</f>
        <v/>
      </c>
      <c r="M232" s="185" t="str">
        <f>IFERROR(__xludf.DUMMYFUNCTION("ifna(VALUE(REGEXEXTRACT(E232,""[0-9.]+[,]+[0-9]+"")))"),"")</f>
        <v/>
      </c>
      <c r="N232" s="185"/>
      <c r="O232" s="185"/>
      <c r="P232" s="185"/>
      <c r="Q232" s="185"/>
      <c r="R232" s="185"/>
      <c r="S232" s="185"/>
      <c r="T232" s="185"/>
      <c r="U232" s="185"/>
      <c r="V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184" t="str">
        <f>IFERROR(__xludf.DUMMYFUNCTION("ifna(IF(and(D233=""Saída"",J233=""Sangria""),if(sum(QUERY(IMPORTRANGE(""https://docs.google.com/spreadsheets/d/1E4szPcLzsqlw4uyBAoJ61L1ChCgpz4wVP8tHfHW1g_c"",""BD M Sangrias!a:i""),""select Col6 where Col7 = 'Depositada' and Col9 = '""&amp;K233&amp;""' and Col6 ="&amp;" ""&amp;M233&amp;"" and Col4 = date '""&amp;YEAR(C233)&amp;""-""&amp;MONTH(C233)&amp;""-""&amp;DAY(C233)&amp;""'""))&gt;0,""Depositada"",if(sum(QUERY(IMPORTRANGE(""https://docs.google.com/spreadsheets/d/1EcLIvUgMoBC5as4ikW0wuQsGH5yVZ6cQ1y16qEfgPnk"",""BD M Sangrias!a:i""),""select Col6 whe"&amp;"re Col7 = 'Caixa Atendimento' and Col9 = '""&amp;K233&amp;""' and Col6 = ""&amp;M233&amp;"" and Col4 = date '""&amp;YEAR(C233)&amp;""-""&amp;MONTH(C233)&amp;""-""&amp;DAY(C233)&amp;""'""))&gt;0,""Caixa Atendimento"",""Caixa Sangria"")),""""),""Caixa Sangria"")"),"")</f>
        <v/>
      </c>
      <c r="M233" s="185" t="str">
        <f>IFERROR(__xludf.DUMMYFUNCTION("ifna(VALUE(REGEXEXTRACT(E233,""[0-9.]+[,]+[0-9]+"")))"),"")</f>
        <v/>
      </c>
      <c r="N233" s="185"/>
      <c r="O233" s="185"/>
      <c r="P233" s="185"/>
      <c r="Q233" s="185"/>
      <c r="R233" s="185"/>
      <c r="S233" s="185"/>
      <c r="T233" s="185"/>
      <c r="U233" s="185"/>
      <c r="V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184" t="str">
        <f>IFERROR(__xludf.DUMMYFUNCTION("ifna(IF(and(D234=""Saída"",J234=""Sangria""),if(sum(QUERY(IMPORTRANGE(""https://docs.google.com/spreadsheets/d/1E4szPcLzsqlw4uyBAoJ61L1ChCgpz4wVP8tHfHW1g_c"",""BD M Sangrias!a:i""),""select Col6 where Col7 = 'Depositada' and Col9 = '""&amp;K234&amp;""' and Col6 ="&amp;" ""&amp;M234&amp;"" and Col4 = date '""&amp;YEAR(C234)&amp;""-""&amp;MONTH(C234)&amp;""-""&amp;DAY(C234)&amp;""'""))&gt;0,""Depositada"",if(sum(QUERY(IMPORTRANGE(""https://docs.google.com/spreadsheets/d/1EcLIvUgMoBC5as4ikW0wuQsGH5yVZ6cQ1y16qEfgPnk"",""BD M Sangrias!a:i""),""select Col6 whe"&amp;"re Col7 = 'Caixa Atendimento' and Col9 = '""&amp;K234&amp;""' and Col6 = ""&amp;M234&amp;"" and Col4 = date '""&amp;YEAR(C234)&amp;""-""&amp;MONTH(C234)&amp;""-""&amp;DAY(C234)&amp;""'""))&gt;0,""Caixa Atendimento"",""Caixa Sangria"")),""""),""Caixa Sangria"")"),"")</f>
        <v/>
      </c>
      <c r="M234" s="185" t="str">
        <f>IFERROR(__xludf.DUMMYFUNCTION("ifna(VALUE(REGEXEXTRACT(E234,""[0-9.]+[,]+[0-9]+"")))"),"")</f>
        <v/>
      </c>
      <c r="N234" s="185"/>
      <c r="O234" s="185"/>
      <c r="P234" s="185"/>
      <c r="Q234" s="185"/>
      <c r="R234" s="185"/>
      <c r="S234" s="185"/>
      <c r="T234" s="185"/>
      <c r="U234" s="185"/>
      <c r="V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184" t="str">
        <f>IFERROR(__xludf.DUMMYFUNCTION("ifna(IF(and(D235=""Saída"",J235=""Sangria""),if(sum(QUERY(IMPORTRANGE(""https://docs.google.com/spreadsheets/d/1E4szPcLzsqlw4uyBAoJ61L1ChCgpz4wVP8tHfHW1g_c"",""BD M Sangrias!a:i""),""select Col6 where Col7 = 'Depositada' and Col9 = '""&amp;K235&amp;""' and Col6 ="&amp;" ""&amp;M235&amp;"" and Col4 = date '""&amp;YEAR(C235)&amp;""-""&amp;MONTH(C235)&amp;""-""&amp;DAY(C235)&amp;""'""))&gt;0,""Depositada"",if(sum(QUERY(IMPORTRANGE(""https://docs.google.com/spreadsheets/d/1EcLIvUgMoBC5as4ikW0wuQsGH5yVZ6cQ1y16qEfgPnk"",""BD M Sangrias!a:i""),""select Col6 whe"&amp;"re Col7 = 'Caixa Atendimento' and Col9 = '""&amp;K235&amp;""' and Col6 = ""&amp;M235&amp;"" and Col4 = date '""&amp;YEAR(C235)&amp;""-""&amp;MONTH(C235)&amp;""-""&amp;DAY(C235)&amp;""'""))&gt;0,""Caixa Atendimento"",""Caixa Sangria"")),""""),""Caixa Sangria"")"),"")</f>
        <v/>
      </c>
      <c r="M235" s="185" t="str">
        <f>IFERROR(__xludf.DUMMYFUNCTION("ifna(VALUE(REGEXEXTRACT(E235,""[0-9.]+[,]+[0-9]+"")))"),"")</f>
        <v/>
      </c>
      <c r="N235" s="185"/>
      <c r="O235" s="185"/>
      <c r="P235" s="185"/>
      <c r="Q235" s="185"/>
      <c r="R235" s="185"/>
      <c r="S235" s="185"/>
      <c r="T235" s="185"/>
      <c r="U235" s="185"/>
      <c r="V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184" t="str">
        <f>IFERROR(__xludf.DUMMYFUNCTION("ifna(IF(and(D236=""Saída"",J236=""Sangria""),if(sum(QUERY(IMPORTRANGE(""https://docs.google.com/spreadsheets/d/1E4szPcLzsqlw4uyBAoJ61L1ChCgpz4wVP8tHfHW1g_c"",""BD M Sangrias!a:i""),""select Col6 where Col7 = 'Depositada' and Col9 = '""&amp;K236&amp;""' and Col6 ="&amp;" ""&amp;M236&amp;"" and Col4 = date '""&amp;YEAR(C236)&amp;""-""&amp;MONTH(C236)&amp;""-""&amp;DAY(C236)&amp;""'""))&gt;0,""Depositada"",if(sum(QUERY(IMPORTRANGE(""https://docs.google.com/spreadsheets/d/1EcLIvUgMoBC5as4ikW0wuQsGH5yVZ6cQ1y16qEfgPnk"",""BD M Sangrias!a:i""),""select Col6 whe"&amp;"re Col7 = 'Caixa Atendimento' and Col9 = '""&amp;K236&amp;""' and Col6 = ""&amp;M236&amp;"" and Col4 = date '""&amp;YEAR(C236)&amp;""-""&amp;MONTH(C236)&amp;""-""&amp;DAY(C236)&amp;""'""))&gt;0,""Caixa Atendimento"",""Caixa Sangria"")),""""),""Caixa Sangria"")"),"")</f>
        <v/>
      </c>
      <c r="M236" s="185" t="str">
        <f>IFERROR(__xludf.DUMMYFUNCTION("ifna(VALUE(REGEXEXTRACT(E236,""[0-9.]+[,]+[0-9]+"")))"),"")</f>
        <v/>
      </c>
      <c r="N236" s="185"/>
      <c r="O236" s="185"/>
      <c r="P236" s="185"/>
      <c r="Q236" s="185"/>
      <c r="R236" s="185"/>
      <c r="S236" s="185"/>
      <c r="T236" s="185"/>
      <c r="U236" s="185"/>
      <c r="V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184" t="str">
        <f>IFERROR(__xludf.DUMMYFUNCTION("ifna(IF(and(D237=""Saída"",J237=""Sangria""),if(sum(QUERY(IMPORTRANGE(""https://docs.google.com/spreadsheets/d/1E4szPcLzsqlw4uyBAoJ61L1ChCgpz4wVP8tHfHW1g_c"",""BD M Sangrias!a:i""),""select Col6 where Col7 = 'Depositada' and Col9 = '""&amp;K237&amp;""' and Col6 ="&amp;" ""&amp;M237&amp;"" and Col4 = date '""&amp;YEAR(C237)&amp;""-""&amp;MONTH(C237)&amp;""-""&amp;DAY(C237)&amp;""'""))&gt;0,""Depositada"",if(sum(QUERY(IMPORTRANGE(""https://docs.google.com/spreadsheets/d/1EcLIvUgMoBC5as4ikW0wuQsGH5yVZ6cQ1y16qEfgPnk"",""BD M Sangrias!a:i""),""select Col6 whe"&amp;"re Col7 = 'Caixa Atendimento' and Col9 = '""&amp;K237&amp;""' and Col6 = ""&amp;M237&amp;"" and Col4 = date '""&amp;YEAR(C237)&amp;""-""&amp;MONTH(C237)&amp;""-""&amp;DAY(C237)&amp;""'""))&gt;0,""Caixa Atendimento"",""Caixa Sangria"")),""""),""Caixa Sangria"")"),"")</f>
        <v/>
      </c>
      <c r="M237" s="185" t="str">
        <f>IFERROR(__xludf.DUMMYFUNCTION("ifna(VALUE(REGEXEXTRACT(E237,""[0-9.]+[,]+[0-9]+"")))"),"")</f>
        <v/>
      </c>
      <c r="N237" s="185"/>
      <c r="O237" s="185"/>
      <c r="P237" s="185"/>
      <c r="Q237" s="185"/>
      <c r="R237" s="185"/>
      <c r="S237" s="185"/>
      <c r="T237" s="185"/>
      <c r="U237" s="185"/>
      <c r="V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184" t="str">
        <f>IFERROR(__xludf.DUMMYFUNCTION("ifna(IF(and(D238=""Saída"",J238=""Sangria""),if(sum(QUERY(IMPORTRANGE(""https://docs.google.com/spreadsheets/d/1E4szPcLzsqlw4uyBAoJ61L1ChCgpz4wVP8tHfHW1g_c"",""BD M Sangrias!a:i""),""select Col6 where Col7 = 'Depositada' and Col9 = '""&amp;K238&amp;""' and Col6 ="&amp;" ""&amp;M238&amp;"" and Col4 = date '""&amp;YEAR(C238)&amp;""-""&amp;MONTH(C238)&amp;""-""&amp;DAY(C238)&amp;""'""))&gt;0,""Depositada"",if(sum(QUERY(IMPORTRANGE(""https://docs.google.com/spreadsheets/d/1EcLIvUgMoBC5as4ikW0wuQsGH5yVZ6cQ1y16qEfgPnk"",""BD M Sangrias!a:i""),""select Col6 whe"&amp;"re Col7 = 'Caixa Atendimento' and Col9 = '""&amp;K238&amp;""' and Col6 = ""&amp;M238&amp;"" and Col4 = date '""&amp;YEAR(C238)&amp;""-""&amp;MONTH(C238)&amp;""-""&amp;DAY(C238)&amp;""'""))&gt;0,""Caixa Atendimento"",""Caixa Sangria"")),""""),""Caixa Sangria"")"),"")</f>
        <v/>
      </c>
      <c r="M238" s="185" t="str">
        <f>IFERROR(__xludf.DUMMYFUNCTION("ifna(VALUE(REGEXEXTRACT(E238,""[0-9.]+[,]+[0-9]+"")))"),"")</f>
        <v/>
      </c>
      <c r="N238" s="185"/>
      <c r="O238" s="185"/>
      <c r="P238" s="185"/>
      <c r="Q238" s="185"/>
      <c r="R238" s="185"/>
      <c r="S238" s="185"/>
      <c r="T238" s="185"/>
      <c r="U238" s="185"/>
      <c r="V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184" t="str">
        <f>IFERROR(__xludf.DUMMYFUNCTION("ifna(IF(and(D239=""Saída"",J239=""Sangria""),if(sum(QUERY(IMPORTRANGE(""https://docs.google.com/spreadsheets/d/1E4szPcLzsqlw4uyBAoJ61L1ChCgpz4wVP8tHfHW1g_c"",""BD M Sangrias!a:i""),""select Col6 where Col7 = 'Depositada' and Col9 = '""&amp;K239&amp;""' and Col6 ="&amp;" ""&amp;M239&amp;"" and Col4 = date '""&amp;YEAR(C239)&amp;""-""&amp;MONTH(C239)&amp;""-""&amp;DAY(C239)&amp;""'""))&gt;0,""Depositada"",if(sum(QUERY(IMPORTRANGE(""https://docs.google.com/spreadsheets/d/1EcLIvUgMoBC5as4ikW0wuQsGH5yVZ6cQ1y16qEfgPnk"",""BD M Sangrias!a:i""),""select Col6 whe"&amp;"re Col7 = 'Caixa Atendimento' and Col9 = '""&amp;K239&amp;""' and Col6 = ""&amp;M239&amp;"" and Col4 = date '""&amp;YEAR(C239)&amp;""-""&amp;MONTH(C239)&amp;""-""&amp;DAY(C239)&amp;""'""))&gt;0,""Caixa Atendimento"",""Caixa Sangria"")),""""),""Caixa Sangria"")"),"")</f>
        <v/>
      </c>
      <c r="M239" s="185" t="str">
        <f>IFERROR(__xludf.DUMMYFUNCTION("ifna(VALUE(REGEXEXTRACT(E239,""[0-9.]+[,]+[0-9]+"")))"),"")</f>
        <v/>
      </c>
      <c r="N239" s="185"/>
      <c r="O239" s="185"/>
      <c r="P239" s="185"/>
      <c r="Q239" s="185"/>
      <c r="R239" s="185"/>
      <c r="S239" s="185"/>
      <c r="T239" s="185"/>
      <c r="U239" s="185"/>
      <c r="V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184" t="str">
        <f>IFERROR(__xludf.DUMMYFUNCTION("ifna(IF(and(D240=""Saída"",J240=""Sangria""),if(sum(QUERY(IMPORTRANGE(""https://docs.google.com/spreadsheets/d/1E4szPcLzsqlw4uyBAoJ61L1ChCgpz4wVP8tHfHW1g_c"",""BD M Sangrias!a:i""),""select Col6 where Col7 = 'Depositada' and Col9 = '""&amp;K240&amp;""' and Col6 ="&amp;" ""&amp;M240&amp;"" and Col4 = date '""&amp;YEAR(C240)&amp;""-""&amp;MONTH(C240)&amp;""-""&amp;DAY(C240)&amp;""'""))&gt;0,""Depositada"",if(sum(QUERY(IMPORTRANGE(""https://docs.google.com/spreadsheets/d/1EcLIvUgMoBC5as4ikW0wuQsGH5yVZ6cQ1y16qEfgPnk"",""BD M Sangrias!a:i""),""select Col6 whe"&amp;"re Col7 = 'Caixa Atendimento' and Col9 = '""&amp;K240&amp;""' and Col6 = ""&amp;M240&amp;"" and Col4 = date '""&amp;YEAR(C240)&amp;""-""&amp;MONTH(C240)&amp;""-""&amp;DAY(C240)&amp;""'""))&gt;0,""Caixa Atendimento"",""Caixa Sangria"")),""""),""Caixa Sangria"")"),"")</f>
        <v/>
      </c>
      <c r="M240" s="185" t="str">
        <f>IFERROR(__xludf.DUMMYFUNCTION("ifna(VALUE(REGEXEXTRACT(E240,""[0-9.]+[,]+[0-9]+"")))"),"")</f>
        <v/>
      </c>
      <c r="N240" s="185"/>
      <c r="O240" s="185"/>
      <c r="P240" s="185"/>
      <c r="Q240" s="185"/>
      <c r="R240" s="185"/>
      <c r="S240" s="185"/>
      <c r="T240" s="185"/>
      <c r="U240" s="185"/>
      <c r="V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184" t="str">
        <f>IFERROR(__xludf.DUMMYFUNCTION("ifna(IF(and(D241=""Saída"",J241=""Sangria""),if(sum(QUERY(IMPORTRANGE(""https://docs.google.com/spreadsheets/d/1E4szPcLzsqlw4uyBAoJ61L1ChCgpz4wVP8tHfHW1g_c"",""BD M Sangrias!a:i""),""select Col6 where Col7 = 'Depositada' and Col9 = '""&amp;K241&amp;""' and Col6 ="&amp;" ""&amp;M241&amp;"" and Col4 = date '""&amp;YEAR(C241)&amp;""-""&amp;MONTH(C241)&amp;""-""&amp;DAY(C241)&amp;""'""))&gt;0,""Depositada"",if(sum(QUERY(IMPORTRANGE(""https://docs.google.com/spreadsheets/d/1EcLIvUgMoBC5as4ikW0wuQsGH5yVZ6cQ1y16qEfgPnk"",""BD M Sangrias!a:i""),""select Col6 whe"&amp;"re Col7 = 'Caixa Atendimento' and Col9 = '""&amp;K241&amp;""' and Col6 = ""&amp;M241&amp;"" and Col4 = date '""&amp;YEAR(C241)&amp;""-""&amp;MONTH(C241)&amp;""-""&amp;DAY(C241)&amp;""'""))&gt;0,""Caixa Atendimento"",""Caixa Sangria"")),""""),""Caixa Sangria"")"),"")</f>
        <v/>
      </c>
      <c r="M241" s="185" t="str">
        <f>IFERROR(__xludf.DUMMYFUNCTION("ifna(VALUE(REGEXEXTRACT(E241,""[0-9.]+[,]+[0-9]+"")))"),"")</f>
        <v/>
      </c>
      <c r="N241" s="185"/>
      <c r="O241" s="185"/>
      <c r="P241" s="185"/>
      <c r="Q241" s="185"/>
      <c r="R241" s="185"/>
      <c r="S241" s="185"/>
      <c r="T241" s="185"/>
      <c r="U241" s="185"/>
      <c r="V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184" t="str">
        <f>IFERROR(__xludf.DUMMYFUNCTION("ifna(IF(and(D242=""Saída"",J242=""Sangria""),if(sum(QUERY(IMPORTRANGE(""https://docs.google.com/spreadsheets/d/1E4szPcLzsqlw4uyBAoJ61L1ChCgpz4wVP8tHfHW1g_c"",""BD M Sangrias!a:i""),""select Col6 where Col7 = 'Depositada' and Col9 = '""&amp;K242&amp;""' and Col6 ="&amp;" ""&amp;M242&amp;"" and Col4 = date '""&amp;YEAR(C242)&amp;""-""&amp;MONTH(C242)&amp;""-""&amp;DAY(C242)&amp;""'""))&gt;0,""Depositada"",if(sum(QUERY(IMPORTRANGE(""https://docs.google.com/spreadsheets/d/1EcLIvUgMoBC5as4ikW0wuQsGH5yVZ6cQ1y16qEfgPnk"",""BD M Sangrias!a:i""),""select Col6 whe"&amp;"re Col7 = 'Caixa Atendimento' and Col9 = '""&amp;K242&amp;""' and Col6 = ""&amp;M242&amp;"" and Col4 = date '""&amp;YEAR(C242)&amp;""-""&amp;MONTH(C242)&amp;""-""&amp;DAY(C242)&amp;""'""))&gt;0,""Caixa Atendimento"",""Caixa Sangria"")),""""),""Caixa Sangria"")"),"")</f>
        <v/>
      </c>
      <c r="M242" s="185" t="str">
        <f>IFERROR(__xludf.DUMMYFUNCTION("ifna(VALUE(REGEXEXTRACT(E242,""[0-9.]+[,]+[0-9]+"")))"),"")</f>
        <v/>
      </c>
      <c r="N242" s="185"/>
      <c r="O242" s="185"/>
      <c r="P242" s="185"/>
      <c r="Q242" s="185"/>
      <c r="R242" s="185"/>
      <c r="S242" s="185"/>
      <c r="T242" s="185"/>
      <c r="U242" s="185"/>
      <c r="V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184" t="str">
        <f>IFERROR(__xludf.DUMMYFUNCTION("ifna(IF(and(D243=""Saída"",J243=""Sangria""),if(sum(QUERY(IMPORTRANGE(""https://docs.google.com/spreadsheets/d/1E4szPcLzsqlw4uyBAoJ61L1ChCgpz4wVP8tHfHW1g_c"",""BD M Sangrias!a:i""),""select Col6 where Col7 = 'Depositada' and Col9 = '""&amp;K243&amp;""' and Col6 ="&amp;" ""&amp;M243&amp;"" and Col4 = date '""&amp;YEAR(C243)&amp;""-""&amp;MONTH(C243)&amp;""-""&amp;DAY(C243)&amp;""'""))&gt;0,""Depositada"",if(sum(QUERY(IMPORTRANGE(""https://docs.google.com/spreadsheets/d/1EcLIvUgMoBC5as4ikW0wuQsGH5yVZ6cQ1y16qEfgPnk"",""BD M Sangrias!a:i""),""select Col6 whe"&amp;"re Col7 = 'Caixa Atendimento' and Col9 = '""&amp;K243&amp;""' and Col6 = ""&amp;M243&amp;"" and Col4 = date '""&amp;YEAR(C243)&amp;""-""&amp;MONTH(C243)&amp;""-""&amp;DAY(C243)&amp;""'""))&gt;0,""Caixa Atendimento"",""Caixa Sangria"")),""""),""Caixa Sangria"")"),"")</f>
        <v/>
      </c>
      <c r="M243" s="185" t="str">
        <f>IFERROR(__xludf.DUMMYFUNCTION("ifna(VALUE(REGEXEXTRACT(E243,""[0-9.]+[,]+[0-9]+"")))"),"")</f>
        <v/>
      </c>
      <c r="N243" s="185"/>
      <c r="O243" s="185"/>
      <c r="P243" s="185"/>
      <c r="Q243" s="185"/>
      <c r="R243" s="185"/>
      <c r="S243" s="185"/>
      <c r="T243" s="185"/>
      <c r="U243" s="185"/>
      <c r="V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184" t="str">
        <f>IFERROR(__xludf.DUMMYFUNCTION("ifna(IF(and(D244=""Saída"",J244=""Sangria""),if(sum(QUERY(IMPORTRANGE(""https://docs.google.com/spreadsheets/d/1E4szPcLzsqlw4uyBAoJ61L1ChCgpz4wVP8tHfHW1g_c"",""BD M Sangrias!a:i""),""select Col6 where Col7 = 'Depositada' and Col9 = '""&amp;K244&amp;""' and Col6 ="&amp;" ""&amp;M244&amp;"" and Col4 = date '""&amp;YEAR(C244)&amp;""-""&amp;MONTH(C244)&amp;""-""&amp;DAY(C244)&amp;""'""))&gt;0,""Depositada"",if(sum(QUERY(IMPORTRANGE(""https://docs.google.com/spreadsheets/d/1EcLIvUgMoBC5as4ikW0wuQsGH5yVZ6cQ1y16qEfgPnk"",""BD M Sangrias!a:i""),""select Col6 whe"&amp;"re Col7 = 'Caixa Atendimento' and Col9 = '""&amp;K244&amp;""' and Col6 = ""&amp;M244&amp;"" and Col4 = date '""&amp;YEAR(C244)&amp;""-""&amp;MONTH(C244)&amp;""-""&amp;DAY(C244)&amp;""'""))&gt;0,""Caixa Atendimento"",""Caixa Sangria"")),""""),""Caixa Sangria"")"),"")</f>
        <v/>
      </c>
      <c r="M244" s="185" t="str">
        <f>IFERROR(__xludf.DUMMYFUNCTION("ifna(VALUE(REGEXEXTRACT(E244,""[0-9.]+[,]+[0-9]+"")))"),"")</f>
        <v/>
      </c>
      <c r="N244" s="185"/>
      <c r="O244" s="185"/>
      <c r="P244" s="185"/>
      <c r="Q244" s="185"/>
      <c r="R244" s="185"/>
      <c r="S244" s="185"/>
      <c r="T244" s="185"/>
      <c r="U244" s="185"/>
      <c r="V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184" t="str">
        <f>IFERROR(__xludf.DUMMYFUNCTION("ifna(IF(and(D245=""Saída"",J245=""Sangria""),if(sum(QUERY(IMPORTRANGE(""https://docs.google.com/spreadsheets/d/1E4szPcLzsqlw4uyBAoJ61L1ChCgpz4wVP8tHfHW1g_c"",""BD M Sangrias!a:i""),""select Col6 where Col7 = 'Depositada' and Col9 = '""&amp;K245&amp;""' and Col6 ="&amp;" ""&amp;M245&amp;"" and Col4 = date '""&amp;YEAR(C245)&amp;""-""&amp;MONTH(C245)&amp;""-""&amp;DAY(C245)&amp;""'""))&gt;0,""Depositada"",if(sum(QUERY(IMPORTRANGE(""https://docs.google.com/spreadsheets/d/1EcLIvUgMoBC5as4ikW0wuQsGH5yVZ6cQ1y16qEfgPnk"",""BD M Sangrias!a:i""),""select Col6 whe"&amp;"re Col7 = 'Caixa Atendimento' and Col9 = '""&amp;K245&amp;""' and Col6 = ""&amp;M245&amp;"" and Col4 = date '""&amp;YEAR(C245)&amp;""-""&amp;MONTH(C245)&amp;""-""&amp;DAY(C245)&amp;""'""))&gt;0,""Caixa Atendimento"",""Caixa Sangria"")),""""),""Caixa Sangria"")"),"")</f>
        <v/>
      </c>
      <c r="M245" s="185" t="str">
        <f>IFERROR(__xludf.DUMMYFUNCTION("ifna(VALUE(REGEXEXTRACT(E245,""[0-9.]+[,]+[0-9]+"")))"),"")</f>
        <v/>
      </c>
      <c r="N245" s="185"/>
      <c r="O245" s="185"/>
      <c r="P245" s="185"/>
      <c r="Q245" s="185"/>
      <c r="R245" s="185"/>
      <c r="S245" s="185"/>
      <c r="T245" s="185"/>
      <c r="U245" s="185"/>
      <c r="V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184" t="str">
        <f>IFERROR(__xludf.DUMMYFUNCTION("ifna(IF(and(D246=""Saída"",J246=""Sangria""),if(sum(QUERY(IMPORTRANGE(""https://docs.google.com/spreadsheets/d/1E4szPcLzsqlw4uyBAoJ61L1ChCgpz4wVP8tHfHW1g_c"",""BD M Sangrias!a:i""),""select Col6 where Col7 = 'Depositada' and Col9 = '""&amp;K246&amp;""' and Col6 ="&amp;" ""&amp;M246&amp;"" and Col4 = date '""&amp;YEAR(C246)&amp;""-""&amp;MONTH(C246)&amp;""-""&amp;DAY(C246)&amp;""'""))&gt;0,""Depositada"",if(sum(QUERY(IMPORTRANGE(""https://docs.google.com/spreadsheets/d/1EcLIvUgMoBC5as4ikW0wuQsGH5yVZ6cQ1y16qEfgPnk"",""BD M Sangrias!a:i""),""select Col6 whe"&amp;"re Col7 = 'Caixa Atendimento' and Col9 = '""&amp;K246&amp;""' and Col6 = ""&amp;M246&amp;"" and Col4 = date '""&amp;YEAR(C246)&amp;""-""&amp;MONTH(C246)&amp;""-""&amp;DAY(C246)&amp;""'""))&gt;0,""Caixa Atendimento"",""Caixa Sangria"")),""""),""Caixa Sangria"")"),"")</f>
        <v/>
      </c>
      <c r="M246" s="185" t="str">
        <f>IFERROR(__xludf.DUMMYFUNCTION("ifna(VALUE(REGEXEXTRACT(E246,""[0-9.]+[,]+[0-9]+"")))"),"")</f>
        <v/>
      </c>
      <c r="N246" s="185"/>
      <c r="O246" s="185"/>
      <c r="P246" s="185"/>
      <c r="Q246" s="185"/>
      <c r="R246" s="185"/>
      <c r="S246" s="185"/>
      <c r="T246" s="185"/>
      <c r="U246" s="185"/>
      <c r="V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184" t="str">
        <f>IFERROR(__xludf.DUMMYFUNCTION("ifna(IF(and(D247=""Saída"",J247=""Sangria""),if(sum(QUERY(IMPORTRANGE(""https://docs.google.com/spreadsheets/d/1E4szPcLzsqlw4uyBAoJ61L1ChCgpz4wVP8tHfHW1g_c"",""BD M Sangrias!a:i""),""select Col6 where Col7 = 'Depositada' and Col9 = '""&amp;K247&amp;""' and Col6 ="&amp;" ""&amp;M247&amp;"" and Col4 = date '""&amp;YEAR(C247)&amp;""-""&amp;MONTH(C247)&amp;""-""&amp;DAY(C247)&amp;""'""))&gt;0,""Depositada"",if(sum(QUERY(IMPORTRANGE(""https://docs.google.com/spreadsheets/d/1EcLIvUgMoBC5as4ikW0wuQsGH5yVZ6cQ1y16qEfgPnk"",""BD M Sangrias!a:i""),""select Col6 whe"&amp;"re Col7 = 'Caixa Atendimento' and Col9 = '""&amp;K247&amp;""' and Col6 = ""&amp;M247&amp;"" and Col4 = date '""&amp;YEAR(C247)&amp;""-""&amp;MONTH(C247)&amp;""-""&amp;DAY(C247)&amp;""'""))&gt;0,""Caixa Atendimento"",""Caixa Sangria"")),""""),""Caixa Sangria"")"),"")</f>
        <v/>
      </c>
      <c r="M247" s="185" t="str">
        <f>IFERROR(__xludf.DUMMYFUNCTION("ifna(VALUE(REGEXEXTRACT(E247,""[0-9.]+[,]+[0-9]+"")))"),"")</f>
        <v/>
      </c>
      <c r="N247" s="185"/>
      <c r="O247" s="185"/>
      <c r="P247" s="185"/>
      <c r="Q247" s="185"/>
      <c r="R247" s="185"/>
      <c r="S247" s="185"/>
      <c r="T247" s="185"/>
      <c r="U247" s="185"/>
      <c r="V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184" t="str">
        <f>IFERROR(__xludf.DUMMYFUNCTION("ifna(IF(and(D248=""Saída"",J248=""Sangria""),if(sum(QUERY(IMPORTRANGE(""https://docs.google.com/spreadsheets/d/1E4szPcLzsqlw4uyBAoJ61L1ChCgpz4wVP8tHfHW1g_c"",""BD M Sangrias!a:i""),""select Col6 where Col7 = 'Depositada' and Col9 = '""&amp;K248&amp;""' and Col6 ="&amp;" ""&amp;M248&amp;"" and Col4 = date '""&amp;YEAR(C248)&amp;""-""&amp;MONTH(C248)&amp;""-""&amp;DAY(C248)&amp;""'""))&gt;0,""Depositada"",if(sum(QUERY(IMPORTRANGE(""https://docs.google.com/spreadsheets/d/1EcLIvUgMoBC5as4ikW0wuQsGH5yVZ6cQ1y16qEfgPnk"",""BD M Sangrias!a:i""),""select Col6 whe"&amp;"re Col7 = 'Caixa Atendimento' and Col9 = '""&amp;K248&amp;""' and Col6 = ""&amp;M248&amp;"" and Col4 = date '""&amp;YEAR(C248)&amp;""-""&amp;MONTH(C248)&amp;""-""&amp;DAY(C248)&amp;""'""))&gt;0,""Caixa Atendimento"",""Caixa Sangria"")),""""),""Caixa Sangria"")"),"")</f>
        <v/>
      </c>
      <c r="M248" s="185" t="str">
        <f>IFERROR(__xludf.DUMMYFUNCTION("ifna(VALUE(REGEXEXTRACT(E248,""[0-9.]+[,]+[0-9]+"")))"),"")</f>
        <v/>
      </c>
      <c r="N248" s="185"/>
      <c r="O248" s="185"/>
      <c r="P248" s="185"/>
      <c r="Q248" s="185"/>
      <c r="R248" s="185"/>
      <c r="S248" s="185"/>
      <c r="T248" s="185"/>
      <c r="U248" s="185"/>
      <c r="V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184" t="str">
        <f>IFERROR(__xludf.DUMMYFUNCTION("ifna(IF(and(D249=""Saída"",J249=""Sangria""),if(sum(QUERY(IMPORTRANGE(""https://docs.google.com/spreadsheets/d/1E4szPcLzsqlw4uyBAoJ61L1ChCgpz4wVP8tHfHW1g_c"",""BD M Sangrias!a:i""),""select Col6 where Col7 = 'Depositada' and Col9 = '""&amp;K249&amp;""' and Col6 ="&amp;" ""&amp;M249&amp;"" and Col4 = date '""&amp;YEAR(C249)&amp;""-""&amp;MONTH(C249)&amp;""-""&amp;DAY(C249)&amp;""'""))&gt;0,""Depositada"",if(sum(QUERY(IMPORTRANGE(""https://docs.google.com/spreadsheets/d/1EcLIvUgMoBC5as4ikW0wuQsGH5yVZ6cQ1y16qEfgPnk"",""BD M Sangrias!a:i""),""select Col6 whe"&amp;"re Col7 = 'Caixa Atendimento' and Col9 = '""&amp;K249&amp;""' and Col6 = ""&amp;M249&amp;"" and Col4 = date '""&amp;YEAR(C249)&amp;""-""&amp;MONTH(C249)&amp;""-""&amp;DAY(C249)&amp;""'""))&gt;0,""Caixa Atendimento"",""Caixa Sangria"")),""""),""Caixa Sangria"")"),"")</f>
        <v/>
      </c>
      <c r="M249" s="185" t="str">
        <f>IFERROR(__xludf.DUMMYFUNCTION("ifna(VALUE(REGEXEXTRACT(E249,""[0-9.]+[,]+[0-9]+"")))"),"")</f>
        <v/>
      </c>
      <c r="N249" s="185"/>
      <c r="O249" s="185"/>
      <c r="P249" s="185"/>
      <c r="Q249" s="185"/>
      <c r="R249" s="185"/>
      <c r="S249" s="185"/>
      <c r="T249" s="185"/>
      <c r="U249" s="185"/>
      <c r="V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184" t="str">
        <f>IFERROR(__xludf.DUMMYFUNCTION("ifna(IF(and(D250=""Saída"",J250=""Sangria""),if(sum(QUERY(IMPORTRANGE(""https://docs.google.com/spreadsheets/d/1E4szPcLzsqlw4uyBAoJ61L1ChCgpz4wVP8tHfHW1g_c"",""BD M Sangrias!a:i""),""select Col6 where Col7 = 'Depositada' and Col9 = '""&amp;K250&amp;""' and Col6 ="&amp;" ""&amp;M250&amp;"" and Col4 = date '""&amp;YEAR(C250)&amp;""-""&amp;MONTH(C250)&amp;""-""&amp;DAY(C250)&amp;""'""))&gt;0,""Depositada"",if(sum(QUERY(IMPORTRANGE(""https://docs.google.com/spreadsheets/d/1EcLIvUgMoBC5as4ikW0wuQsGH5yVZ6cQ1y16qEfgPnk"",""BD M Sangrias!a:i""),""select Col6 whe"&amp;"re Col7 = 'Caixa Atendimento' and Col9 = '""&amp;K250&amp;""' and Col6 = ""&amp;M250&amp;"" and Col4 = date '""&amp;YEAR(C250)&amp;""-""&amp;MONTH(C250)&amp;""-""&amp;DAY(C250)&amp;""'""))&gt;0,""Caixa Atendimento"",""Caixa Sangria"")),""""),""Caixa Sangria"")"),"")</f>
        <v/>
      </c>
      <c r="M250" s="185" t="str">
        <f>IFERROR(__xludf.DUMMYFUNCTION("ifna(VALUE(REGEXEXTRACT(E250,""[0-9.]+[,]+[0-9]+"")))"),"")</f>
        <v/>
      </c>
      <c r="N250" s="185"/>
      <c r="O250" s="185"/>
      <c r="P250" s="185"/>
      <c r="Q250" s="185"/>
      <c r="R250" s="185"/>
      <c r="S250" s="185"/>
      <c r="T250" s="185"/>
      <c r="U250" s="185"/>
      <c r="V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184" t="str">
        <f>IFERROR(__xludf.DUMMYFUNCTION("ifna(IF(and(D251=""Saída"",J251=""Sangria""),if(sum(QUERY(IMPORTRANGE(""https://docs.google.com/spreadsheets/d/1E4szPcLzsqlw4uyBAoJ61L1ChCgpz4wVP8tHfHW1g_c"",""BD M Sangrias!a:i""),""select Col6 where Col7 = 'Depositada' and Col9 = '""&amp;K251&amp;""' and Col6 ="&amp;" ""&amp;M251&amp;"" and Col4 = date '""&amp;YEAR(C251)&amp;""-""&amp;MONTH(C251)&amp;""-""&amp;DAY(C251)&amp;""'""))&gt;0,""Depositada"",if(sum(QUERY(IMPORTRANGE(""https://docs.google.com/spreadsheets/d/1EcLIvUgMoBC5as4ikW0wuQsGH5yVZ6cQ1y16qEfgPnk"",""BD M Sangrias!a:i""),""select Col6 whe"&amp;"re Col7 = 'Caixa Atendimento' and Col9 = '""&amp;K251&amp;""' and Col6 = ""&amp;M251&amp;"" and Col4 = date '""&amp;YEAR(C251)&amp;""-""&amp;MONTH(C251)&amp;""-""&amp;DAY(C251)&amp;""'""))&gt;0,""Caixa Atendimento"",""Caixa Sangria"")),""""),""Caixa Sangria"")"),"")</f>
        <v/>
      </c>
      <c r="M251" s="185" t="str">
        <f>IFERROR(__xludf.DUMMYFUNCTION("ifna(VALUE(REGEXEXTRACT(E251,""[0-9.]+[,]+[0-9]+"")))"),"")</f>
        <v/>
      </c>
      <c r="N251" s="185"/>
      <c r="O251" s="185"/>
      <c r="P251" s="185"/>
      <c r="Q251" s="185"/>
      <c r="R251" s="185"/>
      <c r="S251" s="185"/>
      <c r="T251" s="185"/>
      <c r="U251" s="185"/>
      <c r="V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184" t="str">
        <f>IFERROR(__xludf.DUMMYFUNCTION("ifna(IF(and(D252=""Saída"",J252=""Sangria""),if(sum(QUERY(IMPORTRANGE(""https://docs.google.com/spreadsheets/d/1E4szPcLzsqlw4uyBAoJ61L1ChCgpz4wVP8tHfHW1g_c"",""BD M Sangrias!a:i""),""select Col6 where Col7 = 'Depositada' and Col9 = '""&amp;K252&amp;""' and Col6 ="&amp;" ""&amp;M252&amp;"" and Col4 = date '""&amp;YEAR(C252)&amp;""-""&amp;MONTH(C252)&amp;""-""&amp;DAY(C252)&amp;""'""))&gt;0,""Depositada"",if(sum(QUERY(IMPORTRANGE(""https://docs.google.com/spreadsheets/d/1EcLIvUgMoBC5as4ikW0wuQsGH5yVZ6cQ1y16qEfgPnk"",""BD M Sangrias!a:i""),""select Col6 whe"&amp;"re Col7 = 'Caixa Atendimento' and Col9 = '""&amp;K252&amp;""' and Col6 = ""&amp;M252&amp;"" and Col4 = date '""&amp;YEAR(C252)&amp;""-""&amp;MONTH(C252)&amp;""-""&amp;DAY(C252)&amp;""'""))&gt;0,""Caixa Atendimento"",""Caixa Sangria"")),""""),""Caixa Sangria"")"),"")</f>
        <v/>
      </c>
      <c r="M252" s="185" t="str">
        <f>IFERROR(__xludf.DUMMYFUNCTION("ifna(VALUE(REGEXEXTRACT(E252,""[0-9.]+[,]+[0-9]+"")))"),"")</f>
        <v/>
      </c>
      <c r="N252" s="185"/>
      <c r="O252" s="185"/>
      <c r="P252" s="185"/>
      <c r="Q252" s="185"/>
      <c r="R252" s="185"/>
      <c r="S252" s="185"/>
      <c r="T252" s="185"/>
      <c r="U252" s="185"/>
      <c r="V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184" t="str">
        <f>IFERROR(__xludf.DUMMYFUNCTION("ifna(IF(and(D253=""Saída"",J253=""Sangria""),if(sum(QUERY(IMPORTRANGE(""https://docs.google.com/spreadsheets/d/1E4szPcLzsqlw4uyBAoJ61L1ChCgpz4wVP8tHfHW1g_c"",""BD M Sangrias!a:i""),""select Col6 where Col7 = 'Depositada' and Col9 = '""&amp;K253&amp;""' and Col6 ="&amp;" ""&amp;M253&amp;"" and Col4 = date '""&amp;YEAR(C253)&amp;""-""&amp;MONTH(C253)&amp;""-""&amp;DAY(C253)&amp;""'""))&gt;0,""Depositada"",if(sum(QUERY(IMPORTRANGE(""https://docs.google.com/spreadsheets/d/1EcLIvUgMoBC5as4ikW0wuQsGH5yVZ6cQ1y16qEfgPnk"",""BD M Sangrias!a:i""),""select Col6 whe"&amp;"re Col7 = 'Caixa Atendimento' and Col9 = '""&amp;K253&amp;""' and Col6 = ""&amp;M253&amp;"" and Col4 = date '""&amp;YEAR(C253)&amp;""-""&amp;MONTH(C253)&amp;""-""&amp;DAY(C253)&amp;""'""))&gt;0,""Caixa Atendimento"",""Caixa Sangria"")),""""),""Caixa Sangria"")"),"")</f>
        <v/>
      </c>
      <c r="M253" s="185" t="str">
        <f>IFERROR(__xludf.DUMMYFUNCTION("ifna(VALUE(REGEXEXTRACT(E253,""[0-9.]+[,]+[0-9]+"")))"),"")</f>
        <v/>
      </c>
      <c r="N253" s="185"/>
      <c r="O253" s="185"/>
      <c r="P253" s="185"/>
      <c r="Q253" s="185"/>
      <c r="R253" s="185"/>
      <c r="S253" s="185"/>
      <c r="T253" s="185"/>
      <c r="U253" s="185"/>
      <c r="V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184" t="str">
        <f>IFERROR(__xludf.DUMMYFUNCTION("ifna(IF(and(D254=""Saída"",J254=""Sangria""),if(sum(QUERY(IMPORTRANGE(""https://docs.google.com/spreadsheets/d/1E4szPcLzsqlw4uyBAoJ61L1ChCgpz4wVP8tHfHW1g_c"",""BD M Sangrias!a:i""),""select Col6 where Col7 = 'Depositada' and Col9 = '""&amp;K254&amp;""' and Col6 ="&amp;" ""&amp;M254&amp;"" and Col4 = date '""&amp;YEAR(C254)&amp;""-""&amp;MONTH(C254)&amp;""-""&amp;DAY(C254)&amp;""'""))&gt;0,""Depositada"",if(sum(QUERY(IMPORTRANGE(""https://docs.google.com/spreadsheets/d/1EcLIvUgMoBC5as4ikW0wuQsGH5yVZ6cQ1y16qEfgPnk"",""BD M Sangrias!a:i""),""select Col6 whe"&amp;"re Col7 = 'Caixa Atendimento' and Col9 = '""&amp;K254&amp;""' and Col6 = ""&amp;M254&amp;"" and Col4 = date '""&amp;YEAR(C254)&amp;""-""&amp;MONTH(C254)&amp;""-""&amp;DAY(C254)&amp;""'""))&gt;0,""Caixa Atendimento"",""Caixa Sangria"")),""""),""Caixa Sangria"")"),"")</f>
        <v/>
      </c>
      <c r="M254" s="185" t="str">
        <f>IFERROR(__xludf.DUMMYFUNCTION("ifna(VALUE(REGEXEXTRACT(E254,""[0-9.]+[,]+[0-9]+"")))"),"")</f>
        <v/>
      </c>
      <c r="N254" s="185"/>
      <c r="O254" s="185"/>
      <c r="P254" s="185"/>
      <c r="Q254" s="185"/>
      <c r="R254" s="185"/>
      <c r="S254" s="185"/>
      <c r="T254" s="185"/>
      <c r="U254" s="185"/>
      <c r="V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184" t="str">
        <f>IFERROR(__xludf.DUMMYFUNCTION("ifna(IF(and(D255=""Saída"",J255=""Sangria""),if(sum(QUERY(IMPORTRANGE(""https://docs.google.com/spreadsheets/d/1E4szPcLzsqlw4uyBAoJ61L1ChCgpz4wVP8tHfHW1g_c"",""BD M Sangrias!a:i""),""select Col6 where Col7 = 'Depositada' and Col9 = '""&amp;K255&amp;""' and Col6 ="&amp;" ""&amp;M255&amp;"" and Col4 = date '""&amp;YEAR(C255)&amp;""-""&amp;MONTH(C255)&amp;""-""&amp;DAY(C255)&amp;""'""))&gt;0,""Depositada"",if(sum(QUERY(IMPORTRANGE(""https://docs.google.com/spreadsheets/d/1EcLIvUgMoBC5as4ikW0wuQsGH5yVZ6cQ1y16qEfgPnk"",""BD M Sangrias!a:i""),""select Col6 whe"&amp;"re Col7 = 'Caixa Atendimento' and Col9 = '""&amp;K255&amp;""' and Col6 = ""&amp;M255&amp;"" and Col4 = date '""&amp;YEAR(C255)&amp;""-""&amp;MONTH(C255)&amp;""-""&amp;DAY(C255)&amp;""'""))&gt;0,""Caixa Atendimento"",""Caixa Sangria"")),""""),""Caixa Sangria"")"),"")</f>
        <v/>
      </c>
      <c r="M255" s="185" t="str">
        <f>IFERROR(__xludf.DUMMYFUNCTION("ifna(VALUE(REGEXEXTRACT(E255,""[0-9.]+[,]+[0-9]+"")))"),"")</f>
        <v/>
      </c>
      <c r="N255" s="185"/>
      <c r="O255" s="185"/>
      <c r="P255" s="185"/>
      <c r="Q255" s="185"/>
      <c r="R255" s="185"/>
      <c r="S255" s="185"/>
      <c r="T255" s="185"/>
      <c r="U255" s="185"/>
      <c r="V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184" t="str">
        <f>IFERROR(__xludf.DUMMYFUNCTION("ifna(IF(and(D256=""Saída"",J256=""Sangria""),if(sum(QUERY(IMPORTRANGE(""https://docs.google.com/spreadsheets/d/1E4szPcLzsqlw4uyBAoJ61L1ChCgpz4wVP8tHfHW1g_c"",""BD M Sangrias!a:i""),""select Col6 where Col7 = 'Depositada' and Col9 = '""&amp;K256&amp;""' and Col6 ="&amp;" ""&amp;M256&amp;"" and Col4 = date '""&amp;YEAR(C256)&amp;""-""&amp;MONTH(C256)&amp;""-""&amp;DAY(C256)&amp;""'""))&gt;0,""Depositada"",if(sum(QUERY(IMPORTRANGE(""https://docs.google.com/spreadsheets/d/1EcLIvUgMoBC5as4ikW0wuQsGH5yVZ6cQ1y16qEfgPnk"",""BD M Sangrias!a:i""),""select Col6 whe"&amp;"re Col7 = 'Caixa Atendimento' and Col9 = '""&amp;K256&amp;""' and Col6 = ""&amp;M256&amp;"" and Col4 = date '""&amp;YEAR(C256)&amp;""-""&amp;MONTH(C256)&amp;""-""&amp;DAY(C256)&amp;""'""))&gt;0,""Caixa Atendimento"",""Caixa Sangria"")),""""),""Caixa Sangria"")"),"")</f>
        <v/>
      </c>
      <c r="M256" s="185" t="str">
        <f>IFERROR(__xludf.DUMMYFUNCTION("ifna(VALUE(REGEXEXTRACT(E256,""[0-9.]+[,]+[0-9]+"")))"),"")</f>
        <v/>
      </c>
      <c r="N256" s="185"/>
      <c r="O256" s="185"/>
      <c r="P256" s="185"/>
      <c r="Q256" s="185"/>
      <c r="R256" s="185"/>
      <c r="S256" s="185"/>
      <c r="T256" s="185"/>
      <c r="U256" s="185"/>
      <c r="V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184" t="str">
        <f>IFERROR(__xludf.DUMMYFUNCTION("ifna(IF(and(D257=""Saída"",J257=""Sangria""),if(sum(QUERY(IMPORTRANGE(""https://docs.google.com/spreadsheets/d/1E4szPcLzsqlw4uyBAoJ61L1ChCgpz4wVP8tHfHW1g_c"",""BD M Sangrias!a:i""),""select Col6 where Col7 = 'Depositada' and Col9 = '""&amp;K257&amp;""' and Col6 ="&amp;" ""&amp;M257&amp;"" and Col4 = date '""&amp;YEAR(C257)&amp;""-""&amp;MONTH(C257)&amp;""-""&amp;DAY(C257)&amp;""'""))&gt;0,""Depositada"",if(sum(QUERY(IMPORTRANGE(""https://docs.google.com/spreadsheets/d/1EcLIvUgMoBC5as4ikW0wuQsGH5yVZ6cQ1y16qEfgPnk"",""BD M Sangrias!a:i""),""select Col6 whe"&amp;"re Col7 = 'Caixa Atendimento' and Col9 = '""&amp;K257&amp;""' and Col6 = ""&amp;M257&amp;"" and Col4 = date '""&amp;YEAR(C257)&amp;""-""&amp;MONTH(C257)&amp;""-""&amp;DAY(C257)&amp;""'""))&gt;0,""Caixa Atendimento"",""Caixa Sangria"")),""""),""Caixa Sangria"")"),"")</f>
        <v/>
      </c>
      <c r="M257" s="185" t="str">
        <f>IFERROR(__xludf.DUMMYFUNCTION("ifna(VALUE(REGEXEXTRACT(E257,""[0-9.]+[,]+[0-9]+"")))"),"")</f>
        <v/>
      </c>
      <c r="N257" s="185"/>
      <c r="O257" s="185"/>
      <c r="P257" s="185"/>
      <c r="Q257" s="185"/>
      <c r="R257" s="185"/>
      <c r="S257" s="185"/>
      <c r="T257" s="185"/>
      <c r="U257" s="185"/>
      <c r="V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184" t="str">
        <f>IFERROR(__xludf.DUMMYFUNCTION("ifna(IF(and(D258=""Saída"",J258=""Sangria""),if(sum(QUERY(IMPORTRANGE(""https://docs.google.com/spreadsheets/d/1E4szPcLzsqlw4uyBAoJ61L1ChCgpz4wVP8tHfHW1g_c"",""BD M Sangrias!a:i""),""select Col6 where Col7 = 'Depositada' and Col9 = '""&amp;K258&amp;""' and Col6 ="&amp;" ""&amp;M258&amp;"" and Col4 = date '""&amp;YEAR(C258)&amp;""-""&amp;MONTH(C258)&amp;""-""&amp;DAY(C258)&amp;""'""))&gt;0,""Depositada"",if(sum(QUERY(IMPORTRANGE(""https://docs.google.com/spreadsheets/d/1EcLIvUgMoBC5as4ikW0wuQsGH5yVZ6cQ1y16qEfgPnk"",""BD M Sangrias!a:i""),""select Col6 whe"&amp;"re Col7 = 'Caixa Atendimento' and Col9 = '""&amp;K258&amp;""' and Col6 = ""&amp;M258&amp;"" and Col4 = date '""&amp;YEAR(C258)&amp;""-""&amp;MONTH(C258)&amp;""-""&amp;DAY(C258)&amp;""'""))&gt;0,""Caixa Atendimento"",""Caixa Sangria"")),""""),""Caixa Sangria"")"),"")</f>
        <v/>
      </c>
      <c r="M258" s="185" t="str">
        <f>IFERROR(__xludf.DUMMYFUNCTION("ifna(VALUE(REGEXEXTRACT(E258,""[0-9.]+[,]+[0-9]+"")))"),"")</f>
        <v/>
      </c>
      <c r="N258" s="185"/>
      <c r="O258" s="185"/>
      <c r="P258" s="185"/>
      <c r="Q258" s="185"/>
      <c r="R258" s="185"/>
      <c r="S258" s="185"/>
      <c r="T258" s="185"/>
      <c r="U258" s="185"/>
      <c r="V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184" t="str">
        <f>IFERROR(__xludf.DUMMYFUNCTION("ifna(IF(and(D259=""Saída"",J259=""Sangria""),if(sum(QUERY(IMPORTRANGE(""https://docs.google.com/spreadsheets/d/1E4szPcLzsqlw4uyBAoJ61L1ChCgpz4wVP8tHfHW1g_c"",""BD M Sangrias!a:i""),""select Col6 where Col7 = 'Depositada' and Col9 = '""&amp;K259&amp;""' and Col6 ="&amp;" ""&amp;M259&amp;"" and Col4 = date '""&amp;YEAR(C259)&amp;""-""&amp;MONTH(C259)&amp;""-""&amp;DAY(C259)&amp;""'""))&gt;0,""Depositada"",if(sum(QUERY(IMPORTRANGE(""https://docs.google.com/spreadsheets/d/1EcLIvUgMoBC5as4ikW0wuQsGH5yVZ6cQ1y16qEfgPnk"",""BD M Sangrias!a:i""),""select Col6 whe"&amp;"re Col7 = 'Caixa Atendimento' and Col9 = '""&amp;K259&amp;""' and Col6 = ""&amp;M259&amp;"" and Col4 = date '""&amp;YEAR(C259)&amp;""-""&amp;MONTH(C259)&amp;""-""&amp;DAY(C259)&amp;""'""))&gt;0,""Caixa Atendimento"",""Caixa Sangria"")),""""),""Caixa Sangria"")"),"")</f>
        <v/>
      </c>
      <c r="M259" s="185" t="str">
        <f>IFERROR(__xludf.DUMMYFUNCTION("ifna(VALUE(REGEXEXTRACT(E259,""[0-9.]+[,]+[0-9]+"")))"),"")</f>
        <v/>
      </c>
      <c r="N259" s="185"/>
      <c r="O259" s="185"/>
      <c r="P259" s="185"/>
      <c r="Q259" s="185"/>
      <c r="R259" s="185"/>
      <c r="S259" s="185"/>
      <c r="T259" s="185"/>
      <c r="U259" s="185"/>
      <c r="V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184" t="str">
        <f>IFERROR(__xludf.DUMMYFUNCTION("ifna(IF(and(D260=""Saída"",J260=""Sangria""),if(sum(QUERY(IMPORTRANGE(""https://docs.google.com/spreadsheets/d/1E4szPcLzsqlw4uyBAoJ61L1ChCgpz4wVP8tHfHW1g_c"",""BD M Sangrias!a:i""),""select Col6 where Col7 = 'Depositada' and Col9 = '""&amp;K260&amp;""' and Col6 ="&amp;" ""&amp;M260&amp;"" and Col4 = date '""&amp;YEAR(C260)&amp;""-""&amp;MONTH(C260)&amp;""-""&amp;DAY(C260)&amp;""'""))&gt;0,""Depositada"",if(sum(QUERY(IMPORTRANGE(""https://docs.google.com/spreadsheets/d/1EcLIvUgMoBC5as4ikW0wuQsGH5yVZ6cQ1y16qEfgPnk"",""BD M Sangrias!a:i""),""select Col6 whe"&amp;"re Col7 = 'Caixa Atendimento' and Col9 = '""&amp;K260&amp;""' and Col6 = ""&amp;M260&amp;"" and Col4 = date '""&amp;YEAR(C260)&amp;""-""&amp;MONTH(C260)&amp;""-""&amp;DAY(C260)&amp;""'""))&gt;0,""Caixa Atendimento"",""Caixa Sangria"")),""""),""Caixa Sangria"")"),"")</f>
        <v/>
      </c>
      <c r="M260" s="185" t="str">
        <f>IFERROR(__xludf.DUMMYFUNCTION("ifna(VALUE(REGEXEXTRACT(E260,""[0-9.]+[,]+[0-9]+"")))"),"")</f>
        <v/>
      </c>
      <c r="N260" s="185"/>
      <c r="O260" s="185"/>
      <c r="P260" s="185"/>
      <c r="Q260" s="185"/>
      <c r="R260" s="185"/>
      <c r="S260" s="185"/>
      <c r="T260" s="185"/>
      <c r="U260" s="185"/>
      <c r="V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184" t="str">
        <f>IFERROR(__xludf.DUMMYFUNCTION("ifna(IF(and(D261=""Saída"",J261=""Sangria""),if(sum(QUERY(IMPORTRANGE(""https://docs.google.com/spreadsheets/d/1E4szPcLzsqlw4uyBAoJ61L1ChCgpz4wVP8tHfHW1g_c"",""BD M Sangrias!a:i""),""select Col6 where Col7 = 'Depositada' and Col9 = '""&amp;K261&amp;""' and Col6 ="&amp;" ""&amp;M261&amp;"" and Col4 = date '""&amp;YEAR(C261)&amp;""-""&amp;MONTH(C261)&amp;""-""&amp;DAY(C261)&amp;""'""))&gt;0,""Depositada"",if(sum(QUERY(IMPORTRANGE(""https://docs.google.com/spreadsheets/d/1EcLIvUgMoBC5as4ikW0wuQsGH5yVZ6cQ1y16qEfgPnk"",""BD M Sangrias!a:i""),""select Col6 whe"&amp;"re Col7 = 'Caixa Atendimento' and Col9 = '""&amp;K261&amp;""' and Col6 = ""&amp;M261&amp;"" and Col4 = date '""&amp;YEAR(C261)&amp;""-""&amp;MONTH(C261)&amp;""-""&amp;DAY(C261)&amp;""'""))&gt;0,""Caixa Atendimento"",""Caixa Sangria"")),""""),""Caixa Sangria"")"),"")</f>
        <v/>
      </c>
      <c r="M261" s="185" t="str">
        <f>IFERROR(__xludf.DUMMYFUNCTION("ifna(VALUE(REGEXEXTRACT(E261,""[0-9.]+[,]+[0-9]+"")))"),"")</f>
        <v/>
      </c>
      <c r="N261" s="185"/>
      <c r="O261" s="185"/>
      <c r="P261" s="185"/>
      <c r="Q261" s="185"/>
      <c r="R261" s="185"/>
      <c r="S261" s="185"/>
      <c r="T261" s="185"/>
      <c r="U261" s="185"/>
      <c r="V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184" t="str">
        <f>IFERROR(__xludf.DUMMYFUNCTION("ifna(IF(and(D262=""Saída"",J262=""Sangria""),if(sum(QUERY(IMPORTRANGE(""https://docs.google.com/spreadsheets/d/1E4szPcLzsqlw4uyBAoJ61L1ChCgpz4wVP8tHfHW1g_c"",""BD M Sangrias!a:i""),""select Col6 where Col7 = 'Depositada' and Col9 = '""&amp;K262&amp;""' and Col6 ="&amp;" ""&amp;M262&amp;"" and Col4 = date '""&amp;YEAR(C262)&amp;""-""&amp;MONTH(C262)&amp;""-""&amp;DAY(C262)&amp;""'""))&gt;0,""Depositada"",if(sum(QUERY(IMPORTRANGE(""https://docs.google.com/spreadsheets/d/1EcLIvUgMoBC5as4ikW0wuQsGH5yVZ6cQ1y16qEfgPnk"",""BD M Sangrias!a:i""),""select Col6 whe"&amp;"re Col7 = 'Caixa Atendimento' and Col9 = '""&amp;K262&amp;""' and Col6 = ""&amp;M262&amp;"" and Col4 = date '""&amp;YEAR(C262)&amp;""-""&amp;MONTH(C262)&amp;""-""&amp;DAY(C262)&amp;""'""))&gt;0,""Caixa Atendimento"",""Caixa Sangria"")),""""),""Caixa Sangria"")"),"")</f>
        <v/>
      </c>
      <c r="M262" s="185" t="str">
        <f>IFERROR(__xludf.DUMMYFUNCTION("ifna(VALUE(REGEXEXTRACT(E262,""[0-9.]+[,]+[0-9]+"")))"),"")</f>
        <v/>
      </c>
      <c r="N262" s="185"/>
      <c r="O262" s="185"/>
      <c r="P262" s="185"/>
      <c r="Q262" s="185"/>
      <c r="R262" s="185"/>
      <c r="S262" s="185"/>
      <c r="T262" s="185"/>
      <c r="U262" s="185"/>
      <c r="V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184" t="str">
        <f>IFERROR(__xludf.DUMMYFUNCTION("ifna(IF(and(D263=""Saída"",J263=""Sangria""),if(sum(QUERY(IMPORTRANGE(""https://docs.google.com/spreadsheets/d/1E4szPcLzsqlw4uyBAoJ61L1ChCgpz4wVP8tHfHW1g_c"",""BD M Sangrias!a:i""),""select Col6 where Col7 = 'Depositada' and Col9 = '""&amp;K263&amp;""' and Col6 ="&amp;" ""&amp;M263&amp;"" and Col4 = date '""&amp;YEAR(C263)&amp;""-""&amp;MONTH(C263)&amp;""-""&amp;DAY(C263)&amp;""'""))&gt;0,""Depositada"",if(sum(QUERY(IMPORTRANGE(""https://docs.google.com/spreadsheets/d/1EcLIvUgMoBC5as4ikW0wuQsGH5yVZ6cQ1y16qEfgPnk"",""BD M Sangrias!a:i""),""select Col6 whe"&amp;"re Col7 = 'Caixa Atendimento' and Col9 = '""&amp;K263&amp;""' and Col6 = ""&amp;M263&amp;"" and Col4 = date '""&amp;YEAR(C263)&amp;""-""&amp;MONTH(C263)&amp;""-""&amp;DAY(C263)&amp;""'""))&gt;0,""Caixa Atendimento"",""Caixa Sangria"")),""""),""Caixa Sangria"")"),"")</f>
        <v/>
      </c>
      <c r="M263" s="185" t="str">
        <f>IFERROR(__xludf.DUMMYFUNCTION("ifna(VALUE(REGEXEXTRACT(E263,""[0-9.]+[,]+[0-9]+"")))"),"")</f>
        <v/>
      </c>
      <c r="N263" s="185"/>
      <c r="O263" s="185"/>
      <c r="P263" s="185"/>
      <c r="Q263" s="185"/>
      <c r="R263" s="185"/>
      <c r="S263" s="185"/>
      <c r="T263" s="185"/>
      <c r="U263" s="185"/>
      <c r="V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184" t="str">
        <f>IFERROR(__xludf.DUMMYFUNCTION("ifna(IF(and(D264=""Saída"",J264=""Sangria""),if(sum(QUERY(IMPORTRANGE(""https://docs.google.com/spreadsheets/d/1E4szPcLzsqlw4uyBAoJ61L1ChCgpz4wVP8tHfHW1g_c"",""BD M Sangrias!a:i""),""select Col6 where Col7 = 'Depositada' and Col9 = '""&amp;K264&amp;""' and Col6 ="&amp;" ""&amp;M264&amp;"" and Col4 = date '""&amp;YEAR(C264)&amp;""-""&amp;MONTH(C264)&amp;""-""&amp;DAY(C264)&amp;""'""))&gt;0,""Depositada"",if(sum(QUERY(IMPORTRANGE(""https://docs.google.com/spreadsheets/d/1EcLIvUgMoBC5as4ikW0wuQsGH5yVZ6cQ1y16qEfgPnk"",""BD M Sangrias!a:i""),""select Col6 whe"&amp;"re Col7 = 'Caixa Atendimento' and Col9 = '""&amp;K264&amp;""' and Col6 = ""&amp;M264&amp;"" and Col4 = date '""&amp;YEAR(C264)&amp;""-""&amp;MONTH(C264)&amp;""-""&amp;DAY(C264)&amp;""'""))&gt;0,""Caixa Atendimento"",""Caixa Sangria"")),""""),""Caixa Sangria"")"),"")</f>
        <v/>
      </c>
      <c r="M264" s="185" t="str">
        <f>IFERROR(__xludf.DUMMYFUNCTION("ifna(VALUE(REGEXEXTRACT(E264,""[0-9.]+[,]+[0-9]+"")))"),"")</f>
        <v/>
      </c>
      <c r="N264" s="185"/>
      <c r="O264" s="185"/>
      <c r="P264" s="185"/>
      <c r="Q264" s="185"/>
      <c r="R264" s="185"/>
      <c r="S264" s="185"/>
      <c r="T264" s="185"/>
      <c r="U264" s="185"/>
      <c r="V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184" t="str">
        <f>IFERROR(__xludf.DUMMYFUNCTION("ifna(IF(and(D265=""Saída"",J265=""Sangria""),if(sum(QUERY(IMPORTRANGE(""https://docs.google.com/spreadsheets/d/1E4szPcLzsqlw4uyBAoJ61L1ChCgpz4wVP8tHfHW1g_c"",""BD M Sangrias!a:i""),""select Col6 where Col7 = 'Depositada' and Col9 = '""&amp;K265&amp;""' and Col6 ="&amp;" ""&amp;M265&amp;"" and Col4 = date '""&amp;YEAR(C265)&amp;""-""&amp;MONTH(C265)&amp;""-""&amp;DAY(C265)&amp;""'""))&gt;0,""Depositada"",if(sum(QUERY(IMPORTRANGE(""https://docs.google.com/spreadsheets/d/1EcLIvUgMoBC5as4ikW0wuQsGH5yVZ6cQ1y16qEfgPnk"",""BD M Sangrias!a:i""),""select Col6 whe"&amp;"re Col7 = 'Caixa Atendimento' and Col9 = '""&amp;K265&amp;""' and Col6 = ""&amp;M265&amp;"" and Col4 = date '""&amp;YEAR(C265)&amp;""-""&amp;MONTH(C265)&amp;""-""&amp;DAY(C265)&amp;""'""))&gt;0,""Caixa Atendimento"",""Caixa Sangria"")),""""),""Caixa Sangria"")"),"")</f>
        <v/>
      </c>
      <c r="M265" s="185" t="str">
        <f>IFERROR(__xludf.DUMMYFUNCTION("ifna(VALUE(REGEXEXTRACT(E265,""[0-9.]+[,]+[0-9]+"")))"),"")</f>
        <v/>
      </c>
      <c r="N265" s="185"/>
      <c r="O265" s="185"/>
      <c r="P265" s="185"/>
      <c r="Q265" s="185"/>
      <c r="R265" s="185"/>
      <c r="S265" s="185"/>
      <c r="T265" s="185"/>
      <c r="U265" s="185"/>
      <c r="V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184" t="str">
        <f>IFERROR(__xludf.DUMMYFUNCTION("ifna(IF(and(D266=""Saída"",J266=""Sangria""),if(sum(QUERY(IMPORTRANGE(""https://docs.google.com/spreadsheets/d/1E4szPcLzsqlw4uyBAoJ61L1ChCgpz4wVP8tHfHW1g_c"",""BD M Sangrias!a:i""),""select Col6 where Col7 = 'Depositada' and Col9 = '""&amp;K266&amp;""' and Col6 ="&amp;" ""&amp;M266&amp;"" and Col4 = date '""&amp;YEAR(C266)&amp;""-""&amp;MONTH(C266)&amp;""-""&amp;DAY(C266)&amp;""'""))&gt;0,""Depositada"",if(sum(QUERY(IMPORTRANGE(""https://docs.google.com/spreadsheets/d/1EcLIvUgMoBC5as4ikW0wuQsGH5yVZ6cQ1y16qEfgPnk"",""BD M Sangrias!a:i""),""select Col6 whe"&amp;"re Col7 = 'Caixa Atendimento' and Col9 = '""&amp;K266&amp;""' and Col6 = ""&amp;M266&amp;"" and Col4 = date '""&amp;YEAR(C266)&amp;""-""&amp;MONTH(C266)&amp;""-""&amp;DAY(C266)&amp;""'""))&gt;0,""Caixa Atendimento"",""Caixa Sangria"")),""""),""Caixa Sangria"")"),"")</f>
        <v/>
      </c>
      <c r="M266" s="185" t="str">
        <f>IFERROR(__xludf.DUMMYFUNCTION("ifna(VALUE(REGEXEXTRACT(E266,""[0-9.]+[,]+[0-9]+"")))"),"")</f>
        <v/>
      </c>
      <c r="N266" s="185"/>
      <c r="O266" s="185"/>
      <c r="P266" s="185"/>
      <c r="Q266" s="185"/>
      <c r="R266" s="185"/>
      <c r="S266" s="185"/>
      <c r="T266" s="185"/>
      <c r="U266" s="185"/>
      <c r="V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184" t="str">
        <f>IFERROR(__xludf.DUMMYFUNCTION("ifna(IF(and(D267=""Saída"",J267=""Sangria""),if(sum(QUERY(IMPORTRANGE(""https://docs.google.com/spreadsheets/d/1E4szPcLzsqlw4uyBAoJ61L1ChCgpz4wVP8tHfHW1g_c"",""BD M Sangrias!a:i""),""select Col6 where Col7 = 'Depositada' and Col9 = '""&amp;K267&amp;""' and Col6 ="&amp;" ""&amp;M267&amp;"" and Col4 = date '""&amp;YEAR(C267)&amp;""-""&amp;MONTH(C267)&amp;""-""&amp;DAY(C267)&amp;""'""))&gt;0,""Depositada"",if(sum(QUERY(IMPORTRANGE(""https://docs.google.com/spreadsheets/d/1EcLIvUgMoBC5as4ikW0wuQsGH5yVZ6cQ1y16qEfgPnk"",""BD M Sangrias!a:i""),""select Col6 whe"&amp;"re Col7 = 'Caixa Atendimento' and Col9 = '""&amp;K267&amp;""' and Col6 = ""&amp;M267&amp;"" and Col4 = date '""&amp;YEAR(C267)&amp;""-""&amp;MONTH(C267)&amp;""-""&amp;DAY(C267)&amp;""'""))&gt;0,""Caixa Atendimento"",""Caixa Sangria"")),""""),""Caixa Sangria"")"),"")</f>
        <v/>
      </c>
      <c r="M267" s="185" t="str">
        <f>IFERROR(__xludf.DUMMYFUNCTION("ifna(VALUE(REGEXEXTRACT(E267,""[0-9.]+[,]+[0-9]+"")))"),"")</f>
        <v/>
      </c>
      <c r="N267" s="185"/>
      <c r="O267" s="185"/>
      <c r="P267" s="185"/>
      <c r="Q267" s="185"/>
      <c r="R267" s="185"/>
      <c r="S267" s="185"/>
      <c r="T267" s="185"/>
      <c r="U267" s="185"/>
      <c r="V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184" t="str">
        <f>IFERROR(__xludf.DUMMYFUNCTION("ifna(IF(and(D268=""Saída"",J268=""Sangria""),if(sum(QUERY(IMPORTRANGE(""https://docs.google.com/spreadsheets/d/1E4szPcLzsqlw4uyBAoJ61L1ChCgpz4wVP8tHfHW1g_c"",""BD M Sangrias!a:i""),""select Col6 where Col7 = 'Depositada' and Col9 = '""&amp;K268&amp;""' and Col6 ="&amp;" ""&amp;M268&amp;"" and Col4 = date '""&amp;YEAR(C268)&amp;""-""&amp;MONTH(C268)&amp;""-""&amp;DAY(C268)&amp;""'""))&gt;0,""Depositada"",if(sum(QUERY(IMPORTRANGE(""https://docs.google.com/spreadsheets/d/1EcLIvUgMoBC5as4ikW0wuQsGH5yVZ6cQ1y16qEfgPnk"",""BD M Sangrias!a:i""),""select Col6 whe"&amp;"re Col7 = 'Caixa Atendimento' and Col9 = '""&amp;K268&amp;""' and Col6 = ""&amp;M268&amp;"" and Col4 = date '""&amp;YEAR(C268)&amp;""-""&amp;MONTH(C268)&amp;""-""&amp;DAY(C268)&amp;""'""))&gt;0,""Caixa Atendimento"",""Caixa Sangria"")),""""),""Caixa Sangria"")"),"")</f>
        <v/>
      </c>
      <c r="M268" s="185" t="str">
        <f>IFERROR(__xludf.DUMMYFUNCTION("ifna(VALUE(REGEXEXTRACT(E268,""[0-9.]+[,]+[0-9]+"")))"),"")</f>
        <v/>
      </c>
      <c r="N268" s="185"/>
      <c r="O268" s="185"/>
      <c r="P268" s="185"/>
      <c r="Q268" s="185"/>
      <c r="R268" s="185"/>
      <c r="S268" s="185"/>
      <c r="T268" s="185"/>
      <c r="U268" s="185"/>
      <c r="V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184" t="str">
        <f>IFERROR(__xludf.DUMMYFUNCTION("ifna(IF(and(D269=""Saída"",J269=""Sangria""),if(sum(QUERY(IMPORTRANGE(""https://docs.google.com/spreadsheets/d/1E4szPcLzsqlw4uyBAoJ61L1ChCgpz4wVP8tHfHW1g_c"",""BD M Sangrias!a:i""),""select Col6 where Col7 = 'Depositada' and Col9 = '""&amp;K269&amp;""' and Col6 ="&amp;" ""&amp;M269&amp;"" and Col4 = date '""&amp;YEAR(C269)&amp;""-""&amp;MONTH(C269)&amp;""-""&amp;DAY(C269)&amp;""'""))&gt;0,""Depositada"",if(sum(QUERY(IMPORTRANGE(""https://docs.google.com/spreadsheets/d/1EcLIvUgMoBC5as4ikW0wuQsGH5yVZ6cQ1y16qEfgPnk"",""BD M Sangrias!a:i""),""select Col6 whe"&amp;"re Col7 = 'Caixa Atendimento' and Col9 = '""&amp;K269&amp;""' and Col6 = ""&amp;M269&amp;"" and Col4 = date '""&amp;YEAR(C269)&amp;""-""&amp;MONTH(C269)&amp;""-""&amp;DAY(C269)&amp;""'""))&gt;0,""Caixa Atendimento"",""Caixa Sangria"")),""""),""Caixa Sangria"")"),"")</f>
        <v/>
      </c>
      <c r="M269" s="185" t="str">
        <f>IFERROR(__xludf.DUMMYFUNCTION("ifna(VALUE(REGEXEXTRACT(E269,""[0-9.]+[,]+[0-9]+"")))"),"")</f>
        <v/>
      </c>
      <c r="N269" s="185"/>
      <c r="O269" s="185"/>
      <c r="P269" s="185"/>
      <c r="Q269" s="185"/>
      <c r="R269" s="185"/>
      <c r="S269" s="185"/>
      <c r="T269" s="185"/>
      <c r="U269" s="185"/>
      <c r="V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184" t="str">
        <f>IFERROR(__xludf.DUMMYFUNCTION("ifna(IF(and(D270=""Saída"",J270=""Sangria""),if(sum(QUERY(IMPORTRANGE(""https://docs.google.com/spreadsheets/d/1E4szPcLzsqlw4uyBAoJ61L1ChCgpz4wVP8tHfHW1g_c"",""BD M Sangrias!a:i""),""select Col6 where Col7 = 'Depositada' and Col9 = '""&amp;K270&amp;""' and Col6 ="&amp;" ""&amp;M270&amp;"" and Col4 = date '""&amp;YEAR(C270)&amp;""-""&amp;MONTH(C270)&amp;""-""&amp;DAY(C270)&amp;""'""))&gt;0,""Depositada"",if(sum(QUERY(IMPORTRANGE(""https://docs.google.com/spreadsheets/d/1EcLIvUgMoBC5as4ikW0wuQsGH5yVZ6cQ1y16qEfgPnk"",""BD M Sangrias!a:i""),""select Col6 whe"&amp;"re Col7 = 'Caixa Atendimento' and Col9 = '""&amp;K270&amp;""' and Col6 = ""&amp;M270&amp;"" and Col4 = date '""&amp;YEAR(C270)&amp;""-""&amp;MONTH(C270)&amp;""-""&amp;DAY(C270)&amp;""'""))&gt;0,""Caixa Atendimento"",""Caixa Sangria"")),""""),""Caixa Sangria"")"),"")</f>
        <v/>
      </c>
      <c r="M270" s="185" t="str">
        <f>IFERROR(__xludf.DUMMYFUNCTION("ifna(VALUE(REGEXEXTRACT(E270,""[0-9.]+[,]+[0-9]+"")))"),"")</f>
        <v/>
      </c>
      <c r="N270" s="185"/>
      <c r="O270" s="185"/>
      <c r="P270" s="185"/>
      <c r="Q270" s="185"/>
      <c r="R270" s="185"/>
      <c r="S270" s="185"/>
      <c r="T270" s="185"/>
      <c r="U270" s="185"/>
      <c r="V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184" t="str">
        <f>IFERROR(__xludf.DUMMYFUNCTION("ifna(IF(and(D271=""Saída"",J271=""Sangria""),if(sum(QUERY(IMPORTRANGE(""https://docs.google.com/spreadsheets/d/1E4szPcLzsqlw4uyBAoJ61L1ChCgpz4wVP8tHfHW1g_c"",""BD M Sangrias!a:i""),""select Col6 where Col7 = 'Depositada' and Col9 = '""&amp;K271&amp;""' and Col6 ="&amp;" ""&amp;M271&amp;"" and Col4 = date '""&amp;YEAR(C271)&amp;""-""&amp;MONTH(C271)&amp;""-""&amp;DAY(C271)&amp;""'""))&gt;0,""Depositada"",if(sum(QUERY(IMPORTRANGE(""https://docs.google.com/spreadsheets/d/1EcLIvUgMoBC5as4ikW0wuQsGH5yVZ6cQ1y16qEfgPnk"",""BD M Sangrias!a:i""),""select Col6 whe"&amp;"re Col7 = 'Caixa Atendimento' and Col9 = '""&amp;K271&amp;""' and Col6 = ""&amp;M271&amp;"" and Col4 = date '""&amp;YEAR(C271)&amp;""-""&amp;MONTH(C271)&amp;""-""&amp;DAY(C271)&amp;""'""))&gt;0,""Caixa Atendimento"",""Caixa Sangria"")),""""),""Caixa Sangria"")"),"")</f>
        <v/>
      </c>
      <c r="M271" s="185" t="str">
        <f>IFERROR(__xludf.DUMMYFUNCTION("ifna(VALUE(REGEXEXTRACT(E271,""[0-9.]+[,]+[0-9]+"")))"),"")</f>
        <v/>
      </c>
      <c r="N271" s="185"/>
      <c r="O271" s="185"/>
      <c r="P271" s="185"/>
      <c r="Q271" s="185"/>
      <c r="R271" s="185"/>
      <c r="S271" s="185"/>
      <c r="T271" s="185"/>
      <c r="U271" s="185"/>
      <c r="V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184" t="str">
        <f>IFERROR(__xludf.DUMMYFUNCTION("ifna(IF(and(D272=""Saída"",J272=""Sangria""),if(sum(QUERY(IMPORTRANGE(""https://docs.google.com/spreadsheets/d/1E4szPcLzsqlw4uyBAoJ61L1ChCgpz4wVP8tHfHW1g_c"",""BD M Sangrias!a:i""),""select Col6 where Col7 = 'Depositada' and Col9 = '""&amp;K272&amp;""' and Col6 ="&amp;" ""&amp;M272&amp;"" and Col4 = date '""&amp;YEAR(C272)&amp;""-""&amp;MONTH(C272)&amp;""-""&amp;DAY(C272)&amp;""'""))&gt;0,""Depositada"",if(sum(QUERY(IMPORTRANGE(""https://docs.google.com/spreadsheets/d/1EcLIvUgMoBC5as4ikW0wuQsGH5yVZ6cQ1y16qEfgPnk"",""BD M Sangrias!a:i""),""select Col6 whe"&amp;"re Col7 = 'Caixa Atendimento' and Col9 = '""&amp;K272&amp;""' and Col6 = ""&amp;M272&amp;"" and Col4 = date '""&amp;YEAR(C272)&amp;""-""&amp;MONTH(C272)&amp;""-""&amp;DAY(C272)&amp;""'""))&gt;0,""Caixa Atendimento"",""Caixa Sangria"")),""""),""Caixa Sangria"")"),"")</f>
        <v/>
      </c>
      <c r="M272" s="185" t="str">
        <f>IFERROR(__xludf.DUMMYFUNCTION("ifna(VALUE(REGEXEXTRACT(E272,""[0-9.]+[,]+[0-9]+"")))"),"")</f>
        <v/>
      </c>
      <c r="N272" s="185"/>
      <c r="O272" s="185"/>
      <c r="P272" s="185"/>
      <c r="Q272" s="185"/>
      <c r="R272" s="185"/>
      <c r="S272" s="185"/>
      <c r="T272" s="185"/>
      <c r="U272" s="185"/>
      <c r="V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184" t="str">
        <f>IFERROR(__xludf.DUMMYFUNCTION("ifna(IF(and(D273=""Saída"",J273=""Sangria""),if(sum(QUERY(IMPORTRANGE(""https://docs.google.com/spreadsheets/d/1E4szPcLzsqlw4uyBAoJ61L1ChCgpz4wVP8tHfHW1g_c"",""BD M Sangrias!a:i""),""select Col6 where Col7 = 'Depositada' and Col9 = '""&amp;K273&amp;""' and Col6 ="&amp;" ""&amp;M273&amp;"" and Col4 = date '""&amp;YEAR(C273)&amp;""-""&amp;MONTH(C273)&amp;""-""&amp;DAY(C273)&amp;""'""))&gt;0,""Depositada"",if(sum(QUERY(IMPORTRANGE(""https://docs.google.com/spreadsheets/d/1EcLIvUgMoBC5as4ikW0wuQsGH5yVZ6cQ1y16qEfgPnk"",""BD M Sangrias!a:i""),""select Col6 whe"&amp;"re Col7 = 'Caixa Atendimento' and Col9 = '""&amp;K273&amp;""' and Col6 = ""&amp;M273&amp;"" and Col4 = date '""&amp;YEAR(C273)&amp;""-""&amp;MONTH(C273)&amp;""-""&amp;DAY(C273)&amp;""'""))&gt;0,""Caixa Atendimento"",""Caixa Sangria"")),""""),""Caixa Sangria"")"),"")</f>
        <v/>
      </c>
      <c r="M273" s="185" t="str">
        <f>IFERROR(__xludf.DUMMYFUNCTION("ifna(VALUE(REGEXEXTRACT(E273,""[0-9.]+[,]+[0-9]+"")))"),"")</f>
        <v/>
      </c>
      <c r="N273" s="185"/>
      <c r="O273" s="185"/>
      <c r="P273" s="185"/>
      <c r="Q273" s="185"/>
      <c r="R273" s="185"/>
      <c r="S273" s="185"/>
      <c r="T273" s="185"/>
      <c r="U273" s="185"/>
      <c r="V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184" t="str">
        <f>IFERROR(__xludf.DUMMYFUNCTION("ifna(IF(and(D274=""Saída"",J274=""Sangria""),if(sum(QUERY(IMPORTRANGE(""https://docs.google.com/spreadsheets/d/1E4szPcLzsqlw4uyBAoJ61L1ChCgpz4wVP8tHfHW1g_c"",""BD M Sangrias!a:i""),""select Col6 where Col7 = 'Depositada' and Col9 = '""&amp;K274&amp;""' and Col6 ="&amp;" ""&amp;M274&amp;"" and Col4 = date '""&amp;YEAR(C274)&amp;""-""&amp;MONTH(C274)&amp;""-""&amp;DAY(C274)&amp;""'""))&gt;0,""Depositada"",if(sum(QUERY(IMPORTRANGE(""https://docs.google.com/spreadsheets/d/1EcLIvUgMoBC5as4ikW0wuQsGH5yVZ6cQ1y16qEfgPnk"",""BD M Sangrias!a:i""),""select Col6 whe"&amp;"re Col7 = 'Caixa Atendimento' and Col9 = '""&amp;K274&amp;""' and Col6 = ""&amp;M274&amp;"" and Col4 = date '""&amp;YEAR(C274)&amp;""-""&amp;MONTH(C274)&amp;""-""&amp;DAY(C274)&amp;""'""))&gt;0,""Caixa Atendimento"",""Caixa Sangria"")),""""),""Caixa Sangria"")"),"")</f>
        <v/>
      </c>
      <c r="M274" s="185" t="str">
        <f>IFERROR(__xludf.DUMMYFUNCTION("ifna(VALUE(REGEXEXTRACT(E274,""[0-9.]+[,]+[0-9]+"")))"),"")</f>
        <v/>
      </c>
      <c r="N274" s="185"/>
      <c r="O274" s="185"/>
      <c r="P274" s="185"/>
      <c r="Q274" s="185"/>
      <c r="R274" s="185"/>
      <c r="S274" s="185"/>
      <c r="T274" s="185"/>
      <c r="U274" s="185"/>
      <c r="V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184" t="str">
        <f>IFERROR(__xludf.DUMMYFUNCTION("ifna(IF(and(D275=""Saída"",J275=""Sangria""),if(sum(QUERY(IMPORTRANGE(""https://docs.google.com/spreadsheets/d/1E4szPcLzsqlw4uyBAoJ61L1ChCgpz4wVP8tHfHW1g_c"",""BD M Sangrias!a:i""),""select Col6 where Col7 = 'Depositada' and Col9 = '""&amp;K275&amp;""' and Col6 ="&amp;" ""&amp;M275&amp;"" and Col4 = date '""&amp;YEAR(C275)&amp;""-""&amp;MONTH(C275)&amp;""-""&amp;DAY(C275)&amp;""'""))&gt;0,""Depositada"",if(sum(QUERY(IMPORTRANGE(""https://docs.google.com/spreadsheets/d/1EcLIvUgMoBC5as4ikW0wuQsGH5yVZ6cQ1y16qEfgPnk"",""BD M Sangrias!a:i""),""select Col6 whe"&amp;"re Col7 = 'Caixa Atendimento' and Col9 = '""&amp;K275&amp;""' and Col6 = ""&amp;M275&amp;"" and Col4 = date '""&amp;YEAR(C275)&amp;""-""&amp;MONTH(C275)&amp;""-""&amp;DAY(C275)&amp;""'""))&gt;0,""Caixa Atendimento"",""Caixa Sangria"")),""""),""Caixa Sangria"")"),"")</f>
        <v/>
      </c>
      <c r="M275" s="185" t="str">
        <f>IFERROR(__xludf.DUMMYFUNCTION("ifna(VALUE(REGEXEXTRACT(E275,""[0-9.]+[,]+[0-9]+"")))"),"")</f>
        <v/>
      </c>
      <c r="N275" s="185"/>
      <c r="O275" s="185"/>
      <c r="P275" s="185"/>
      <c r="Q275" s="185"/>
      <c r="R275" s="185"/>
      <c r="S275" s="185"/>
      <c r="T275" s="185"/>
      <c r="U275" s="185"/>
      <c r="V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184" t="str">
        <f>IFERROR(__xludf.DUMMYFUNCTION("ifna(IF(and(D276=""Saída"",J276=""Sangria""),if(sum(QUERY(IMPORTRANGE(""https://docs.google.com/spreadsheets/d/1E4szPcLzsqlw4uyBAoJ61L1ChCgpz4wVP8tHfHW1g_c"",""BD M Sangrias!a:i""),""select Col6 where Col7 = 'Depositada' and Col9 = '""&amp;K276&amp;""' and Col6 ="&amp;" ""&amp;M276&amp;"" and Col4 = date '""&amp;YEAR(C276)&amp;""-""&amp;MONTH(C276)&amp;""-""&amp;DAY(C276)&amp;""'""))&gt;0,""Depositada"",if(sum(QUERY(IMPORTRANGE(""https://docs.google.com/spreadsheets/d/1EcLIvUgMoBC5as4ikW0wuQsGH5yVZ6cQ1y16qEfgPnk"",""BD M Sangrias!a:i""),""select Col6 whe"&amp;"re Col7 = 'Caixa Atendimento' and Col9 = '""&amp;K276&amp;""' and Col6 = ""&amp;M276&amp;"" and Col4 = date '""&amp;YEAR(C276)&amp;""-""&amp;MONTH(C276)&amp;""-""&amp;DAY(C276)&amp;""'""))&gt;0,""Caixa Atendimento"",""Caixa Sangria"")),""""),""Caixa Sangria"")"),"")</f>
        <v/>
      </c>
      <c r="M276" s="185" t="str">
        <f>IFERROR(__xludf.DUMMYFUNCTION("ifna(VALUE(REGEXEXTRACT(E276,""[0-9.]+[,]+[0-9]+"")))"),"")</f>
        <v/>
      </c>
      <c r="N276" s="185"/>
      <c r="O276" s="185"/>
      <c r="P276" s="185"/>
      <c r="Q276" s="185"/>
      <c r="R276" s="185"/>
      <c r="S276" s="185"/>
      <c r="T276" s="185"/>
      <c r="U276" s="185"/>
      <c r="V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184" t="str">
        <f>IFERROR(__xludf.DUMMYFUNCTION("ifna(IF(and(D277=""Saída"",J277=""Sangria""),if(sum(QUERY(IMPORTRANGE(""https://docs.google.com/spreadsheets/d/1E4szPcLzsqlw4uyBAoJ61L1ChCgpz4wVP8tHfHW1g_c"",""BD M Sangrias!a:i""),""select Col6 where Col7 = 'Depositada' and Col9 = '""&amp;K277&amp;""' and Col6 ="&amp;" ""&amp;M277&amp;"" and Col4 = date '""&amp;YEAR(C277)&amp;""-""&amp;MONTH(C277)&amp;""-""&amp;DAY(C277)&amp;""'""))&gt;0,""Depositada"",if(sum(QUERY(IMPORTRANGE(""https://docs.google.com/spreadsheets/d/1EcLIvUgMoBC5as4ikW0wuQsGH5yVZ6cQ1y16qEfgPnk"",""BD M Sangrias!a:i""),""select Col6 whe"&amp;"re Col7 = 'Caixa Atendimento' and Col9 = '""&amp;K277&amp;""' and Col6 = ""&amp;M277&amp;"" and Col4 = date '""&amp;YEAR(C277)&amp;""-""&amp;MONTH(C277)&amp;""-""&amp;DAY(C277)&amp;""'""))&gt;0,""Caixa Atendimento"",""Caixa Sangria"")),""""),""Caixa Sangria"")"),"")</f>
        <v/>
      </c>
      <c r="M277" s="185" t="str">
        <f>IFERROR(__xludf.DUMMYFUNCTION("ifna(VALUE(REGEXEXTRACT(E277,""[0-9.]+[,]+[0-9]+"")))"),"")</f>
        <v/>
      </c>
      <c r="N277" s="185"/>
      <c r="O277" s="185"/>
      <c r="P277" s="185"/>
      <c r="Q277" s="185"/>
      <c r="R277" s="185"/>
      <c r="S277" s="185"/>
      <c r="T277" s="185"/>
      <c r="U277" s="185"/>
      <c r="V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184" t="str">
        <f>IFERROR(__xludf.DUMMYFUNCTION("ifna(IF(and(D278=""Saída"",J278=""Sangria""),if(sum(QUERY(IMPORTRANGE(""https://docs.google.com/spreadsheets/d/1E4szPcLzsqlw4uyBAoJ61L1ChCgpz4wVP8tHfHW1g_c"",""BD M Sangrias!a:i""),""select Col6 where Col7 = 'Depositada' and Col9 = '""&amp;K278&amp;""' and Col6 ="&amp;" ""&amp;M278&amp;"" and Col4 = date '""&amp;YEAR(C278)&amp;""-""&amp;MONTH(C278)&amp;""-""&amp;DAY(C278)&amp;""'""))&gt;0,""Depositada"",if(sum(QUERY(IMPORTRANGE(""https://docs.google.com/spreadsheets/d/1EcLIvUgMoBC5as4ikW0wuQsGH5yVZ6cQ1y16qEfgPnk"",""BD M Sangrias!a:i""),""select Col6 whe"&amp;"re Col7 = 'Caixa Atendimento' and Col9 = '""&amp;K278&amp;""' and Col6 = ""&amp;M278&amp;"" and Col4 = date '""&amp;YEAR(C278)&amp;""-""&amp;MONTH(C278)&amp;""-""&amp;DAY(C278)&amp;""'""))&gt;0,""Caixa Atendimento"",""Caixa Sangria"")),""""),""Caixa Sangria"")"),"")</f>
        <v/>
      </c>
      <c r="M278" s="185" t="str">
        <f>IFERROR(__xludf.DUMMYFUNCTION("ifna(VALUE(REGEXEXTRACT(E278,""[0-9.]+[,]+[0-9]+"")))"),"")</f>
        <v/>
      </c>
      <c r="N278" s="185"/>
      <c r="O278" s="185"/>
      <c r="P278" s="185"/>
      <c r="Q278" s="185"/>
      <c r="R278" s="185"/>
      <c r="S278" s="185"/>
      <c r="T278" s="185"/>
      <c r="U278" s="185"/>
      <c r="V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184" t="str">
        <f>IFERROR(__xludf.DUMMYFUNCTION("ifna(IF(and(D279=""Saída"",J279=""Sangria""),if(sum(QUERY(IMPORTRANGE(""https://docs.google.com/spreadsheets/d/1E4szPcLzsqlw4uyBAoJ61L1ChCgpz4wVP8tHfHW1g_c"",""BD M Sangrias!a:i""),""select Col6 where Col7 = 'Depositada' and Col9 = '""&amp;K279&amp;""' and Col6 ="&amp;" ""&amp;M279&amp;"" and Col4 = date '""&amp;YEAR(C279)&amp;""-""&amp;MONTH(C279)&amp;""-""&amp;DAY(C279)&amp;""'""))&gt;0,""Depositada"",if(sum(QUERY(IMPORTRANGE(""https://docs.google.com/spreadsheets/d/1EcLIvUgMoBC5as4ikW0wuQsGH5yVZ6cQ1y16qEfgPnk"",""BD M Sangrias!a:i""),""select Col6 whe"&amp;"re Col7 = 'Caixa Atendimento' and Col9 = '""&amp;K279&amp;""' and Col6 = ""&amp;M279&amp;"" and Col4 = date '""&amp;YEAR(C279)&amp;""-""&amp;MONTH(C279)&amp;""-""&amp;DAY(C279)&amp;""'""))&gt;0,""Caixa Atendimento"",""Caixa Sangria"")),""""),""Caixa Sangria"")"),"")</f>
        <v/>
      </c>
      <c r="M279" s="185" t="str">
        <f>IFERROR(__xludf.DUMMYFUNCTION("ifna(VALUE(REGEXEXTRACT(E279,""[0-9.]+[,]+[0-9]+"")))"),"")</f>
        <v/>
      </c>
      <c r="N279" s="185"/>
      <c r="O279" s="185"/>
      <c r="P279" s="185"/>
      <c r="Q279" s="185"/>
      <c r="R279" s="185"/>
      <c r="S279" s="185"/>
      <c r="T279" s="185"/>
      <c r="U279" s="185"/>
      <c r="V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184" t="str">
        <f>IFERROR(__xludf.DUMMYFUNCTION("ifna(IF(and(D280=""Saída"",J280=""Sangria""),if(sum(QUERY(IMPORTRANGE(""https://docs.google.com/spreadsheets/d/1E4szPcLzsqlw4uyBAoJ61L1ChCgpz4wVP8tHfHW1g_c"",""BD M Sangrias!a:i""),""select Col6 where Col7 = 'Depositada' and Col9 = '""&amp;K280&amp;""' and Col6 ="&amp;" ""&amp;M280&amp;"" and Col4 = date '""&amp;YEAR(C280)&amp;""-""&amp;MONTH(C280)&amp;""-""&amp;DAY(C280)&amp;""'""))&gt;0,""Depositada"",if(sum(QUERY(IMPORTRANGE(""https://docs.google.com/spreadsheets/d/1EcLIvUgMoBC5as4ikW0wuQsGH5yVZ6cQ1y16qEfgPnk"",""BD M Sangrias!a:i""),""select Col6 whe"&amp;"re Col7 = 'Caixa Atendimento' and Col9 = '""&amp;K280&amp;""' and Col6 = ""&amp;M280&amp;"" and Col4 = date '""&amp;YEAR(C280)&amp;""-""&amp;MONTH(C280)&amp;""-""&amp;DAY(C280)&amp;""'""))&gt;0,""Caixa Atendimento"",""Caixa Sangria"")),""""),""Caixa Sangria"")"),"")</f>
        <v/>
      </c>
      <c r="M280" s="185" t="str">
        <f>IFERROR(__xludf.DUMMYFUNCTION("ifna(VALUE(REGEXEXTRACT(E280,""[0-9.]+[,]+[0-9]+"")))"),"")</f>
        <v/>
      </c>
      <c r="N280" s="185"/>
      <c r="O280" s="185"/>
      <c r="P280" s="185"/>
      <c r="Q280" s="185"/>
      <c r="R280" s="185"/>
      <c r="S280" s="185"/>
      <c r="T280" s="185"/>
      <c r="U280" s="185"/>
      <c r="V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184" t="str">
        <f>IFERROR(__xludf.DUMMYFUNCTION("ifna(IF(and(D281=""Saída"",J281=""Sangria""),if(sum(QUERY(IMPORTRANGE(""https://docs.google.com/spreadsheets/d/1E4szPcLzsqlw4uyBAoJ61L1ChCgpz4wVP8tHfHW1g_c"",""BD M Sangrias!a:i""),""select Col6 where Col7 = 'Depositada' and Col9 = '""&amp;K281&amp;""' and Col6 ="&amp;" ""&amp;M281&amp;"" and Col4 = date '""&amp;YEAR(C281)&amp;""-""&amp;MONTH(C281)&amp;""-""&amp;DAY(C281)&amp;""'""))&gt;0,""Depositada"",if(sum(QUERY(IMPORTRANGE(""https://docs.google.com/spreadsheets/d/1EcLIvUgMoBC5as4ikW0wuQsGH5yVZ6cQ1y16qEfgPnk"",""BD M Sangrias!a:i""),""select Col6 whe"&amp;"re Col7 = 'Caixa Atendimento' and Col9 = '""&amp;K281&amp;""' and Col6 = ""&amp;M281&amp;"" and Col4 = date '""&amp;YEAR(C281)&amp;""-""&amp;MONTH(C281)&amp;""-""&amp;DAY(C281)&amp;""'""))&gt;0,""Caixa Atendimento"",""Caixa Sangria"")),""""),""Caixa Sangria"")"),"")</f>
        <v/>
      </c>
      <c r="M281" s="185" t="str">
        <f>IFERROR(__xludf.DUMMYFUNCTION("ifna(VALUE(REGEXEXTRACT(E281,""[0-9.]+[,]+[0-9]+"")))"),"")</f>
        <v/>
      </c>
      <c r="N281" s="185"/>
      <c r="O281" s="185"/>
      <c r="P281" s="185"/>
      <c r="Q281" s="185"/>
      <c r="R281" s="185"/>
      <c r="S281" s="185"/>
      <c r="T281" s="185"/>
      <c r="U281" s="185"/>
      <c r="V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184" t="str">
        <f>IFERROR(__xludf.DUMMYFUNCTION("ifna(IF(and(D282=""Saída"",J282=""Sangria""),if(sum(QUERY(IMPORTRANGE(""https://docs.google.com/spreadsheets/d/1E4szPcLzsqlw4uyBAoJ61L1ChCgpz4wVP8tHfHW1g_c"",""BD M Sangrias!a:i""),""select Col6 where Col7 = 'Depositada' and Col9 = '""&amp;K282&amp;""' and Col6 ="&amp;" ""&amp;M282&amp;"" and Col4 = date '""&amp;YEAR(C282)&amp;""-""&amp;MONTH(C282)&amp;""-""&amp;DAY(C282)&amp;""'""))&gt;0,""Depositada"",if(sum(QUERY(IMPORTRANGE(""https://docs.google.com/spreadsheets/d/1EcLIvUgMoBC5as4ikW0wuQsGH5yVZ6cQ1y16qEfgPnk"",""BD M Sangrias!a:i""),""select Col6 whe"&amp;"re Col7 = 'Caixa Atendimento' and Col9 = '""&amp;K282&amp;""' and Col6 = ""&amp;M282&amp;"" and Col4 = date '""&amp;YEAR(C282)&amp;""-""&amp;MONTH(C282)&amp;""-""&amp;DAY(C282)&amp;""'""))&gt;0,""Caixa Atendimento"",""Caixa Sangria"")),""""),""Caixa Sangria"")"),"")</f>
        <v/>
      </c>
      <c r="M282" s="185" t="str">
        <f>IFERROR(__xludf.DUMMYFUNCTION("ifna(VALUE(REGEXEXTRACT(E282,""[0-9.]+[,]+[0-9]+"")))"),"")</f>
        <v/>
      </c>
      <c r="N282" s="185"/>
      <c r="O282" s="185"/>
      <c r="P282" s="185"/>
      <c r="Q282" s="185"/>
      <c r="R282" s="185"/>
      <c r="S282" s="185"/>
      <c r="T282" s="185"/>
      <c r="U282" s="185"/>
      <c r="V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184" t="str">
        <f>IFERROR(__xludf.DUMMYFUNCTION("ifna(IF(and(D283=""Saída"",J283=""Sangria""),if(sum(QUERY(IMPORTRANGE(""https://docs.google.com/spreadsheets/d/1E4szPcLzsqlw4uyBAoJ61L1ChCgpz4wVP8tHfHW1g_c"",""BD M Sangrias!a:i""),""select Col6 where Col7 = 'Depositada' and Col9 = '""&amp;K283&amp;""' and Col6 ="&amp;" ""&amp;M283&amp;"" and Col4 = date '""&amp;YEAR(C283)&amp;""-""&amp;MONTH(C283)&amp;""-""&amp;DAY(C283)&amp;""'""))&gt;0,""Depositada"",if(sum(QUERY(IMPORTRANGE(""https://docs.google.com/spreadsheets/d/1EcLIvUgMoBC5as4ikW0wuQsGH5yVZ6cQ1y16qEfgPnk"",""BD M Sangrias!a:i""),""select Col6 whe"&amp;"re Col7 = 'Caixa Atendimento' and Col9 = '""&amp;K283&amp;""' and Col6 = ""&amp;M283&amp;"" and Col4 = date '""&amp;YEAR(C283)&amp;""-""&amp;MONTH(C283)&amp;""-""&amp;DAY(C283)&amp;""'""))&gt;0,""Caixa Atendimento"",""Caixa Sangria"")),""""),""Caixa Sangria"")"),"")</f>
        <v/>
      </c>
      <c r="M283" s="185" t="str">
        <f>IFERROR(__xludf.DUMMYFUNCTION("ifna(VALUE(REGEXEXTRACT(E283,""[0-9.]+[,]+[0-9]+"")))"),"")</f>
        <v/>
      </c>
      <c r="N283" s="185"/>
      <c r="O283" s="185"/>
      <c r="P283" s="185"/>
      <c r="Q283" s="185"/>
      <c r="R283" s="185"/>
      <c r="S283" s="185"/>
      <c r="T283" s="185"/>
      <c r="U283" s="185"/>
      <c r="V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184" t="str">
        <f>IFERROR(__xludf.DUMMYFUNCTION("ifna(IF(and(D284=""Saída"",J284=""Sangria""),if(sum(QUERY(IMPORTRANGE(""https://docs.google.com/spreadsheets/d/1E4szPcLzsqlw4uyBAoJ61L1ChCgpz4wVP8tHfHW1g_c"",""BD M Sangrias!a:i""),""select Col6 where Col7 = 'Depositada' and Col9 = '""&amp;K284&amp;""' and Col6 ="&amp;" ""&amp;M284&amp;"" and Col4 = date '""&amp;YEAR(C284)&amp;""-""&amp;MONTH(C284)&amp;""-""&amp;DAY(C284)&amp;""'""))&gt;0,""Depositada"",if(sum(QUERY(IMPORTRANGE(""https://docs.google.com/spreadsheets/d/1EcLIvUgMoBC5as4ikW0wuQsGH5yVZ6cQ1y16qEfgPnk"",""BD M Sangrias!a:i""),""select Col6 whe"&amp;"re Col7 = 'Caixa Atendimento' and Col9 = '""&amp;K284&amp;""' and Col6 = ""&amp;M284&amp;"" and Col4 = date '""&amp;YEAR(C284)&amp;""-""&amp;MONTH(C284)&amp;""-""&amp;DAY(C284)&amp;""'""))&gt;0,""Caixa Atendimento"",""Caixa Sangria"")),""""),""Caixa Sangria"")"),"")</f>
        <v/>
      </c>
      <c r="M284" s="185" t="str">
        <f>IFERROR(__xludf.DUMMYFUNCTION("ifna(VALUE(REGEXEXTRACT(E284,""[0-9.]+[,]+[0-9]+"")))"),"")</f>
        <v/>
      </c>
      <c r="N284" s="185"/>
      <c r="O284" s="185"/>
      <c r="P284" s="185"/>
      <c r="Q284" s="185"/>
      <c r="R284" s="185"/>
      <c r="S284" s="185"/>
      <c r="T284" s="185"/>
      <c r="U284" s="185"/>
      <c r="V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184" t="str">
        <f>IFERROR(__xludf.DUMMYFUNCTION("ifna(IF(and(D285=""Saída"",J285=""Sangria""),if(sum(QUERY(IMPORTRANGE(""https://docs.google.com/spreadsheets/d/1E4szPcLzsqlw4uyBAoJ61L1ChCgpz4wVP8tHfHW1g_c"",""BD M Sangrias!a:i""),""select Col6 where Col7 = 'Depositada' and Col9 = '""&amp;K285&amp;""' and Col6 ="&amp;" ""&amp;M285&amp;"" and Col4 = date '""&amp;YEAR(C285)&amp;""-""&amp;MONTH(C285)&amp;""-""&amp;DAY(C285)&amp;""'""))&gt;0,""Depositada"",if(sum(QUERY(IMPORTRANGE(""https://docs.google.com/spreadsheets/d/1EcLIvUgMoBC5as4ikW0wuQsGH5yVZ6cQ1y16qEfgPnk"",""BD M Sangrias!a:i""),""select Col6 whe"&amp;"re Col7 = 'Caixa Atendimento' and Col9 = '""&amp;K285&amp;""' and Col6 = ""&amp;M285&amp;"" and Col4 = date '""&amp;YEAR(C285)&amp;""-""&amp;MONTH(C285)&amp;""-""&amp;DAY(C285)&amp;""'""))&gt;0,""Caixa Atendimento"",""Caixa Sangria"")),""""),""Caixa Sangria"")"),"")</f>
        <v/>
      </c>
      <c r="M285" s="185" t="str">
        <f>IFERROR(__xludf.DUMMYFUNCTION("ifna(VALUE(REGEXEXTRACT(E285,""[0-9.]+[,]+[0-9]+"")))"),"")</f>
        <v/>
      </c>
      <c r="N285" s="185"/>
      <c r="O285" s="185"/>
      <c r="P285" s="185"/>
      <c r="Q285" s="185"/>
      <c r="R285" s="185"/>
      <c r="S285" s="185"/>
      <c r="T285" s="185"/>
      <c r="U285" s="185"/>
      <c r="V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184" t="str">
        <f>IFERROR(__xludf.DUMMYFUNCTION("ifna(IF(and(D286=""Saída"",J286=""Sangria""),if(sum(QUERY(IMPORTRANGE(""https://docs.google.com/spreadsheets/d/1E4szPcLzsqlw4uyBAoJ61L1ChCgpz4wVP8tHfHW1g_c"",""BD M Sangrias!a:i""),""select Col6 where Col7 = 'Depositada' and Col9 = '""&amp;K286&amp;""' and Col6 ="&amp;" ""&amp;M286&amp;"" and Col4 = date '""&amp;YEAR(C286)&amp;""-""&amp;MONTH(C286)&amp;""-""&amp;DAY(C286)&amp;""'""))&gt;0,""Depositada"",if(sum(QUERY(IMPORTRANGE(""https://docs.google.com/spreadsheets/d/1EcLIvUgMoBC5as4ikW0wuQsGH5yVZ6cQ1y16qEfgPnk"",""BD M Sangrias!a:i""),""select Col6 whe"&amp;"re Col7 = 'Caixa Atendimento' and Col9 = '""&amp;K286&amp;""' and Col6 = ""&amp;M286&amp;"" and Col4 = date '""&amp;YEAR(C286)&amp;""-""&amp;MONTH(C286)&amp;""-""&amp;DAY(C286)&amp;""'""))&gt;0,""Caixa Atendimento"",""Caixa Sangria"")),""""),""Caixa Sangria"")"),"")</f>
        <v/>
      </c>
      <c r="M286" s="185" t="str">
        <f>IFERROR(__xludf.DUMMYFUNCTION("ifna(VALUE(REGEXEXTRACT(E286,""[0-9.]+[,]+[0-9]+"")))"),"")</f>
        <v/>
      </c>
      <c r="N286" s="185"/>
      <c r="O286" s="185"/>
      <c r="P286" s="185"/>
      <c r="Q286" s="185"/>
      <c r="R286" s="185"/>
      <c r="S286" s="185"/>
      <c r="T286" s="185"/>
      <c r="U286" s="185"/>
      <c r="V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184" t="str">
        <f>IFERROR(__xludf.DUMMYFUNCTION("ifna(IF(and(D287=""Saída"",J287=""Sangria""),if(sum(QUERY(IMPORTRANGE(""https://docs.google.com/spreadsheets/d/1E4szPcLzsqlw4uyBAoJ61L1ChCgpz4wVP8tHfHW1g_c"",""BD M Sangrias!a:i""),""select Col6 where Col7 = 'Depositada' and Col9 = '""&amp;K287&amp;""' and Col6 ="&amp;" ""&amp;M287&amp;"" and Col4 = date '""&amp;YEAR(C287)&amp;""-""&amp;MONTH(C287)&amp;""-""&amp;DAY(C287)&amp;""'""))&gt;0,""Depositada"",if(sum(QUERY(IMPORTRANGE(""https://docs.google.com/spreadsheets/d/1EcLIvUgMoBC5as4ikW0wuQsGH5yVZ6cQ1y16qEfgPnk"",""BD M Sangrias!a:i""),""select Col6 whe"&amp;"re Col7 = 'Caixa Atendimento' and Col9 = '""&amp;K287&amp;""' and Col6 = ""&amp;M287&amp;"" and Col4 = date '""&amp;YEAR(C287)&amp;""-""&amp;MONTH(C287)&amp;""-""&amp;DAY(C287)&amp;""'""))&gt;0,""Caixa Atendimento"",""Caixa Sangria"")),""""),""Caixa Sangria"")"),"")</f>
        <v/>
      </c>
      <c r="M287" s="185" t="str">
        <f>IFERROR(__xludf.DUMMYFUNCTION("ifna(VALUE(REGEXEXTRACT(E287,""[0-9.]+[,]+[0-9]+"")))"),"")</f>
        <v/>
      </c>
      <c r="N287" s="185"/>
      <c r="O287" s="185"/>
      <c r="P287" s="185"/>
      <c r="Q287" s="185"/>
      <c r="R287" s="185"/>
      <c r="S287" s="185"/>
      <c r="T287" s="185"/>
      <c r="U287" s="185"/>
      <c r="V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184" t="str">
        <f>IFERROR(__xludf.DUMMYFUNCTION("ifna(IF(and(D288=""Saída"",J288=""Sangria""),if(sum(QUERY(IMPORTRANGE(""https://docs.google.com/spreadsheets/d/1E4szPcLzsqlw4uyBAoJ61L1ChCgpz4wVP8tHfHW1g_c"",""BD M Sangrias!a:i""),""select Col6 where Col7 = 'Depositada' and Col9 = '""&amp;K288&amp;""' and Col6 ="&amp;" ""&amp;M288&amp;"" and Col4 = date '""&amp;YEAR(C288)&amp;""-""&amp;MONTH(C288)&amp;""-""&amp;DAY(C288)&amp;""'""))&gt;0,""Depositada"",if(sum(QUERY(IMPORTRANGE(""https://docs.google.com/spreadsheets/d/1EcLIvUgMoBC5as4ikW0wuQsGH5yVZ6cQ1y16qEfgPnk"",""BD M Sangrias!a:i""),""select Col6 whe"&amp;"re Col7 = 'Caixa Atendimento' and Col9 = '""&amp;K288&amp;""' and Col6 = ""&amp;M288&amp;"" and Col4 = date '""&amp;YEAR(C288)&amp;""-""&amp;MONTH(C288)&amp;""-""&amp;DAY(C288)&amp;""'""))&gt;0,""Caixa Atendimento"",""Caixa Sangria"")),""""),""Caixa Sangria"")"),"")</f>
        <v/>
      </c>
      <c r="M288" s="185" t="str">
        <f>IFERROR(__xludf.DUMMYFUNCTION("ifna(VALUE(REGEXEXTRACT(E288,""[0-9.]+[,]+[0-9]+"")))"),"")</f>
        <v/>
      </c>
      <c r="N288" s="185"/>
      <c r="O288" s="185"/>
      <c r="P288" s="185"/>
      <c r="Q288" s="185"/>
      <c r="R288" s="185"/>
      <c r="S288" s="185"/>
      <c r="T288" s="185"/>
      <c r="U288" s="185"/>
      <c r="V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184" t="str">
        <f>IFERROR(__xludf.DUMMYFUNCTION("ifna(IF(and(D289=""Saída"",J289=""Sangria""),if(sum(QUERY(IMPORTRANGE(""https://docs.google.com/spreadsheets/d/1E4szPcLzsqlw4uyBAoJ61L1ChCgpz4wVP8tHfHW1g_c"",""BD M Sangrias!a:i""),""select Col6 where Col7 = 'Depositada' and Col9 = '""&amp;K289&amp;""' and Col6 ="&amp;" ""&amp;M289&amp;"" and Col4 = date '""&amp;YEAR(C289)&amp;""-""&amp;MONTH(C289)&amp;""-""&amp;DAY(C289)&amp;""'""))&gt;0,""Depositada"",if(sum(QUERY(IMPORTRANGE(""https://docs.google.com/spreadsheets/d/1EcLIvUgMoBC5as4ikW0wuQsGH5yVZ6cQ1y16qEfgPnk"",""BD M Sangrias!a:i""),""select Col6 whe"&amp;"re Col7 = 'Caixa Atendimento' and Col9 = '""&amp;K289&amp;""' and Col6 = ""&amp;M289&amp;"" and Col4 = date '""&amp;YEAR(C289)&amp;""-""&amp;MONTH(C289)&amp;""-""&amp;DAY(C289)&amp;""'""))&gt;0,""Caixa Atendimento"",""Caixa Sangria"")),""""),""Caixa Sangria"")"),"")</f>
        <v/>
      </c>
      <c r="M289" s="185" t="str">
        <f>IFERROR(__xludf.DUMMYFUNCTION("ifna(VALUE(REGEXEXTRACT(E289,""[0-9.]+[,]+[0-9]+"")))"),"")</f>
        <v/>
      </c>
      <c r="N289" s="185"/>
      <c r="O289" s="185"/>
      <c r="P289" s="185"/>
      <c r="Q289" s="185"/>
      <c r="R289" s="185"/>
      <c r="S289" s="185"/>
      <c r="T289" s="185"/>
      <c r="U289" s="185"/>
      <c r="V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184" t="str">
        <f>IFERROR(__xludf.DUMMYFUNCTION("ifna(IF(and(D290=""Saída"",J290=""Sangria""),if(sum(QUERY(IMPORTRANGE(""https://docs.google.com/spreadsheets/d/1E4szPcLzsqlw4uyBAoJ61L1ChCgpz4wVP8tHfHW1g_c"",""BD M Sangrias!a:i""),""select Col6 where Col7 = 'Depositada' and Col9 = '""&amp;K290&amp;""' and Col6 ="&amp;" ""&amp;M290&amp;"" and Col4 = date '""&amp;YEAR(C290)&amp;""-""&amp;MONTH(C290)&amp;""-""&amp;DAY(C290)&amp;""'""))&gt;0,""Depositada"",if(sum(QUERY(IMPORTRANGE(""https://docs.google.com/spreadsheets/d/1EcLIvUgMoBC5as4ikW0wuQsGH5yVZ6cQ1y16qEfgPnk"",""BD M Sangrias!a:i""),""select Col6 whe"&amp;"re Col7 = 'Caixa Atendimento' and Col9 = '""&amp;K290&amp;""' and Col6 = ""&amp;M290&amp;"" and Col4 = date '""&amp;YEAR(C290)&amp;""-""&amp;MONTH(C290)&amp;""-""&amp;DAY(C290)&amp;""'""))&gt;0,""Caixa Atendimento"",""Caixa Sangria"")),""""),""Caixa Sangria"")"),"")</f>
        <v/>
      </c>
      <c r="M290" s="185" t="str">
        <f>IFERROR(__xludf.DUMMYFUNCTION("ifna(VALUE(REGEXEXTRACT(E290,""[0-9.]+[,]+[0-9]+"")))"),"")</f>
        <v/>
      </c>
      <c r="N290" s="185"/>
      <c r="O290" s="185"/>
      <c r="P290" s="185"/>
      <c r="Q290" s="185"/>
      <c r="R290" s="185"/>
      <c r="S290" s="185"/>
      <c r="T290" s="185"/>
      <c r="U290" s="185"/>
      <c r="V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184" t="str">
        <f>IFERROR(__xludf.DUMMYFUNCTION("ifna(IF(and(D291=""Saída"",J291=""Sangria""),if(sum(QUERY(IMPORTRANGE(""https://docs.google.com/spreadsheets/d/1E4szPcLzsqlw4uyBAoJ61L1ChCgpz4wVP8tHfHW1g_c"",""BD M Sangrias!a:i""),""select Col6 where Col7 = 'Depositada' and Col9 = '""&amp;K291&amp;""' and Col6 ="&amp;" ""&amp;M291&amp;"" and Col4 = date '""&amp;YEAR(C291)&amp;""-""&amp;MONTH(C291)&amp;""-""&amp;DAY(C291)&amp;""'""))&gt;0,""Depositada"",if(sum(QUERY(IMPORTRANGE(""https://docs.google.com/spreadsheets/d/1EcLIvUgMoBC5as4ikW0wuQsGH5yVZ6cQ1y16qEfgPnk"",""BD M Sangrias!a:i""),""select Col6 whe"&amp;"re Col7 = 'Caixa Atendimento' and Col9 = '""&amp;K291&amp;""' and Col6 = ""&amp;M291&amp;"" and Col4 = date '""&amp;YEAR(C291)&amp;""-""&amp;MONTH(C291)&amp;""-""&amp;DAY(C291)&amp;""'""))&gt;0,""Caixa Atendimento"",""Caixa Sangria"")),""""),""Caixa Sangria"")"),"")</f>
        <v/>
      </c>
      <c r="M291" s="185" t="str">
        <f>IFERROR(__xludf.DUMMYFUNCTION("ifna(VALUE(REGEXEXTRACT(E291,""[0-9.]+[,]+[0-9]+"")))"),"")</f>
        <v/>
      </c>
      <c r="N291" s="185"/>
      <c r="O291" s="185"/>
      <c r="P291" s="185"/>
      <c r="Q291" s="185"/>
      <c r="R291" s="185"/>
      <c r="S291" s="185"/>
      <c r="T291" s="185"/>
      <c r="U291" s="185"/>
      <c r="V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184" t="str">
        <f>IFERROR(__xludf.DUMMYFUNCTION("ifna(IF(and(D292=""Saída"",J292=""Sangria""),if(sum(QUERY(IMPORTRANGE(""https://docs.google.com/spreadsheets/d/1E4szPcLzsqlw4uyBAoJ61L1ChCgpz4wVP8tHfHW1g_c"",""BD M Sangrias!a:i""),""select Col6 where Col7 = 'Depositada' and Col9 = '""&amp;K292&amp;""' and Col6 ="&amp;" ""&amp;M292&amp;"" and Col4 = date '""&amp;YEAR(C292)&amp;""-""&amp;MONTH(C292)&amp;""-""&amp;DAY(C292)&amp;""'""))&gt;0,""Depositada"",if(sum(QUERY(IMPORTRANGE(""https://docs.google.com/spreadsheets/d/1EcLIvUgMoBC5as4ikW0wuQsGH5yVZ6cQ1y16qEfgPnk"",""BD M Sangrias!a:i""),""select Col6 whe"&amp;"re Col7 = 'Caixa Atendimento' and Col9 = '""&amp;K292&amp;""' and Col6 = ""&amp;M292&amp;"" and Col4 = date '""&amp;YEAR(C292)&amp;""-""&amp;MONTH(C292)&amp;""-""&amp;DAY(C292)&amp;""'""))&gt;0,""Caixa Atendimento"",""Caixa Sangria"")),""""),""Caixa Sangria"")"),"")</f>
        <v/>
      </c>
      <c r="M292" s="185" t="str">
        <f>IFERROR(__xludf.DUMMYFUNCTION("ifna(VALUE(REGEXEXTRACT(E292,""[0-9.]+[,]+[0-9]+"")))"),"")</f>
        <v/>
      </c>
      <c r="N292" s="185"/>
      <c r="O292" s="185"/>
      <c r="P292" s="185"/>
      <c r="Q292" s="185"/>
      <c r="R292" s="185"/>
      <c r="S292" s="185"/>
      <c r="T292" s="185"/>
      <c r="U292" s="185"/>
      <c r="V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184" t="str">
        <f>IFERROR(__xludf.DUMMYFUNCTION("ifna(IF(and(D293=""Saída"",J293=""Sangria""),if(sum(QUERY(IMPORTRANGE(""https://docs.google.com/spreadsheets/d/1E4szPcLzsqlw4uyBAoJ61L1ChCgpz4wVP8tHfHW1g_c"",""BD M Sangrias!a:i""),""select Col6 where Col7 = 'Depositada' and Col9 = '""&amp;K293&amp;""' and Col6 ="&amp;" ""&amp;M293&amp;"" and Col4 = date '""&amp;YEAR(C293)&amp;""-""&amp;MONTH(C293)&amp;""-""&amp;DAY(C293)&amp;""'""))&gt;0,""Depositada"",if(sum(QUERY(IMPORTRANGE(""https://docs.google.com/spreadsheets/d/1EcLIvUgMoBC5as4ikW0wuQsGH5yVZ6cQ1y16qEfgPnk"",""BD M Sangrias!a:i""),""select Col6 whe"&amp;"re Col7 = 'Caixa Atendimento' and Col9 = '""&amp;K293&amp;""' and Col6 = ""&amp;M293&amp;"" and Col4 = date '""&amp;YEAR(C293)&amp;""-""&amp;MONTH(C293)&amp;""-""&amp;DAY(C293)&amp;""'""))&gt;0,""Caixa Atendimento"",""Caixa Sangria"")),""""),""Caixa Sangria"")"),"")</f>
        <v/>
      </c>
      <c r="M293" s="185" t="str">
        <f>IFERROR(__xludf.DUMMYFUNCTION("ifna(VALUE(REGEXEXTRACT(E293,""[0-9.]+[,]+[0-9]+"")))"),"")</f>
        <v/>
      </c>
      <c r="N293" s="185"/>
      <c r="O293" s="185"/>
      <c r="P293" s="185"/>
      <c r="Q293" s="185"/>
      <c r="R293" s="185"/>
      <c r="S293" s="185"/>
      <c r="T293" s="185"/>
      <c r="U293" s="185"/>
      <c r="V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184" t="str">
        <f>IFERROR(__xludf.DUMMYFUNCTION("ifna(IF(and(D294=""Saída"",J294=""Sangria""),if(sum(QUERY(IMPORTRANGE(""https://docs.google.com/spreadsheets/d/1E4szPcLzsqlw4uyBAoJ61L1ChCgpz4wVP8tHfHW1g_c"",""BD M Sangrias!a:i""),""select Col6 where Col7 = 'Depositada' and Col9 = '""&amp;K294&amp;""' and Col6 ="&amp;" ""&amp;M294&amp;"" and Col4 = date '""&amp;YEAR(C294)&amp;""-""&amp;MONTH(C294)&amp;""-""&amp;DAY(C294)&amp;""'""))&gt;0,""Depositada"",if(sum(QUERY(IMPORTRANGE(""https://docs.google.com/spreadsheets/d/1EcLIvUgMoBC5as4ikW0wuQsGH5yVZ6cQ1y16qEfgPnk"",""BD M Sangrias!a:i""),""select Col6 whe"&amp;"re Col7 = 'Caixa Atendimento' and Col9 = '""&amp;K294&amp;""' and Col6 = ""&amp;M294&amp;"" and Col4 = date '""&amp;YEAR(C294)&amp;""-""&amp;MONTH(C294)&amp;""-""&amp;DAY(C294)&amp;""'""))&gt;0,""Caixa Atendimento"",""Caixa Sangria"")),""""),""Caixa Sangria"")"),"")</f>
        <v/>
      </c>
      <c r="M294" s="185" t="str">
        <f>IFERROR(__xludf.DUMMYFUNCTION("ifna(VALUE(REGEXEXTRACT(E294,""[0-9.]+[,]+[0-9]+"")))"),"")</f>
        <v/>
      </c>
      <c r="N294" s="185"/>
      <c r="O294" s="185"/>
      <c r="P294" s="185"/>
      <c r="Q294" s="185"/>
      <c r="R294" s="185"/>
      <c r="S294" s="185"/>
      <c r="T294" s="185"/>
      <c r="U294" s="185"/>
      <c r="V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184" t="str">
        <f>IFERROR(__xludf.DUMMYFUNCTION("ifna(IF(and(D295=""Saída"",J295=""Sangria""),if(sum(QUERY(IMPORTRANGE(""https://docs.google.com/spreadsheets/d/1E4szPcLzsqlw4uyBAoJ61L1ChCgpz4wVP8tHfHW1g_c"",""BD M Sangrias!a:i""),""select Col6 where Col7 = 'Depositada' and Col9 = '""&amp;K295&amp;""' and Col6 ="&amp;" ""&amp;M295&amp;"" and Col4 = date '""&amp;YEAR(C295)&amp;""-""&amp;MONTH(C295)&amp;""-""&amp;DAY(C295)&amp;""'""))&gt;0,""Depositada"",if(sum(QUERY(IMPORTRANGE(""https://docs.google.com/spreadsheets/d/1EcLIvUgMoBC5as4ikW0wuQsGH5yVZ6cQ1y16qEfgPnk"",""BD M Sangrias!a:i""),""select Col6 whe"&amp;"re Col7 = 'Caixa Atendimento' and Col9 = '""&amp;K295&amp;""' and Col6 = ""&amp;M295&amp;"" and Col4 = date '""&amp;YEAR(C295)&amp;""-""&amp;MONTH(C295)&amp;""-""&amp;DAY(C295)&amp;""'""))&gt;0,""Caixa Atendimento"",""Caixa Sangria"")),""""),""Caixa Sangria"")"),"")</f>
        <v/>
      </c>
      <c r="M295" s="185" t="str">
        <f>IFERROR(__xludf.DUMMYFUNCTION("ifna(VALUE(REGEXEXTRACT(E295,""[0-9.]+[,]+[0-9]+"")))"),"")</f>
        <v/>
      </c>
      <c r="N295" s="185"/>
      <c r="O295" s="185"/>
      <c r="P295" s="185"/>
      <c r="Q295" s="185"/>
      <c r="R295" s="185"/>
      <c r="S295" s="185"/>
      <c r="T295" s="185"/>
      <c r="U295" s="185"/>
      <c r="V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184" t="str">
        <f>IFERROR(__xludf.DUMMYFUNCTION("ifna(IF(and(D296=""Saída"",J296=""Sangria""),if(sum(QUERY(IMPORTRANGE(""https://docs.google.com/spreadsheets/d/1E4szPcLzsqlw4uyBAoJ61L1ChCgpz4wVP8tHfHW1g_c"",""BD M Sangrias!a:i""),""select Col6 where Col7 = 'Depositada' and Col9 = '""&amp;K296&amp;""' and Col6 ="&amp;" ""&amp;M296&amp;"" and Col4 = date '""&amp;YEAR(C296)&amp;""-""&amp;MONTH(C296)&amp;""-""&amp;DAY(C296)&amp;""'""))&gt;0,""Depositada"",if(sum(QUERY(IMPORTRANGE(""https://docs.google.com/spreadsheets/d/1EcLIvUgMoBC5as4ikW0wuQsGH5yVZ6cQ1y16qEfgPnk"",""BD M Sangrias!a:i""),""select Col6 whe"&amp;"re Col7 = 'Caixa Atendimento' and Col9 = '""&amp;K296&amp;""' and Col6 = ""&amp;M296&amp;"" and Col4 = date '""&amp;YEAR(C296)&amp;""-""&amp;MONTH(C296)&amp;""-""&amp;DAY(C296)&amp;""'""))&gt;0,""Caixa Atendimento"",""Caixa Sangria"")),""""),""Caixa Sangria"")"),"")</f>
        <v/>
      </c>
      <c r="M296" s="185" t="str">
        <f>IFERROR(__xludf.DUMMYFUNCTION("ifna(VALUE(REGEXEXTRACT(E296,""[0-9.]+[,]+[0-9]+"")))"),"")</f>
        <v/>
      </c>
      <c r="N296" s="185"/>
      <c r="O296" s="185"/>
      <c r="P296" s="185"/>
      <c r="Q296" s="185"/>
      <c r="R296" s="185"/>
      <c r="S296" s="185"/>
      <c r="T296" s="185"/>
      <c r="U296" s="185"/>
      <c r="V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184" t="str">
        <f>IFERROR(__xludf.DUMMYFUNCTION("ifna(IF(and(D297=""Saída"",J297=""Sangria""),if(sum(QUERY(IMPORTRANGE(""https://docs.google.com/spreadsheets/d/1E4szPcLzsqlw4uyBAoJ61L1ChCgpz4wVP8tHfHW1g_c"",""BD M Sangrias!a:i""),""select Col6 where Col7 = 'Depositada' and Col9 = '""&amp;K297&amp;""' and Col6 ="&amp;" ""&amp;M297&amp;"" and Col4 = date '""&amp;YEAR(C297)&amp;""-""&amp;MONTH(C297)&amp;""-""&amp;DAY(C297)&amp;""'""))&gt;0,""Depositada"",if(sum(QUERY(IMPORTRANGE(""https://docs.google.com/spreadsheets/d/1EcLIvUgMoBC5as4ikW0wuQsGH5yVZ6cQ1y16qEfgPnk"",""BD M Sangrias!a:i""),""select Col6 whe"&amp;"re Col7 = 'Caixa Atendimento' and Col9 = '""&amp;K297&amp;""' and Col6 = ""&amp;M297&amp;"" and Col4 = date '""&amp;YEAR(C297)&amp;""-""&amp;MONTH(C297)&amp;""-""&amp;DAY(C297)&amp;""'""))&gt;0,""Caixa Atendimento"",""Caixa Sangria"")),""""),""Caixa Sangria"")"),"")</f>
        <v/>
      </c>
      <c r="M297" s="185" t="str">
        <f>IFERROR(__xludf.DUMMYFUNCTION("ifna(VALUE(REGEXEXTRACT(E297,""[0-9.]+[,]+[0-9]+"")))"),"")</f>
        <v/>
      </c>
      <c r="N297" s="185"/>
      <c r="O297" s="185"/>
      <c r="P297" s="185"/>
      <c r="Q297" s="185"/>
      <c r="R297" s="185"/>
      <c r="S297" s="185"/>
      <c r="T297" s="185"/>
      <c r="U297" s="185"/>
      <c r="V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184" t="str">
        <f>IFERROR(__xludf.DUMMYFUNCTION("ifna(IF(and(D298=""Saída"",J298=""Sangria""),if(sum(QUERY(IMPORTRANGE(""https://docs.google.com/spreadsheets/d/1E4szPcLzsqlw4uyBAoJ61L1ChCgpz4wVP8tHfHW1g_c"",""BD M Sangrias!a:i""),""select Col6 where Col7 = 'Depositada' and Col9 = '""&amp;K298&amp;""' and Col6 ="&amp;" ""&amp;M298&amp;"" and Col4 = date '""&amp;YEAR(C298)&amp;""-""&amp;MONTH(C298)&amp;""-""&amp;DAY(C298)&amp;""'""))&gt;0,""Depositada"",if(sum(QUERY(IMPORTRANGE(""https://docs.google.com/spreadsheets/d/1EcLIvUgMoBC5as4ikW0wuQsGH5yVZ6cQ1y16qEfgPnk"",""BD M Sangrias!a:i""),""select Col6 whe"&amp;"re Col7 = 'Caixa Atendimento' and Col9 = '""&amp;K298&amp;""' and Col6 = ""&amp;M298&amp;"" and Col4 = date '""&amp;YEAR(C298)&amp;""-""&amp;MONTH(C298)&amp;""-""&amp;DAY(C298)&amp;""'""))&gt;0,""Caixa Atendimento"",""Caixa Sangria"")),""""),""Caixa Sangria"")"),"")</f>
        <v/>
      </c>
      <c r="M298" s="185" t="str">
        <f>IFERROR(__xludf.DUMMYFUNCTION("ifna(VALUE(REGEXEXTRACT(E298,""[0-9.]+[,]+[0-9]+"")))"),"")</f>
        <v/>
      </c>
      <c r="N298" s="185"/>
      <c r="O298" s="185"/>
      <c r="P298" s="185"/>
      <c r="Q298" s="185"/>
      <c r="R298" s="185"/>
      <c r="S298" s="185"/>
      <c r="T298" s="185"/>
      <c r="U298" s="185"/>
      <c r="V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184" t="str">
        <f>IFERROR(__xludf.DUMMYFUNCTION("ifna(IF(and(D299=""Saída"",J299=""Sangria""),if(sum(QUERY(IMPORTRANGE(""https://docs.google.com/spreadsheets/d/1E4szPcLzsqlw4uyBAoJ61L1ChCgpz4wVP8tHfHW1g_c"",""BD M Sangrias!a:i""),""select Col6 where Col7 = 'Depositada' and Col9 = '""&amp;K299&amp;""' and Col6 ="&amp;" ""&amp;M299&amp;"" and Col4 = date '""&amp;YEAR(C299)&amp;""-""&amp;MONTH(C299)&amp;""-""&amp;DAY(C299)&amp;""'""))&gt;0,""Depositada"",if(sum(QUERY(IMPORTRANGE(""https://docs.google.com/spreadsheets/d/1EcLIvUgMoBC5as4ikW0wuQsGH5yVZ6cQ1y16qEfgPnk"",""BD M Sangrias!a:i""),""select Col6 whe"&amp;"re Col7 = 'Caixa Atendimento' and Col9 = '""&amp;K299&amp;""' and Col6 = ""&amp;M299&amp;"" and Col4 = date '""&amp;YEAR(C299)&amp;""-""&amp;MONTH(C299)&amp;""-""&amp;DAY(C299)&amp;""'""))&gt;0,""Caixa Atendimento"",""Caixa Sangria"")),""""),""Caixa Sangria"")"),"")</f>
        <v/>
      </c>
      <c r="M299" s="185" t="str">
        <f>IFERROR(__xludf.DUMMYFUNCTION("ifna(VALUE(REGEXEXTRACT(E299,""[0-9.]+[,]+[0-9]+"")))"),"")</f>
        <v/>
      </c>
      <c r="N299" s="185"/>
      <c r="O299" s="185"/>
      <c r="P299" s="185"/>
      <c r="Q299" s="185"/>
      <c r="R299" s="185"/>
      <c r="S299" s="185"/>
      <c r="T299" s="185"/>
      <c r="U299" s="185"/>
      <c r="V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184" t="str">
        <f>IFERROR(__xludf.DUMMYFUNCTION("ifna(IF(and(D300=""Saída"",J300=""Sangria""),if(sum(QUERY(IMPORTRANGE(""https://docs.google.com/spreadsheets/d/1E4szPcLzsqlw4uyBAoJ61L1ChCgpz4wVP8tHfHW1g_c"",""BD M Sangrias!a:i""),""select Col6 where Col7 = 'Depositada' and Col9 = '""&amp;K300&amp;""' and Col6 ="&amp;" ""&amp;M300&amp;"" and Col4 = date '""&amp;YEAR(C300)&amp;""-""&amp;MONTH(C300)&amp;""-""&amp;DAY(C300)&amp;""'""))&gt;0,""Depositada"",if(sum(QUERY(IMPORTRANGE(""https://docs.google.com/spreadsheets/d/1EcLIvUgMoBC5as4ikW0wuQsGH5yVZ6cQ1y16qEfgPnk"",""BD M Sangrias!a:i""),""select Col6 whe"&amp;"re Col7 = 'Caixa Atendimento' and Col9 = '""&amp;K300&amp;""' and Col6 = ""&amp;M300&amp;"" and Col4 = date '""&amp;YEAR(C300)&amp;""-""&amp;MONTH(C300)&amp;""-""&amp;DAY(C300)&amp;""'""))&gt;0,""Caixa Atendimento"",""Caixa Sangria"")),""""),""Caixa Sangria"")"),"")</f>
        <v/>
      </c>
      <c r="M300" s="185" t="str">
        <f>IFERROR(__xludf.DUMMYFUNCTION("ifna(VALUE(REGEXEXTRACT(E300,""[0-9.]+[,]+[0-9]+"")))"),"")</f>
        <v/>
      </c>
      <c r="N300" s="185"/>
      <c r="O300" s="185"/>
      <c r="P300" s="185"/>
      <c r="Q300" s="185"/>
      <c r="R300" s="185"/>
      <c r="S300" s="185"/>
      <c r="T300" s="185"/>
      <c r="U300" s="185"/>
      <c r="V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184" t="str">
        <f>IFERROR(__xludf.DUMMYFUNCTION("ifna(IF(and(D301=""Saída"",J301=""Sangria""),if(sum(QUERY(IMPORTRANGE(""https://docs.google.com/spreadsheets/d/1E4szPcLzsqlw4uyBAoJ61L1ChCgpz4wVP8tHfHW1g_c"",""BD M Sangrias!a:i""),""select Col6 where Col7 = 'Depositada' and Col9 = '""&amp;K301&amp;""' and Col6 ="&amp;" ""&amp;M301&amp;"" and Col4 = date '""&amp;YEAR(C301)&amp;""-""&amp;MONTH(C301)&amp;""-""&amp;DAY(C301)&amp;""'""))&gt;0,""Depositada"",if(sum(QUERY(IMPORTRANGE(""https://docs.google.com/spreadsheets/d/1EcLIvUgMoBC5as4ikW0wuQsGH5yVZ6cQ1y16qEfgPnk"",""BD M Sangrias!a:i""),""select Col6 whe"&amp;"re Col7 = 'Caixa Atendimento' and Col9 = '""&amp;K301&amp;""' and Col6 = ""&amp;M301&amp;"" and Col4 = date '""&amp;YEAR(C301)&amp;""-""&amp;MONTH(C301)&amp;""-""&amp;DAY(C301)&amp;""'""))&gt;0,""Caixa Atendimento"",""Caixa Sangria"")),""""),""Caixa Sangria"")"),"")</f>
        <v/>
      </c>
      <c r="M301" s="185" t="str">
        <f>IFERROR(__xludf.DUMMYFUNCTION("ifna(VALUE(REGEXEXTRACT(E301,""[0-9.]+[,]+[0-9]+"")))"),"")</f>
        <v/>
      </c>
      <c r="N301" s="185"/>
      <c r="O301" s="185"/>
      <c r="P301" s="185"/>
      <c r="Q301" s="185"/>
      <c r="R301" s="185"/>
      <c r="S301" s="185"/>
      <c r="T301" s="185"/>
      <c r="U301" s="185"/>
      <c r="V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184" t="str">
        <f>IFERROR(__xludf.DUMMYFUNCTION("ifna(IF(and(D302=""Saída"",J302=""Sangria""),if(sum(QUERY(IMPORTRANGE(""https://docs.google.com/spreadsheets/d/1E4szPcLzsqlw4uyBAoJ61L1ChCgpz4wVP8tHfHW1g_c"",""BD M Sangrias!a:i""),""select Col6 where Col7 = 'Depositada' and Col9 = '""&amp;K302&amp;""' and Col6 ="&amp;" ""&amp;M302&amp;"" and Col4 = date '""&amp;YEAR(C302)&amp;""-""&amp;MONTH(C302)&amp;""-""&amp;DAY(C302)&amp;""'""))&gt;0,""Depositada"",if(sum(QUERY(IMPORTRANGE(""https://docs.google.com/spreadsheets/d/1EcLIvUgMoBC5as4ikW0wuQsGH5yVZ6cQ1y16qEfgPnk"",""BD M Sangrias!a:i""),""select Col6 whe"&amp;"re Col7 = 'Caixa Atendimento' and Col9 = '""&amp;K302&amp;""' and Col6 = ""&amp;M302&amp;"" and Col4 = date '""&amp;YEAR(C302)&amp;""-""&amp;MONTH(C302)&amp;""-""&amp;DAY(C302)&amp;""'""))&gt;0,""Caixa Atendimento"",""Caixa Sangria"")),""""),""Caixa Sangria"")"),"")</f>
        <v/>
      </c>
      <c r="M302" s="185" t="str">
        <f>IFERROR(__xludf.DUMMYFUNCTION("ifna(VALUE(REGEXEXTRACT(E302,""[0-9.]+[,]+[0-9]+"")))"),"")</f>
        <v/>
      </c>
      <c r="N302" s="185"/>
      <c r="O302" s="185"/>
      <c r="P302" s="185"/>
      <c r="Q302" s="185"/>
      <c r="R302" s="185"/>
      <c r="S302" s="185"/>
      <c r="T302" s="185"/>
      <c r="U302" s="185"/>
      <c r="V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184" t="str">
        <f>IFERROR(__xludf.DUMMYFUNCTION("ifna(IF(and(D303=""Saída"",J303=""Sangria""),if(sum(QUERY(IMPORTRANGE(""https://docs.google.com/spreadsheets/d/1E4szPcLzsqlw4uyBAoJ61L1ChCgpz4wVP8tHfHW1g_c"",""BD M Sangrias!a:i""),""select Col6 where Col7 = 'Depositada' and Col9 = '""&amp;K303&amp;""' and Col6 ="&amp;" ""&amp;M303&amp;"" and Col4 = date '""&amp;YEAR(C303)&amp;""-""&amp;MONTH(C303)&amp;""-""&amp;DAY(C303)&amp;""'""))&gt;0,""Depositada"",if(sum(QUERY(IMPORTRANGE(""https://docs.google.com/spreadsheets/d/1EcLIvUgMoBC5as4ikW0wuQsGH5yVZ6cQ1y16qEfgPnk"",""BD M Sangrias!a:i""),""select Col6 whe"&amp;"re Col7 = 'Caixa Atendimento' and Col9 = '""&amp;K303&amp;""' and Col6 = ""&amp;M303&amp;"" and Col4 = date '""&amp;YEAR(C303)&amp;""-""&amp;MONTH(C303)&amp;""-""&amp;DAY(C303)&amp;""'""))&gt;0,""Caixa Atendimento"",""Caixa Sangria"")),""""),""Caixa Sangria"")"),"")</f>
        <v/>
      </c>
      <c r="M303" s="185" t="str">
        <f>IFERROR(__xludf.DUMMYFUNCTION("ifna(VALUE(REGEXEXTRACT(E303,""[0-9.]+[,]+[0-9]+"")))"),"")</f>
        <v/>
      </c>
      <c r="N303" s="185"/>
      <c r="O303" s="185"/>
      <c r="P303" s="185"/>
      <c r="Q303" s="185"/>
      <c r="R303" s="185"/>
      <c r="S303" s="185"/>
      <c r="T303" s="185"/>
      <c r="U303" s="185"/>
      <c r="V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184" t="str">
        <f>IFERROR(__xludf.DUMMYFUNCTION("ifna(IF(and(D304=""Saída"",J304=""Sangria""),if(sum(QUERY(IMPORTRANGE(""https://docs.google.com/spreadsheets/d/1E4szPcLzsqlw4uyBAoJ61L1ChCgpz4wVP8tHfHW1g_c"",""BD M Sangrias!a:i""),""select Col6 where Col7 = 'Depositada' and Col9 = '""&amp;K304&amp;""' and Col6 ="&amp;" ""&amp;M304&amp;"" and Col4 = date '""&amp;YEAR(C304)&amp;""-""&amp;MONTH(C304)&amp;""-""&amp;DAY(C304)&amp;""'""))&gt;0,""Depositada"",if(sum(QUERY(IMPORTRANGE(""https://docs.google.com/spreadsheets/d/1EcLIvUgMoBC5as4ikW0wuQsGH5yVZ6cQ1y16qEfgPnk"",""BD M Sangrias!a:i""),""select Col6 whe"&amp;"re Col7 = 'Caixa Atendimento' and Col9 = '""&amp;K304&amp;""' and Col6 = ""&amp;M304&amp;"" and Col4 = date '""&amp;YEAR(C304)&amp;""-""&amp;MONTH(C304)&amp;""-""&amp;DAY(C304)&amp;""'""))&gt;0,""Caixa Atendimento"",""Caixa Sangria"")),""""),""Caixa Sangria"")"),"")</f>
        <v/>
      </c>
      <c r="M304" s="185" t="str">
        <f>IFERROR(__xludf.DUMMYFUNCTION("ifna(VALUE(REGEXEXTRACT(E304,""[0-9.]+[,]+[0-9]+"")))"),"")</f>
        <v/>
      </c>
      <c r="N304" s="185"/>
      <c r="O304" s="185"/>
      <c r="P304" s="185"/>
      <c r="Q304" s="185"/>
      <c r="R304" s="185"/>
      <c r="S304" s="185"/>
      <c r="T304" s="185"/>
      <c r="U304" s="185"/>
      <c r="V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184" t="str">
        <f>IFERROR(__xludf.DUMMYFUNCTION("ifna(IF(and(D305=""Saída"",J305=""Sangria""),if(sum(QUERY(IMPORTRANGE(""https://docs.google.com/spreadsheets/d/1E4szPcLzsqlw4uyBAoJ61L1ChCgpz4wVP8tHfHW1g_c"",""BD M Sangrias!a:i""),""select Col6 where Col7 = 'Depositada' and Col9 = '""&amp;K305&amp;""' and Col6 ="&amp;" ""&amp;M305&amp;"" and Col4 = date '""&amp;YEAR(C305)&amp;""-""&amp;MONTH(C305)&amp;""-""&amp;DAY(C305)&amp;""'""))&gt;0,""Depositada"",if(sum(QUERY(IMPORTRANGE(""https://docs.google.com/spreadsheets/d/1EcLIvUgMoBC5as4ikW0wuQsGH5yVZ6cQ1y16qEfgPnk"",""BD M Sangrias!a:i""),""select Col6 whe"&amp;"re Col7 = 'Caixa Atendimento' and Col9 = '""&amp;K305&amp;""' and Col6 = ""&amp;M305&amp;"" and Col4 = date '""&amp;YEAR(C305)&amp;""-""&amp;MONTH(C305)&amp;""-""&amp;DAY(C305)&amp;""'""))&gt;0,""Caixa Atendimento"",""Caixa Sangria"")),""""),""Caixa Sangria"")"),"")</f>
        <v/>
      </c>
      <c r="M305" s="185" t="str">
        <f>IFERROR(__xludf.DUMMYFUNCTION("ifna(VALUE(REGEXEXTRACT(E305,""[0-9.]+[,]+[0-9]+"")))"),"")</f>
        <v/>
      </c>
      <c r="N305" s="185"/>
      <c r="O305" s="185"/>
      <c r="P305" s="185"/>
      <c r="Q305" s="185"/>
      <c r="R305" s="185"/>
      <c r="S305" s="185"/>
      <c r="T305" s="185"/>
      <c r="U305" s="185"/>
      <c r="V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184" t="str">
        <f>IFERROR(__xludf.DUMMYFUNCTION("ifna(IF(and(D306=""Saída"",J306=""Sangria""),if(sum(QUERY(IMPORTRANGE(""https://docs.google.com/spreadsheets/d/1E4szPcLzsqlw4uyBAoJ61L1ChCgpz4wVP8tHfHW1g_c"",""BD M Sangrias!a:i""),""select Col6 where Col7 = 'Depositada' and Col9 = '""&amp;K306&amp;""' and Col6 ="&amp;" ""&amp;M306&amp;"" and Col4 = date '""&amp;YEAR(C306)&amp;""-""&amp;MONTH(C306)&amp;""-""&amp;DAY(C306)&amp;""'""))&gt;0,""Depositada"",if(sum(QUERY(IMPORTRANGE(""https://docs.google.com/spreadsheets/d/1EcLIvUgMoBC5as4ikW0wuQsGH5yVZ6cQ1y16qEfgPnk"",""BD M Sangrias!a:i""),""select Col6 whe"&amp;"re Col7 = 'Caixa Atendimento' and Col9 = '""&amp;K306&amp;""' and Col6 = ""&amp;M306&amp;"" and Col4 = date '""&amp;YEAR(C306)&amp;""-""&amp;MONTH(C306)&amp;""-""&amp;DAY(C306)&amp;""'""))&gt;0,""Caixa Atendimento"",""Caixa Sangria"")),""""),""Caixa Sangria"")"),"")</f>
        <v/>
      </c>
      <c r="M306" s="185" t="str">
        <f>IFERROR(__xludf.DUMMYFUNCTION("ifna(VALUE(REGEXEXTRACT(E306,""[0-9.]+[,]+[0-9]+"")))"),"")</f>
        <v/>
      </c>
      <c r="N306" s="185"/>
      <c r="O306" s="185"/>
      <c r="P306" s="185"/>
      <c r="Q306" s="185"/>
      <c r="R306" s="185"/>
      <c r="S306" s="185"/>
      <c r="T306" s="185"/>
      <c r="U306" s="185"/>
      <c r="V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184" t="str">
        <f>IFERROR(__xludf.DUMMYFUNCTION("ifna(IF(and(D307=""Saída"",J307=""Sangria""),if(sum(QUERY(IMPORTRANGE(""https://docs.google.com/spreadsheets/d/1E4szPcLzsqlw4uyBAoJ61L1ChCgpz4wVP8tHfHW1g_c"",""BD M Sangrias!a:i""),""select Col6 where Col7 = 'Depositada' and Col9 = '""&amp;K307&amp;""' and Col6 ="&amp;" ""&amp;M307&amp;"" and Col4 = date '""&amp;YEAR(C307)&amp;""-""&amp;MONTH(C307)&amp;""-""&amp;DAY(C307)&amp;""'""))&gt;0,""Depositada"",if(sum(QUERY(IMPORTRANGE(""https://docs.google.com/spreadsheets/d/1EcLIvUgMoBC5as4ikW0wuQsGH5yVZ6cQ1y16qEfgPnk"",""BD M Sangrias!a:i""),""select Col6 whe"&amp;"re Col7 = 'Caixa Atendimento' and Col9 = '""&amp;K307&amp;""' and Col6 = ""&amp;M307&amp;"" and Col4 = date '""&amp;YEAR(C307)&amp;""-""&amp;MONTH(C307)&amp;""-""&amp;DAY(C307)&amp;""'""))&gt;0,""Caixa Atendimento"",""Caixa Sangria"")),""""),""Caixa Sangria"")"),"")</f>
        <v/>
      </c>
      <c r="M307" s="185" t="str">
        <f>IFERROR(__xludf.DUMMYFUNCTION("ifna(VALUE(REGEXEXTRACT(E307,""[0-9.]+[,]+[0-9]+"")))"),"")</f>
        <v/>
      </c>
      <c r="N307" s="185"/>
      <c r="O307" s="185"/>
      <c r="P307" s="185"/>
      <c r="Q307" s="185"/>
      <c r="R307" s="185"/>
      <c r="S307" s="185"/>
      <c r="T307" s="185"/>
      <c r="U307" s="185"/>
      <c r="V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184" t="str">
        <f>IFERROR(__xludf.DUMMYFUNCTION("ifna(IF(and(D308=""Saída"",J308=""Sangria""),if(sum(QUERY(IMPORTRANGE(""https://docs.google.com/spreadsheets/d/1E4szPcLzsqlw4uyBAoJ61L1ChCgpz4wVP8tHfHW1g_c"",""BD M Sangrias!a:i""),""select Col6 where Col7 = 'Depositada' and Col9 = '""&amp;K308&amp;""' and Col6 ="&amp;" ""&amp;M308&amp;"" and Col4 = date '""&amp;YEAR(C308)&amp;""-""&amp;MONTH(C308)&amp;""-""&amp;DAY(C308)&amp;""'""))&gt;0,""Depositada"",if(sum(QUERY(IMPORTRANGE(""https://docs.google.com/spreadsheets/d/1EcLIvUgMoBC5as4ikW0wuQsGH5yVZ6cQ1y16qEfgPnk"",""BD M Sangrias!a:i""),""select Col6 whe"&amp;"re Col7 = 'Caixa Atendimento' and Col9 = '""&amp;K308&amp;""' and Col6 = ""&amp;M308&amp;"" and Col4 = date '""&amp;YEAR(C308)&amp;""-""&amp;MONTH(C308)&amp;""-""&amp;DAY(C308)&amp;""'""))&gt;0,""Caixa Atendimento"",""Caixa Sangria"")),""""),""Caixa Sangria"")"),"")</f>
        <v/>
      </c>
      <c r="M308" s="185" t="str">
        <f>IFERROR(__xludf.DUMMYFUNCTION("ifna(VALUE(REGEXEXTRACT(E308,""[0-9.]+[,]+[0-9]+"")))"),"")</f>
        <v/>
      </c>
      <c r="N308" s="185"/>
      <c r="O308" s="185"/>
      <c r="P308" s="185"/>
      <c r="Q308" s="185"/>
      <c r="R308" s="185"/>
      <c r="S308" s="185"/>
      <c r="T308" s="185"/>
      <c r="U308" s="185"/>
      <c r="V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184" t="str">
        <f>IFERROR(__xludf.DUMMYFUNCTION("ifna(IF(and(D309=""Saída"",J309=""Sangria""),if(sum(QUERY(IMPORTRANGE(""https://docs.google.com/spreadsheets/d/1E4szPcLzsqlw4uyBAoJ61L1ChCgpz4wVP8tHfHW1g_c"",""BD M Sangrias!a:i""),""select Col6 where Col7 = 'Depositada' and Col9 = '""&amp;K309&amp;""' and Col6 ="&amp;" ""&amp;M309&amp;"" and Col4 = date '""&amp;YEAR(C309)&amp;""-""&amp;MONTH(C309)&amp;""-""&amp;DAY(C309)&amp;""'""))&gt;0,""Depositada"",if(sum(QUERY(IMPORTRANGE(""https://docs.google.com/spreadsheets/d/1EcLIvUgMoBC5as4ikW0wuQsGH5yVZ6cQ1y16qEfgPnk"",""BD M Sangrias!a:i""),""select Col6 whe"&amp;"re Col7 = 'Caixa Atendimento' and Col9 = '""&amp;K309&amp;""' and Col6 = ""&amp;M309&amp;"" and Col4 = date '""&amp;YEAR(C309)&amp;""-""&amp;MONTH(C309)&amp;""-""&amp;DAY(C309)&amp;""'""))&gt;0,""Caixa Atendimento"",""Caixa Sangria"")),""""),""Caixa Sangria"")"),"")</f>
        <v/>
      </c>
      <c r="M309" s="185" t="str">
        <f>IFERROR(__xludf.DUMMYFUNCTION("ifna(VALUE(REGEXEXTRACT(E309,""[0-9.]+[,]+[0-9]+"")))"),"")</f>
        <v/>
      </c>
      <c r="N309" s="185"/>
      <c r="O309" s="185"/>
      <c r="P309" s="185"/>
      <c r="Q309" s="185"/>
      <c r="R309" s="185"/>
      <c r="S309" s="185"/>
      <c r="T309" s="185"/>
      <c r="U309" s="185"/>
      <c r="V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184" t="str">
        <f>IFERROR(__xludf.DUMMYFUNCTION("ifna(IF(and(D310=""Saída"",J310=""Sangria""),if(sum(QUERY(IMPORTRANGE(""https://docs.google.com/spreadsheets/d/1E4szPcLzsqlw4uyBAoJ61L1ChCgpz4wVP8tHfHW1g_c"",""BD M Sangrias!a:i""),""select Col6 where Col7 = 'Depositada' and Col9 = '""&amp;K310&amp;""' and Col6 ="&amp;" ""&amp;M310&amp;"" and Col4 = date '""&amp;YEAR(C310)&amp;""-""&amp;MONTH(C310)&amp;""-""&amp;DAY(C310)&amp;""'""))&gt;0,""Depositada"",if(sum(QUERY(IMPORTRANGE(""https://docs.google.com/spreadsheets/d/1EcLIvUgMoBC5as4ikW0wuQsGH5yVZ6cQ1y16qEfgPnk"",""BD M Sangrias!a:i""),""select Col6 whe"&amp;"re Col7 = 'Caixa Atendimento' and Col9 = '""&amp;K310&amp;""' and Col6 = ""&amp;M310&amp;"" and Col4 = date '""&amp;YEAR(C310)&amp;""-""&amp;MONTH(C310)&amp;""-""&amp;DAY(C310)&amp;""'""))&gt;0,""Caixa Atendimento"",""Caixa Sangria"")),""""),""Caixa Sangria"")"),"")</f>
        <v/>
      </c>
      <c r="M310" s="185" t="str">
        <f>IFERROR(__xludf.DUMMYFUNCTION("ifna(VALUE(REGEXEXTRACT(E310,""[0-9.]+[,]+[0-9]+"")))"),"")</f>
        <v/>
      </c>
      <c r="N310" s="185"/>
      <c r="O310" s="185"/>
      <c r="P310" s="185"/>
      <c r="Q310" s="185"/>
      <c r="R310" s="185"/>
      <c r="S310" s="185"/>
      <c r="T310" s="185"/>
      <c r="U310" s="185"/>
      <c r="V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184" t="str">
        <f>IFERROR(__xludf.DUMMYFUNCTION("ifna(IF(and(D311=""Saída"",J311=""Sangria""),if(sum(QUERY(IMPORTRANGE(""https://docs.google.com/spreadsheets/d/1E4szPcLzsqlw4uyBAoJ61L1ChCgpz4wVP8tHfHW1g_c"",""BD M Sangrias!a:i""),""select Col6 where Col7 = 'Depositada' and Col9 = '""&amp;K311&amp;""' and Col6 ="&amp;" ""&amp;M311&amp;"" and Col4 = date '""&amp;YEAR(C311)&amp;""-""&amp;MONTH(C311)&amp;""-""&amp;DAY(C311)&amp;""'""))&gt;0,""Depositada"",if(sum(QUERY(IMPORTRANGE(""https://docs.google.com/spreadsheets/d/1EcLIvUgMoBC5as4ikW0wuQsGH5yVZ6cQ1y16qEfgPnk"",""BD M Sangrias!a:i""),""select Col6 whe"&amp;"re Col7 = 'Caixa Atendimento' and Col9 = '""&amp;K311&amp;""' and Col6 = ""&amp;M311&amp;"" and Col4 = date '""&amp;YEAR(C311)&amp;""-""&amp;MONTH(C311)&amp;""-""&amp;DAY(C311)&amp;""'""))&gt;0,""Caixa Atendimento"",""Caixa Sangria"")),""""),""Caixa Sangria"")"),"")</f>
        <v/>
      </c>
      <c r="M311" s="185" t="str">
        <f>IFERROR(__xludf.DUMMYFUNCTION("ifna(VALUE(REGEXEXTRACT(E311,""[0-9.]+[,]+[0-9]+"")))"),"")</f>
        <v/>
      </c>
      <c r="N311" s="185"/>
      <c r="O311" s="185"/>
      <c r="P311" s="185"/>
      <c r="Q311" s="185"/>
      <c r="R311" s="185"/>
      <c r="S311" s="185"/>
      <c r="T311" s="185"/>
      <c r="U311" s="185"/>
      <c r="V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184" t="str">
        <f>IFERROR(__xludf.DUMMYFUNCTION("ifna(IF(and(D312=""Saída"",J312=""Sangria""),if(sum(QUERY(IMPORTRANGE(""https://docs.google.com/spreadsheets/d/1E4szPcLzsqlw4uyBAoJ61L1ChCgpz4wVP8tHfHW1g_c"",""BD M Sangrias!a:i""),""select Col6 where Col7 = 'Depositada' and Col9 = '""&amp;K312&amp;""' and Col6 ="&amp;" ""&amp;M312&amp;"" and Col4 = date '""&amp;YEAR(C312)&amp;""-""&amp;MONTH(C312)&amp;""-""&amp;DAY(C312)&amp;""'""))&gt;0,""Depositada"",if(sum(QUERY(IMPORTRANGE(""https://docs.google.com/spreadsheets/d/1EcLIvUgMoBC5as4ikW0wuQsGH5yVZ6cQ1y16qEfgPnk"",""BD M Sangrias!a:i""),""select Col6 whe"&amp;"re Col7 = 'Caixa Atendimento' and Col9 = '""&amp;K312&amp;""' and Col6 = ""&amp;M312&amp;"" and Col4 = date '""&amp;YEAR(C312)&amp;""-""&amp;MONTH(C312)&amp;""-""&amp;DAY(C312)&amp;""'""))&gt;0,""Caixa Atendimento"",""Caixa Sangria"")),""""),""Caixa Sangria"")"),"")</f>
        <v/>
      </c>
      <c r="M312" s="185" t="str">
        <f>IFERROR(__xludf.DUMMYFUNCTION("ifna(VALUE(REGEXEXTRACT(E312,""[0-9.]+[,]+[0-9]+"")))"),"")</f>
        <v/>
      </c>
      <c r="N312" s="185"/>
      <c r="O312" s="185"/>
      <c r="P312" s="185"/>
      <c r="Q312" s="185"/>
      <c r="R312" s="185"/>
      <c r="S312" s="185"/>
      <c r="T312" s="185"/>
      <c r="U312" s="185"/>
      <c r="V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184" t="str">
        <f>IFERROR(__xludf.DUMMYFUNCTION("ifna(IF(and(D313=""Saída"",J313=""Sangria""),if(sum(QUERY(IMPORTRANGE(""https://docs.google.com/spreadsheets/d/1E4szPcLzsqlw4uyBAoJ61L1ChCgpz4wVP8tHfHW1g_c"",""BD M Sangrias!a:i""),""select Col6 where Col7 = 'Depositada' and Col9 = '""&amp;K313&amp;""' and Col6 ="&amp;" ""&amp;M313&amp;"" and Col4 = date '""&amp;YEAR(C313)&amp;""-""&amp;MONTH(C313)&amp;""-""&amp;DAY(C313)&amp;""'""))&gt;0,""Depositada"",if(sum(QUERY(IMPORTRANGE(""https://docs.google.com/spreadsheets/d/1EcLIvUgMoBC5as4ikW0wuQsGH5yVZ6cQ1y16qEfgPnk"",""BD M Sangrias!a:i""),""select Col6 whe"&amp;"re Col7 = 'Caixa Atendimento' and Col9 = '""&amp;K313&amp;""' and Col6 = ""&amp;M313&amp;"" and Col4 = date '""&amp;YEAR(C313)&amp;""-""&amp;MONTH(C313)&amp;""-""&amp;DAY(C313)&amp;""'""))&gt;0,""Caixa Atendimento"",""Caixa Sangria"")),""""),""Caixa Sangria"")"),"")</f>
        <v/>
      </c>
      <c r="M313" s="185" t="str">
        <f>IFERROR(__xludf.DUMMYFUNCTION("ifna(VALUE(REGEXEXTRACT(E313,""[0-9.]+[,]+[0-9]+"")))"),"")</f>
        <v/>
      </c>
      <c r="N313" s="185"/>
      <c r="O313" s="185"/>
      <c r="P313" s="185"/>
      <c r="Q313" s="185"/>
      <c r="R313" s="185"/>
      <c r="S313" s="185"/>
      <c r="T313" s="185"/>
      <c r="U313" s="185"/>
      <c r="V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184" t="str">
        <f>IFERROR(__xludf.DUMMYFUNCTION("ifna(IF(and(D314=""Saída"",J314=""Sangria""),if(sum(QUERY(IMPORTRANGE(""https://docs.google.com/spreadsheets/d/1E4szPcLzsqlw4uyBAoJ61L1ChCgpz4wVP8tHfHW1g_c"",""BD M Sangrias!a:i""),""select Col6 where Col7 = 'Depositada' and Col9 = '""&amp;K314&amp;""' and Col6 ="&amp;" ""&amp;M314&amp;"" and Col4 = date '""&amp;YEAR(C314)&amp;""-""&amp;MONTH(C314)&amp;""-""&amp;DAY(C314)&amp;""'""))&gt;0,""Depositada"",if(sum(QUERY(IMPORTRANGE(""https://docs.google.com/spreadsheets/d/1EcLIvUgMoBC5as4ikW0wuQsGH5yVZ6cQ1y16qEfgPnk"",""BD M Sangrias!a:i""),""select Col6 whe"&amp;"re Col7 = 'Caixa Atendimento' and Col9 = '""&amp;K314&amp;""' and Col6 = ""&amp;M314&amp;"" and Col4 = date '""&amp;YEAR(C314)&amp;""-""&amp;MONTH(C314)&amp;""-""&amp;DAY(C314)&amp;""'""))&gt;0,""Caixa Atendimento"",""Caixa Sangria"")),""""),""Caixa Sangria"")"),"")</f>
        <v/>
      </c>
      <c r="M314" s="185" t="str">
        <f>IFERROR(__xludf.DUMMYFUNCTION("ifna(VALUE(REGEXEXTRACT(E314,""[0-9.]+[,]+[0-9]+"")))"),"")</f>
        <v/>
      </c>
      <c r="N314" s="185"/>
      <c r="O314" s="185"/>
      <c r="P314" s="185"/>
      <c r="Q314" s="185"/>
      <c r="R314" s="185"/>
      <c r="S314" s="185"/>
      <c r="T314" s="185"/>
      <c r="U314" s="185"/>
      <c r="V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184" t="str">
        <f>IFERROR(__xludf.DUMMYFUNCTION("ifna(IF(and(D315=""Saída"",J315=""Sangria""),if(sum(QUERY(IMPORTRANGE(""https://docs.google.com/spreadsheets/d/1E4szPcLzsqlw4uyBAoJ61L1ChCgpz4wVP8tHfHW1g_c"",""BD M Sangrias!a:i""),""select Col6 where Col7 = 'Depositada' and Col9 = '""&amp;K315&amp;""' and Col6 ="&amp;" ""&amp;M315&amp;"" and Col4 = date '""&amp;YEAR(C315)&amp;""-""&amp;MONTH(C315)&amp;""-""&amp;DAY(C315)&amp;""'""))&gt;0,""Depositada"",if(sum(QUERY(IMPORTRANGE(""https://docs.google.com/spreadsheets/d/1EcLIvUgMoBC5as4ikW0wuQsGH5yVZ6cQ1y16qEfgPnk"",""BD M Sangrias!a:i""),""select Col6 whe"&amp;"re Col7 = 'Caixa Atendimento' and Col9 = '""&amp;K315&amp;""' and Col6 = ""&amp;M315&amp;"" and Col4 = date '""&amp;YEAR(C315)&amp;""-""&amp;MONTH(C315)&amp;""-""&amp;DAY(C315)&amp;""'""))&gt;0,""Caixa Atendimento"",""Caixa Sangria"")),""""),""Caixa Sangria"")"),"")</f>
        <v/>
      </c>
      <c r="M315" s="185" t="str">
        <f>IFERROR(__xludf.DUMMYFUNCTION("ifna(VALUE(REGEXEXTRACT(E315,""[0-9.]+[,]+[0-9]+"")))"),"")</f>
        <v/>
      </c>
      <c r="N315" s="185"/>
      <c r="O315" s="185"/>
      <c r="P315" s="185"/>
      <c r="Q315" s="185"/>
      <c r="R315" s="185"/>
      <c r="S315" s="185"/>
      <c r="T315" s="185"/>
      <c r="U315" s="185"/>
      <c r="V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184" t="str">
        <f>IFERROR(__xludf.DUMMYFUNCTION("ifna(IF(and(D316=""Saída"",J316=""Sangria""),if(sum(QUERY(IMPORTRANGE(""https://docs.google.com/spreadsheets/d/1E4szPcLzsqlw4uyBAoJ61L1ChCgpz4wVP8tHfHW1g_c"",""BD M Sangrias!a:i""),""select Col6 where Col7 = 'Depositada' and Col9 = '""&amp;K316&amp;""' and Col6 ="&amp;" ""&amp;M316&amp;"" and Col4 = date '""&amp;YEAR(C316)&amp;""-""&amp;MONTH(C316)&amp;""-""&amp;DAY(C316)&amp;""'""))&gt;0,""Depositada"",if(sum(QUERY(IMPORTRANGE(""https://docs.google.com/spreadsheets/d/1EcLIvUgMoBC5as4ikW0wuQsGH5yVZ6cQ1y16qEfgPnk"",""BD M Sangrias!a:i""),""select Col6 whe"&amp;"re Col7 = 'Caixa Atendimento' and Col9 = '""&amp;K316&amp;""' and Col6 = ""&amp;M316&amp;"" and Col4 = date '""&amp;YEAR(C316)&amp;""-""&amp;MONTH(C316)&amp;""-""&amp;DAY(C316)&amp;""'""))&gt;0,""Caixa Atendimento"",""Caixa Sangria"")),""""),""Caixa Sangria"")"),"")</f>
        <v/>
      </c>
      <c r="M316" s="185" t="str">
        <f>IFERROR(__xludf.DUMMYFUNCTION("ifna(VALUE(REGEXEXTRACT(E316,""[0-9.]+[,]+[0-9]+"")))"),"")</f>
        <v/>
      </c>
      <c r="N316" s="185"/>
      <c r="O316" s="185"/>
      <c r="P316" s="185"/>
      <c r="Q316" s="185"/>
      <c r="R316" s="185"/>
      <c r="S316" s="185"/>
      <c r="T316" s="185"/>
      <c r="U316" s="185"/>
      <c r="V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184" t="str">
        <f>IFERROR(__xludf.DUMMYFUNCTION("ifna(IF(and(D317=""Saída"",J317=""Sangria""),if(sum(QUERY(IMPORTRANGE(""https://docs.google.com/spreadsheets/d/1E4szPcLzsqlw4uyBAoJ61L1ChCgpz4wVP8tHfHW1g_c"",""BD M Sangrias!a:i""),""select Col6 where Col7 = 'Depositada' and Col9 = '""&amp;K317&amp;""' and Col6 ="&amp;" ""&amp;M317&amp;"" and Col4 = date '""&amp;YEAR(C317)&amp;""-""&amp;MONTH(C317)&amp;""-""&amp;DAY(C317)&amp;""'""))&gt;0,""Depositada"",if(sum(QUERY(IMPORTRANGE(""https://docs.google.com/spreadsheets/d/1EcLIvUgMoBC5as4ikW0wuQsGH5yVZ6cQ1y16qEfgPnk"",""BD M Sangrias!a:i""),""select Col6 whe"&amp;"re Col7 = 'Caixa Atendimento' and Col9 = '""&amp;K317&amp;""' and Col6 = ""&amp;M317&amp;"" and Col4 = date '""&amp;YEAR(C317)&amp;""-""&amp;MONTH(C317)&amp;""-""&amp;DAY(C317)&amp;""'""))&gt;0,""Caixa Atendimento"",""Caixa Sangria"")),""""),""Caixa Sangria"")"),"")</f>
        <v/>
      </c>
      <c r="M317" s="185" t="str">
        <f>IFERROR(__xludf.DUMMYFUNCTION("ifna(VALUE(REGEXEXTRACT(E317,""[0-9.]+[,]+[0-9]+"")))"),"")</f>
        <v/>
      </c>
      <c r="N317" s="185"/>
      <c r="O317" s="185"/>
      <c r="P317" s="185"/>
      <c r="Q317" s="185"/>
      <c r="R317" s="185"/>
      <c r="S317" s="185"/>
      <c r="T317" s="185"/>
      <c r="U317" s="185"/>
      <c r="V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184" t="str">
        <f>IFERROR(__xludf.DUMMYFUNCTION("ifna(IF(and(D318=""Saída"",J318=""Sangria""),if(sum(QUERY(IMPORTRANGE(""https://docs.google.com/spreadsheets/d/1E4szPcLzsqlw4uyBAoJ61L1ChCgpz4wVP8tHfHW1g_c"",""BD M Sangrias!a:i""),""select Col6 where Col7 = 'Depositada' and Col9 = '""&amp;K318&amp;""' and Col6 ="&amp;" ""&amp;M318&amp;"" and Col4 = date '""&amp;YEAR(C318)&amp;""-""&amp;MONTH(C318)&amp;""-""&amp;DAY(C318)&amp;""'""))&gt;0,""Depositada"",if(sum(QUERY(IMPORTRANGE(""https://docs.google.com/spreadsheets/d/1EcLIvUgMoBC5as4ikW0wuQsGH5yVZ6cQ1y16qEfgPnk"",""BD M Sangrias!a:i""),""select Col6 whe"&amp;"re Col7 = 'Caixa Atendimento' and Col9 = '""&amp;K318&amp;""' and Col6 = ""&amp;M318&amp;"" and Col4 = date '""&amp;YEAR(C318)&amp;""-""&amp;MONTH(C318)&amp;""-""&amp;DAY(C318)&amp;""'""))&gt;0,""Caixa Atendimento"",""Caixa Sangria"")),""""),""Caixa Sangria"")"),"")</f>
        <v/>
      </c>
      <c r="M318" s="185" t="str">
        <f>IFERROR(__xludf.DUMMYFUNCTION("ifna(VALUE(REGEXEXTRACT(E318,""[0-9.]+[,]+[0-9]+"")))"),"")</f>
        <v/>
      </c>
      <c r="N318" s="185"/>
      <c r="O318" s="185"/>
      <c r="P318" s="185"/>
      <c r="Q318" s="185"/>
      <c r="R318" s="185"/>
      <c r="S318" s="185"/>
      <c r="T318" s="185"/>
      <c r="U318" s="185"/>
      <c r="V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184" t="str">
        <f>IFERROR(__xludf.DUMMYFUNCTION("ifna(IF(and(D319=""Saída"",J319=""Sangria""),if(sum(QUERY(IMPORTRANGE(""https://docs.google.com/spreadsheets/d/1E4szPcLzsqlw4uyBAoJ61L1ChCgpz4wVP8tHfHW1g_c"",""BD M Sangrias!a:i""),""select Col6 where Col7 = 'Depositada' and Col9 = '""&amp;K319&amp;""' and Col6 ="&amp;" ""&amp;M319&amp;"" and Col4 = date '""&amp;YEAR(C319)&amp;""-""&amp;MONTH(C319)&amp;""-""&amp;DAY(C319)&amp;""'""))&gt;0,""Depositada"",if(sum(QUERY(IMPORTRANGE(""https://docs.google.com/spreadsheets/d/1EcLIvUgMoBC5as4ikW0wuQsGH5yVZ6cQ1y16qEfgPnk"",""BD M Sangrias!a:i""),""select Col6 whe"&amp;"re Col7 = 'Caixa Atendimento' and Col9 = '""&amp;K319&amp;""' and Col6 = ""&amp;M319&amp;"" and Col4 = date '""&amp;YEAR(C319)&amp;""-""&amp;MONTH(C319)&amp;""-""&amp;DAY(C319)&amp;""'""))&gt;0,""Caixa Atendimento"",""Caixa Sangria"")),""""),""Caixa Sangria"")"),"")</f>
        <v/>
      </c>
      <c r="M319" s="185" t="str">
        <f>IFERROR(__xludf.DUMMYFUNCTION("ifna(VALUE(REGEXEXTRACT(E319,""[0-9.]+[,]+[0-9]+"")))"),"")</f>
        <v/>
      </c>
      <c r="N319" s="185"/>
      <c r="O319" s="185"/>
      <c r="P319" s="185"/>
      <c r="Q319" s="185"/>
      <c r="R319" s="185"/>
      <c r="S319" s="185"/>
      <c r="T319" s="185"/>
      <c r="U319" s="185"/>
      <c r="V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184" t="str">
        <f>IFERROR(__xludf.DUMMYFUNCTION("ifna(IF(and(D320=""Saída"",J320=""Sangria""),if(sum(QUERY(IMPORTRANGE(""https://docs.google.com/spreadsheets/d/1E4szPcLzsqlw4uyBAoJ61L1ChCgpz4wVP8tHfHW1g_c"",""BD M Sangrias!a:i""),""select Col6 where Col7 = 'Depositada' and Col9 = '""&amp;K320&amp;""' and Col6 ="&amp;" ""&amp;M320&amp;"" and Col4 = date '""&amp;YEAR(C320)&amp;""-""&amp;MONTH(C320)&amp;""-""&amp;DAY(C320)&amp;""'""))&gt;0,""Depositada"",if(sum(QUERY(IMPORTRANGE(""https://docs.google.com/spreadsheets/d/1EcLIvUgMoBC5as4ikW0wuQsGH5yVZ6cQ1y16qEfgPnk"",""BD M Sangrias!a:i""),""select Col6 whe"&amp;"re Col7 = 'Caixa Atendimento' and Col9 = '""&amp;K320&amp;""' and Col6 = ""&amp;M320&amp;"" and Col4 = date '""&amp;YEAR(C320)&amp;""-""&amp;MONTH(C320)&amp;""-""&amp;DAY(C320)&amp;""'""))&gt;0,""Caixa Atendimento"",""Caixa Sangria"")),""""),""Caixa Sangria"")"),"")</f>
        <v/>
      </c>
      <c r="M320" s="185" t="str">
        <f>IFERROR(__xludf.DUMMYFUNCTION("ifna(VALUE(REGEXEXTRACT(E320,""[0-9.]+[,]+[0-9]+"")))"),"")</f>
        <v/>
      </c>
      <c r="N320" s="185"/>
      <c r="O320" s="185"/>
      <c r="P320" s="185"/>
      <c r="Q320" s="185"/>
      <c r="R320" s="185"/>
      <c r="S320" s="185"/>
      <c r="T320" s="185"/>
      <c r="U320" s="185"/>
      <c r="V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184" t="str">
        <f>IFERROR(__xludf.DUMMYFUNCTION("ifna(IF(and(D321=""Saída"",J321=""Sangria""),if(sum(QUERY(IMPORTRANGE(""https://docs.google.com/spreadsheets/d/1E4szPcLzsqlw4uyBAoJ61L1ChCgpz4wVP8tHfHW1g_c"",""BD M Sangrias!a:i""),""select Col6 where Col7 = 'Depositada' and Col9 = '""&amp;K321&amp;""' and Col6 ="&amp;" ""&amp;M321&amp;"" and Col4 = date '""&amp;YEAR(C321)&amp;""-""&amp;MONTH(C321)&amp;""-""&amp;DAY(C321)&amp;""'""))&gt;0,""Depositada"",if(sum(QUERY(IMPORTRANGE(""https://docs.google.com/spreadsheets/d/1EcLIvUgMoBC5as4ikW0wuQsGH5yVZ6cQ1y16qEfgPnk"",""BD M Sangrias!a:i""),""select Col6 whe"&amp;"re Col7 = 'Caixa Atendimento' and Col9 = '""&amp;K321&amp;""' and Col6 = ""&amp;M321&amp;"" and Col4 = date '""&amp;YEAR(C321)&amp;""-""&amp;MONTH(C321)&amp;""-""&amp;DAY(C321)&amp;""'""))&gt;0,""Caixa Atendimento"",""Caixa Sangria"")),""""),""Caixa Sangria"")"),"")</f>
        <v/>
      </c>
      <c r="M321" s="185" t="str">
        <f>IFERROR(__xludf.DUMMYFUNCTION("ifna(VALUE(REGEXEXTRACT(E321,""[0-9.]+[,]+[0-9]+"")))"),"")</f>
        <v/>
      </c>
      <c r="N321" s="185"/>
      <c r="O321" s="185"/>
      <c r="P321" s="185"/>
      <c r="Q321" s="185"/>
      <c r="R321" s="185"/>
      <c r="S321" s="185"/>
      <c r="T321" s="185"/>
      <c r="U321" s="185"/>
      <c r="V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184" t="str">
        <f>IFERROR(__xludf.DUMMYFUNCTION("ifna(IF(and(D322=""Saída"",J322=""Sangria""),if(sum(QUERY(IMPORTRANGE(""https://docs.google.com/spreadsheets/d/1E4szPcLzsqlw4uyBAoJ61L1ChCgpz4wVP8tHfHW1g_c"",""BD M Sangrias!a:i""),""select Col6 where Col7 = 'Depositada' and Col9 = '""&amp;K322&amp;""' and Col6 ="&amp;" ""&amp;M322&amp;"" and Col4 = date '""&amp;YEAR(C322)&amp;""-""&amp;MONTH(C322)&amp;""-""&amp;DAY(C322)&amp;""'""))&gt;0,""Depositada"",if(sum(QUERY(IMPORTRANGE(""https://docs.google.com/spreadsheets/d/1EcLIvUgMoBC5as4ikW0wuQsGH5yVZ6cQ1y16qEfgPnk"",""BD M Sangrias!a:i""),""select Col6 whe"&amp;"re Col7 = 'Caixa Atendimento' and Col9 = '""&amp;K322&amp;""' and Col6 = ""&amp;M322&amp;"" and Col4 = date '""&amp;YEAR(C322)&amp;""-""&amp;MONTH(C322)&amp;""-""&amp;DAY(C322)&amp;""'""))&gt;0,""Caixa Atendimento"",""Caixa Sangria"")),""""),""Caixa Sangria"")"),"")</f>
        <v/>
      </c>
      <c r="M322" s="185" t="str">
        <f>IFERROR(__xludf.DUMMYFUNCTION("ifna(VALUE(REGEXEXTRACT(E322,""[0-9.]+[,]+[0-9]+"")))"),"")</f>
        <v/>
      </c>
      <c r="N322" s="185"/>
      <c r="O322" s="185"/>
      <c r="P322" s="185"/>
      <c r="Q322" s="185"/>
      <c r="R322" s="185"/>
      <c r="S322" s="185"/>
      <c r="T322" s="185"/>
      <c r="U322" s="185"/>
      <c r="V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184" t="str">
        <f>IFERROR(__xludf.DUMMYFUNCTION("ifna(IF(and(D323=""Saída"",J323=""Sangria""),if(sum(QUERY(IMPORTRANGE(""https://docs.google.com/spreadsheets/d/1E4szPcLzsqlw4uyBAoJ61L1ChCgpz4wVP8tHfHW1g_c"",""BD M Sangrias!a:i""),""select Col6 where Col7 = 'Depositada' and Col9 = '""&amp;K323&amp;""' and Col6 ="&amp;" ""&amp;M323&amp;"" and Col4 = date '""&amp;YEAR(C323)&amp;""-""&amp;MONTH(C323)&amp;""-""&amp;DAY(C323)&amp;""'""))&gt;0,""Depositada"",if(sum(QUERY(IMPORTRANGE(""https://docs.google.com/spreadsheets/d/1EcLIvUgMoBC5as4ikW0wuQsGH5yVZ6cQ1y16qEfgPnk"",""BD M Sangrias!a:i""),""select Col6 whe"&amp;"re Col7 = 'Caixa Atendimento' and Col9 = '""&amp;K323&amp;""' and Col6 = ""&amp;M323&amp;"" and Col4 = date '""&amp;YEAR(C323)&amp;""-""&amp;MONTH(C323)&amp;""-""&amp;DAY(C323)&amp;""'""))&gt;0,""Caixa Atendimento"",""Caixa Sangria"")),""""),""Caixa Sangria"")"),"")</f>
        <v/>
      </c>
      <c r="M323" s="185" t="str">
        <f>IFERROR(__xludf.DUMMYFUNCTION("ifna(VALUE(REGEXEXTRACT(E323,""[0-9.]+[,]+[0-9]+"")))"),"")</f>
        <v/>
      </c>
      <c r="N323" s="185"/>
      <c r="O323" s="185"/>
      <c r="P323" s="185"/>
      <c r="Q323" s="185"/>
      <c r="R323" s="185"/>
      <c r="S323" s="185"/>
      <c r="T323" s="185"/>
      <c r="U323" s="185"/>
      <c r="V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184" t="str">
        <f>IFERROR(__xludf.DUMMYFUNCTION("ifna(IF(and(D324=""Saída"",J324=""Sangria""),if(sum(QUERY(IMPORTRANGE(""https://docs.google.com/spreadsheets/d/1E4szPcLzsqlw4uyBAoJ61L1ChCgpz4wVP8tHfHW1g_c"",""BD M Sangrias!a:i""),""select Col6 where Col7 = 'Depositada' and Col9 = '""&amp;K324&amp;""' and Col6 ="&amp;" ""&amp;M324&amp;"" and Col4 = date '""&amp;YEAR(C324)&amp;""-""&amp;MONTH(C324)&amp;""-""&amp;DAY(C324)&amp;""'""))&gt;0,""Depositada"",if(sum(QUERY(IMPORTRANGE(""https://docs.google.com/spreadsheets/d/1EcLIvUgMoBC5as4ikW0wuQsGH5yVZ6cQ1y16qEfgPnk"",""BD M Sangrias!a:i""),""select Col6 whe"&amp;"re Col7 = 'Caixa Atendimento' and Col9 = '""&amp;K324&amp;""' and Col6 = ""&amp;M324&amp;"" and Col4 = date '""&amp;YEAR(C324)&amp;""-""&amp;MONTH(C324)&amp;""-""&amp;DAY(C324)&amp;""'""))&gt;0,""Caixa Atendimento"",""Caixa Sangria"")),""""),""Caixa Sangria"")"),"")</f>
        <v/>
      </c>
      <c r="M324" s="185" t="str">
        <f>IFERROR(__xludf.DUMMYFUNCTION("ifna(VALUE(REGEXEXTRACT(E324,""[0-9.]+[,]+[0-9]+"")))"),"")</f>
        <v/>
      </c>
      <c r="N324" s="185"/>
      <c r="O324" s="185"/>
      <c r="P324" s="185"/>
      <c r="Q324" s="185"/>
      <c r="R324" s="185"/>
      <c r="S324" s="185"/>
      <c r="T324" s="185"/>
      <c r="U324" s="185"/>
      <c r="V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184" t="str">
        <f>IFERROR(__xludf.DUMMYFUNCTION("ifna(IF(and(D325=""Saída"",J325=""Sangria""),if(sum(QUERY(IMPORTRANGE(""https://docs.google.com/spreadsheets/d/1E4szPcLzsqlw4uyBAoJ61L1ChCgpz4wVP8tHfHW1g_c"",""BD M Sangrias!a:i""),""select Col6 where Col7 = 'Depositada' and Col9 = '""&amp;K325&amp;""' and Col6 ="&amp;" ""&amp;M325&amp;"" and Col4 = date '""&amp;YEAR(C325)&amp;""-""&amp;MONTH(C325)&amp;""-""&amp;DAY(C325)&amp;""'""))&gt;0,""Depositada"",if(sum(QUERY(IMPORTRANGE(""https://docs.google.com/spreadsheets/d/1EcLIvUgMoBC5as4ikW0wuQsGH5yVZ6cQ1y16qEfgPnk"",""BD M Sangrias!a:i""),""select Col6 whe"&amp;"re Col7 = 'Caixa Atendimento' and Col9 = '""&amp;K325&amp;""' and Col6 = ""&amp;M325&amp;"" and Col4 = date '""&amp;YEAR(C325)&amp;""-""&amp;MONTH(C325)&amp;""-""&amp;DAY(C325)&amp;""'""))&gt;0,""Caixa Atendimento"",""Caixa Sangria"")),""""),""Caixa Sangria"")"),"")</f>
        <v/>
      </c>
      <c r="M325" s="185" t="str">
        <f>IFERROR(__xludf.DUMMYFUNCTION("ifna(VALUE(REGEXEXTRACT(E325,""[0-9.]+[,]+[0-9]+"")))"),"")</f>
        <v/>
      </c>
      <c r="N325" s="185"/>
      <c r="O325" s="185"/>
      <c r="P325" s="185"/>
      <c r="Q325" s="185"/>
      <c r="R325" s="185"/>
      <c r="S325" s="185"/>
      <c r="T325" s="185"/>
      <c r="U325" s="185"/>
      <c r="V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184" t="str">
        <f>IFERROR(__xludf.DUMMYFUNCTION("ifna(IF(and(D326=""Saída"",J326=""Sangria""),if(sum(QUERY(IMPORTRANGE(""https://docs.google.com/spreadsheets/d/1E4szPcLzsqlw4uyBAoJ61L1ChCgpz4wVP8tHfHW1g_c"",""BD M Sangrias!a:i""),""select Col6 where Col7 = 'Depositada' and Col9 = '""&amp;K326&amp;""' and Col6 ="&amp;" ""&amp;M326&amp;"" and Col4 = date '""&amp;YEAR(C326)&amp;""-""&amp;MONTH(C326)&amp;""-""&amp;DAY(C326)&amp;""'""))&gt;0,""Depositada"",if(sum(QUERY(IMPORTRANGE(""https://docs.google.com/spreadsheets/d/1EcLIvUgMoBC5as4ikW0wuQsGH5yVZ6cQ1y16qEfgPnk"",""BD M Sangrias!a:i""),""select Col6 whe"&amp;"re Col7 = 'Caixa Atendimento' and Col9 = '""&amp;K326&amp;""' and Col6 = ""&amp;M326&amp;"" and Col4 = date '""&amp;YEAR(C326)&amp;""-""&amp;MONTH(C326)&amp;""-""&amp;DAY(C326)&amp;""'""))&gt;0,""Caixa Atendimento"",""Caixa Sangria"")),""""),""Caixa Sangria"")"),"")</f>
        <v/>
      </c>
      <c r="M326" s="185" t="str">
        <f>IFERROR(__xludf.DUMMYFUNCTION("ifna(VALUE(REGEXEXTRACT(E326,""[0-9.]+[,]+[0-9]+"")))"),"")</f>
        <v/>
      </c>
      <c r="N326" s="185"/>
      <c r="O326" s="185"/>
      <c r="P326" s="185"/>
      <c r="Q326" s="185"/>
      <c r="R326" s="185"/>
      <c r="S326" s="185"/>
      <c r="T326" s="185"/>
      <c r="U326" s="185"/>
      <c r="V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184" t="str">
        <f>IFERROR(__xludf.DUMMYFUNCTION("ifna(IF(and(D327=""Saída"",J327=""Sangria""),if(sum(QUERY(IMPORTRANGE(""https://docs.google.com/spreadsheets/d/1E4szPcLzsqlw4uyBAoJ61L1ChCgpz4wVP8tHfHW1g_c"",""BD M Sangrias!a:i""),""select Col6 where Col7 = 'Depositada' and Col9 = '""&amp;K327&amp;""' and Col6 ="&amp;" ""&amp;M327&amp;"" and Col4 = date '""&amp;YEAR(C327)&amp;""-""&amp;MONTH(C327)&amp;""-""&amp;DAY(C327)&amp;""'""))&gt;0,""Depositada"",if(sum(QUERY(IMPORTRANGE(""https://docs.google.com/spreadsheets/d/1EcLIvUgMoBC5as4ikW0wuQsGH5yVZ6cQ1y16qEfgPnk"",""BD M Sangrias!a:i""),""select Col6 whe"&amp;"re Col7 = 'Caixa Atendimento' and Col9 = '""&amp;K327&amp;""' and Col6 = ""&amp;M327&amp;"" and Col4 = date '""&amp;YEAR(C327)&amp;""-""&amp;MONTH(C327)&amp;""-""&amp;DAY(C327)&amp;""'""))&gt;0,""Caixa Atendimento"",""Caixa Sangria"")),""""),""Caixa Sangria"")"),"")</f>
        <v/>
      </c>
      <c r="M327" s="185" t="str">
        <f>IFERROR(__xludf.DUMMYFUNCTION("ifna(VALUE(REGEXEXTRACT(E327,""[0-9.]+[,]+[0-9]+"")))"),"")</f>
        <v/>
      </c>
      <c r="N327" s="185"/>
      <c r="O327" s="185"/>
      <c r="P327" s="185"/>
      <c r="Q327" s="185"/>
      <c r="R327" s="185"/>
      <c r="S327" s="185"/>
      <c r="T327" s="185"/>
      <c r="U327" s="185"/>
      <c r="V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184" t="str">
        <f>IFERROR(__xludf.DUMMYFUNCTION("ifna(IF(and(D328=""Saída"",J328=""Sangria""),if(sum(QUERY(IMPORTRANGE(""https://docs.google.com/spreadsheets/d/1E4szPcLzsqlw4uyBAoJ61L1ChCgpz4wVP8tHfHW1g_c"",""BD M Sangrias!a:i""),""select Col6 where Col7 = 'Depositada' and Col9 = '""&amp;K328&amp;""' and Col6 ="&amp;" ""&amp;M328&amp;"" and Col4 = date '""&amp;YEAR(C328)&amp;""-""&amp;MONTH(C328)&amp;""-""&amp;DAY(C328)&amp;""'""))&gt;0,""Depositada"",if(sum(QUERY(IMPORTRANGE(""https://docs.google.com/spreadsheets/d/1EcLIvUgMoBC5as4ikW0wuQsGH5yVZ6cQ1y16qEfgPnk"",""BD M Sangrias!a:i""),""select Col6 whe"&amp;"re Col7 = 'Caixa Atendimento' and Col9 = '""&amp;K328&amp;""' and Col6 = ""&amp;M328&amp;"" and Col4 = date '""&amp;YEAR(C328)&amp;""-""&amp;MONTH(C328)&amp;""-""&amp;DAY(C328)&amp;""'""))&gt;0,""Caixa Atendimento"",""Caixa Sangria"")),""""),""Caixa Sangria"")"),"")</f>
        <v/>
      </c>
      <c r="M328" s="185" t="str">
        <f>IFERROR(__xludf.DUMMYFUNCTION("ifna(VALUE(REGEXEXTRACT(E328,""[0-9.]+[,]+[0-9]+"")))"),"")</f>
        <v/>
      </c>
      <c r="N328" s="185"/>
      <c r="O328" s="185"/>
      <c r="P328" s="185"/>
      <c r="Q328" s="185"/>
      <c r="R328" s="185"/>
      <c r="S328" s="185"/>
      <c r="T328" s="185"/>
      <c r="U328" s="185"/>
      <c r="V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184" t="str">
        <f>IFERROR(__xludf.DUMMYFUNCTION("ifna(IF(and(D329=""Saída"",J329=""Sangria""),if(sum(QUERY(IMPORTRANGE(""https://docs.google.com/spreadsheets/d/1E4szPcLzsqlw4uyBAoJ61L1ChCgpz4wVP8tHfHW1g_c"",""BD M Sangrias!a:i""),""select Col6 where Col7 = 'Depositada' and Col9 = '""&amp;K329&amp;""' and Col6 ="&amp;" ""&amp;M329&amp;"" and Col4 = date '""&amp;YEAR(C329)&amp;""-""&amp;MONTH(C329)&amp;""-""&amp;DAY(C329)&amp;""'""))&gt;0,""Depositada"",if(sum(QUERY(IMPORTRANGE(""https://docs.google.com/spreadsheets/d/1EcLIvUgMoBC5as4ikW0wuQsGH5yVZ6cQ1y16qEfgPnk"",""BD M Sangrias!a:i""),""select Col6 whe"&amp;"re Col7 = 'Caixa Atendimento' and Col9 = '""&amp;K329&amp;""' and Col6 = ""&amp;M329&amp;"" and Col4 = date '""&amp;YEAR(C329)&amp;""-""&amp;MONTH(C329)&amp;""-""&amp;DAY(C329)&amp;""'""))&gt;0,""Caixa Atendimento"",""Caixa Sangria"")),""""),""Caixa Sangria"")"),"")</f>
        <v/>
      </c>
      <c r="M329" s="185" t="str">
        <f>IFERROR(__xludf.DUMMYFUNCTION("ifna(VALUE(REGEXEXTRACT(E329,""[0-9.]+[,]+[0-9]+"")))"),"")</f>
        <v/>
      </c>
      <c r="N329" s="185"/>
      <c r="O329" s="185"/>
      <c r="P329" s="185"/>
      <c r="Q329" s="185"/>
      <c r="R329" s="185"/>
      <c r="S329" s="185"/>
      <c r="T329" s="185"/>
      <c r="U329" s="185"/>
      <c r="V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184" t="str">
        <f>IFERROR(__xludf.DUMMYFUNCTION("ifna(IF(and(D330=""Saída"",J330=""Sangria""),if(sum(QUERY(IMPORTRANGE(""https://docs.google.com/spreadsheets/d/1E4szPcLzsqlw4uyBAoJ61L1ChCgpz4wVP8tHfHW1g_c"",""BD M Sangrias!a:i""),""select Col6 where Col7 = 'Depositada' and Col9 = '""&amp;K330&amp;""' and Col6 ="&amp;" ""&amp;M330&amp;"" and Col4 = date '""&amp;YEAR(C330)&amp;""-""&amp;MONTH(C330)&amp;""-""&amp;DAY(C330)&amp;""'""))&gt;0,""Depositada"",if(sum(QUERY(IMPORTRANGE(""https://docs.google.com/spreadsheets/d/1EcLIvUgMoBC5as4ikW0wuQsGH5yVZ6cQ1y16qEfgPnk"",""BD M Sangrias!a:i""),""select Col6 whe"&amp;"re Col7 = 'Caixa Atendimento' and Col9 = '""&amp;K330&amp;""' and Col6 = ""&amp;M330&amp;"" and Col4 = date '""&amp;YEAR(C330)&amp;""-""&amp;MONTH(C330)&amp;""-""&amp;DAY(C330)&amp;""'""))&gt;0,""Caixa Atendimento"",""Caixa Sangria"")),""""),""Caixa Sangria"")"),"")</f>
        <v/>
      </c>
      <c r="M330" s="185" t="str">
        <f>IFERROR(__xludf.DUMMYFUNCTION("ifna(VALUE(REGEXEXTRACT(E330,""[0-9.]+[,]+[0-9]+"")))"),"")</f>
        <v/>
      </c>
      <c r="N330" s="185"/>
      <c r="O330" s="185"/>
      <c r="P330" s="185"/>
      <c r="Q330" s="185"/>
      <c r="R330" s="185"/>
      <c r="S330" s="185"/>
      <c r="T330" s="185"/>
      <c r="U330" s="185"/>
      <c r="V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184" t="str">
        <f>IFERROR(__xludf.DUMMYFUNCTION("ifna(IF(and(D331=""Saída"",J331=""Sangria""),if(sum(QUERY(IMPORTRANGE(""https://docs.google.com/spreadsheets/d/1E4szPcLzsqlw4uyBAoJ61L1ChCgpz4wVP8tHfHW1g_c"",""BD M Sangrias!a:i""),""select Col6 where Col7 = 'Depositada' and Col9 = '""&amp;K331&amp;""' and Col6 ="&amp;" ""&amp;M331&amp;"" and Col4 = date '""&amp;YEAR(C331)&amp;""-""&amp;MONTH(C331)&amp;""-""&amp;DAY(C331)&amp;""'""))&gt;0,""Depositada"",if(sum(QUERY(IMPORTRANGE(""https://docs.google.com/spreadsheets/d/1EcLIvUgMoBC5as4ikW0wuQsGH5yVZ6cQ1y16qEfgPnk"",""BD M Sangrias!a:i""),""select Col6 whe"&amp;"re Col7 = 'Caixa Atendimento' and Col9 = '""&amp;K331&amp;""' and Col6 = ""&amp;M331&amp;"" and Col4 = date '""&amp;YEAR(C331)&amp;""-""&amp;MONTH(C331)&amp;""-""&amp;DAY(C331)&amp;""'""))&gt;0,""Caixa Atendimento"",""Caixa Sangria"")),""""),""Caixa Sangria"")"),"")</f>
        <v/>
      </c>
      <c r="M331" s="185" t="str">
        <f>IFERROR(__xludf.DUMMYFUNCTION("ifna(VALUE(REGEXEXTRACT(E331,""[0-9.]+[,]+[0-9]+"")))"),"")</f>
        <v/>
      </c>
      <c r="N331" s="185"/>
      <c r="O331" s="185"/>
      <c r="P331" s="185"/>
      <c r="Q331" s="185"/>
      <c r="R331" s="185"/>
      <c r="S331" s="185"/>
      <c r="T331" s="185"/>
      <c r="U331" s="185"/>
      <c r="V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184" t="str">
        <f>IFERROR(__xludf.DUMMYFUNCTION("ifna(IF(and(D332=""Saída"",J332=""Sangria""),if(sum(QUERY(IMPORTRANGE(""https://docs.google.com/spreadsheets/d/1E4szPcLzsqlw4uyBAoJ61L1ChCgpz4wVP8tHfHW1g_c"",""BD M Sangrias!a:i""),""select Col6 where Col7 = 'Depositada' and Col9 = '""&amp;K332&amp;""' and Col6 ="&amp;" ""&amp;M332&amp;"" and Col4 = date '""&amp;YEAR(C332)&amp;""-""&amp;MONTH(C332)&amp;""-""&amp;DAY(C332)&amp;""'""))&gt;0,""Depositada"",if(sum(QUERY(IMPORTRANGE(""https://docs.google.com/spreadsheets/d/1EcLIvUgMoBC5as4ikW0wuQsGH5yVZ6cQ1y16qEfgPnk"",""BD M Sangrias!a:i""),""select Col6 whe"&amp;"re Col7 = 'Caixa Atendimento' and Col9 = '""&amp;K332&amp;""' and Col6 = ""&amp;M332&amp;"" and Col4 = date '""&amp;YEAR(C332)&amp;""-""&amp;MONTH(C332)&amp;""-""&amp;DAY(C332)&amp;""'""))&gt;0,""Caixa Atendimento"",""Caixa Sangria"")),""""),""Caixa Sangria"")"),"")</f>
        <v/>
      </c>
      <c r="M332" s="185" t="str">
        <f>IFERROR(__xludf.DUMMYFUNCTION("ifna(VALUE(REGEXEXTRACT(E332,""[0-9.]+[,]+[0-9]+"")))"),"")</f>
        <v/>
      </c>
      <c r="N332" s="185"/>
      <c r="O332" s="185"/>
      <c r="P332" s="185"/>
      <c r="Q332" s="185"/>
      <c r="R332" s="185"/>
      <c r="S332" s="185"/>
      <c r="T332" s="185"/>
      <c r="U332" s="185"/>
      <c r="V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184" t="str">
        <f>IFERROR(__xludf.DUMMYFUNCTION("ifna(IF(and(D333=""Saída"",J333=""Sangria""),if(sum(QUERY(IMPORTRANGE(""https://docs.google.com/spreadsheets/d/1E4szPcLzsqlw4uyBAoJ61L1ChCgpz4wVP8tHfHW1g_c"",""BD M Sangrias!a:i""),""select Col6 where Col7 = 'Depositada' and Col9 = '""&amp;K333&amp;""' and Col6 ="&amp;" ""&amp;M333&amp;"" and Col4 = date '""&amp;YEAR(C333)&amp;""-""&amp;MONTH(C333)&amp;""-""&amp;DAY(C333)&amp;""'""))&gt;0,""Depositada"",if(sum(QUERY(IMPORTRANGE(""https://docs.google.com/spreadsheets/d/1EcLIvUgMoBC5as4ikW0wuQsGH5yVZ6cQ1y16qEfgPnk"",""BD M Sangrias!a:i""),""select Col6 whe"&amp;"re Col7 = 'Caixa Atendimento' and Col9 = '""&amp;K333&amp;""' and Col6 = ""&amp;M333&amp;"" and Col4 = date '""&amp;YEAR(C333)&amp;""-""&amp;MONTH(C333)&amp;""-""&amp;DAY(C333)&amp;""'""))&gt;0,""Caixa Atendimento"",""Caixa Sangria"")),""""),""Caixa Sangria"")"),"")</f>
        <v/>
      </c>
      <c r="M333" s="185" t="str">
        <f>IFERROR(__xludf.DUMMYFUNCTION("ifna(VALUE(REGEXEXTRACT(E333,""[0-9.]+[,]+[0-9]+"")))"),"")</f>
        <v/>
      </c>
      <c r="N333" s="185"/>
      <c r="O333" s="185"/>
      <c r="P333" s="185"/>
      <c r="Q333" s="185"/>
      <c r="R333" s="185"/>
      <c r="S333" s="185"/>
      <c r="T333" s="185"/>
      <c r="U333" s="185"/>
      <c r="V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184" t="str">
        <f>IFERROR(__xludf.DUMMYFUNCTION("ifna(IF(and(D334=""Saída"",J334=""Sangria""),if(sum(QUERY(IMPORTRANGE(""https://docs.google.com/spreadsheets/d/1E4szPcLzsqlw4uyBAoJ61L1ChCgpz4wVP8tHfHW1g_c"",""BD M Sangrias!a:i""),""select Col6 where Col7 = 'Depositada' and Col9 = '""&amp;K334&amp;""' and Col6 ="&amp;" ""&amp;M334&amp;"" and Col4 = date '""&amp;YEAR(C334)&amp;""-""&amp;MONTH(C334)&amp;""-""&amp;DAY(C334)&amp;""'""))&gt;0,""Depositada"",if(sum(QUERY(IMPORTRANGE(""https://docs.google.com/spreadsheets/d/1EcLIvUgMoBC5as4ikW0wuQsGH5yVZ6cQ1y16qEfgPnk"",""BD M Sangrias!a:i""),""select Col6 whe"&amp;"re Col7 = 'Caixa Atendimento' and Col9 = '""&amp;K334&amp;""' and Col6 = ""&amp;M334&amp;"" and Col4 = date '""&amp;YEAR(C334)&amp;""-""&amp;MONTH(C334)&amp;""-""&amp;DAY(C334)&amp;""'""))&gt;0,""Caixa Atendimento"",""Caixa Sangria"")),""""),""Caixa Sangria"")"),"")</f>
        <v/>
      </c>
      <c r="M334" s="185" t="str">
        <f>IFERROR(__xludf.DUMMYFUNCTION("ifna(VALUE(REGEXEXTRACT(E334,""[0-9.]+[,]+[0-9]+"")))"),"")</f>
        <v/>
      </c>
      <c r="N334" s="185"/>
      <c r="O334" s="185"/>
      <c r="P334" s="185"/>
      <c r="Q334" s="185"/>
      <c r="R334" s="185"/>
      <c r="S334" s="185"/>
      <c r="T334" s="185"/>
      <c r="U334" s="185"/>
      <c r="V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184" t="str">
        <f>IFERROR(__xludf.DUMMYFUNCTION("ifna(IF(and(D335=""Saída"",J335=""Sangria""),if(sum(QUERY(IMPORTRANGE(""https://docs.google.com/spreadsheets/d/1E4szPcLzsqlw4uyBAoJ61L1ChCgpz4wVP8tHfHW1g_c"",""BD M Sangrias!a:i""),""select Col6 where Col7 = 'Depositada' and Col9 = '""&amp;K335&amp;""' and Col6 ="&amp;" ""&amp;M335&amp;"" and Col4 = date '""&amp;YEAR(C335)&amp;""-""&amp;MONTH(C335)&amp;""-""&amp;DAY(C335)&amp;""'""))&gt;0,""Depositada"",if(sum(QUERY(IMPORTRANGE(""https://docs.google.com/spreadsheets/d/1EcLIvUgMoBC5as4ikW0wuQsGH5yVZ6cQ1y16qEfgPnk"",""BD M Sangrias!a:i""),""select Col6 whe"&amp;"re Col7 = 'Caixa Atendimento' and Col9 = '""&amp;K335&amp;""' and Col6 = ""&amp;M335&amp;"" and Col4 = date '""&amp;YEAR(C335)&amp;""-""&amp;MONTH(C335)&amp;""-""&amp;DAY(C335)&amp;""'""))&gt;0,""Caixa Atendimento"",""Caixa Sangria"")),""""),""Caixa Sangria"")"),"")</f>
        <v/>
      </c>
      <c r="M335" s="185" t="str">
        <f>IFERROR(__xludf.DUMMYFUNCTION("ifna(VALUE(REGEXEXTRACT(E335,""[0-9.]+[,]+[0-9]+"")))"),"")</f>
        <v/>
      </c>
      <c r="N335" s="185"/>
      <c r="O335" s="185"/>
      <c r="P335" s="185"/>
      <c r="Q335" s="185"/>
      <c r="R335" s="185"/>
      <c r="S335" s="185"/>
      <c r="T335" s="185"/>
      <c r="U335" s="185"/>
      <c r="V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184" t="str">
        <f>IFERROR(__xludf.DUMMYFUNCTION("ifna(IF(and(D336=""Saída"",J336=""Sangria""),if(sum(QUERY(IMPORTRANGE(""https://docs.google.com/spreadsheets/d/1E4szPcLzsqlw4uyBAoJ61L1ChCgpz4wVP8tHfHW1g_c"",""BD M Sangrias!a:i""),""select Col6 where Col7 = 'Depositada' and Col9 = '""&amp;K336&amp;""' and Col6 ="&amp;" ""&amp;M336&amp;"" and Col4 = date '""&amp;YEAR(C336)&amp;""-""&amp;MONTH(C336)&amp;""-""&amp;DAY(C336)&amp;""'""))&gt;0,""Depositada"",if(sum(QUERY(IMPORTRANGE(""https://docs.google.com/spreadsheets/d/1EcLIvUgMoBC5as4ikW0wuQsGH5yVZ6cQ1y16qEfgPnk"",""BD M Sangrias!a:i""),""select Col6 whe"&amp;"re Col7 = 'Caixa Atendimento' and Col9 = '""&amp;K336&amp;""' and Col6 = ""&amp;M336&amp;"" and Col4 = date '""&amp;YEAR(C336)&amp;""-""&amp;MONTH(C336)&amp;""-""&amp;DAY(C336)&amp;""'""))&gt;0,""Caixa Atendimento"",""Caixa Sangria"")),""""),""Caixa Sangria"")"),"")</f>
        <v/>
      </c>
      <c r="M336" s="185" t="str">
        <f>IFERROR(__xludf.DUMMYFUNCTION("ifna(VALUE(REGEXEXTRACT(E336,""[0-9.]+[,]+[0-9]+"")))"),"")</f>
        <v/>
      </c>
      <c r="N336" s="185"/>
      <c r="O336" s="185"/>
      <c r="P336" s="185"/>
      <c r="Q336" s="185"/>
      <c r="R336" s="185"/>
      <c r="S336" s="185"/>
      <c r="T336" s="185"/>
      <c r="U336" s="185"/>
      <c r="V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184" t="str">
        <f>IFERROR(__xludf.DUMMYFUNCTION("ifna(IF(and(D337=""Saída"",J337=""Sangria""),if(sum(QUERY(IMPORTRANGE(""https://docs.google.com/spreadsheets/d/1E4szPcLzsqlw4uyBAoJ61L1ChCgpz4wVP8tHfHW1g_c"",""BD M Sangrias!a:i""),""select Col6 where Col7 = 'Depositada' and Col9 = '""&amp;K337&amp;""' and Col6 ="&amp;" ""&amp;M337&amp;"" and Col4 = date '""&amp;YEAR(C337)&amp;""-""&amp;MONTH(C337)&amp;""-""&amp;DAY(C337)&amp;""'""))&gt;0,""Depositada"",if(sum(QUERY(IMPORTRANGE(""https://docs.google.com/spreadsheets/d/1EcLIvUgMoBC5as4ikW0wuQsGH5yVZ6cQ1y16qEfgPnk"",""BD M Sangrias!a:i""),""select Col6 whe"&amp;"re Col7 = 'Caixa Atendimento' and Col9 = '""&amp;K337&amp;""' and Col6 = ""&amp;M337&amp;"" and Col4 = date '""&amp;YEAR(C337)&amp;""-""&amp;MONTH(C337)&amp;""-""&amp;DAY(C337)&amp;""'""))&gt;0,""Caixa Atendimento"",""Caixa Sangria"")),""""),""Caixa Sangria"")"),"")</f>
        <v/>
      </c>
      <c r="M337" s="185" t="str">
        <f>IFERROR(__xludf.DUMMYFUNCTION("ifna(VALUE(REGEXEXTRACT(E337,""[0-9.]+[,]+[0-9]+"")))"),"")</f>
        <v/>
      </c>
      <c r="N337" s="185"/>
      <c r="O337" s="185"/>
      <c r="P337" s="185"/>
      <c r="Q337" s="185"/>
      <c r="R337" s="185"/>
      <c r="S337" s="185"/>
      <c r="T337" s="185"/>
      <c r="U337" s="185"/>
      <c r="V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184" t="str">
        <f>IFERROR(__xludf.DUMMYFUNCTION("ifna(IF(and(D338=""Saída"",J338=""Sangria""),if(sum(QUERY(IMPORTRANGE(""https://docs.google.com/spreadsheets/d/1E4szPcLzsqlw4uyBAoJ61L1ChCgpz4wVP8tHfHW1g_c"",""BD M Sangrias!a:i""),""select Col6 where Col7 = 'Depositada' and Col9 = '""&amp;K338&amp;""' and Col6 ="&amp;" ""&amp;M338&amp;"" and Col4 = date '""&amp;YEAR(C338)&amp;""-""&amp;MONTH(C338)&amp;""-""&amp;DAY(C338)&amp;""'""))&gt;0,""Depositada"",if(sum(QUERY(IMPORTRANGE(""https://docs.google.com/spreadsheets/d/1EcLIvUgMoBC5as4ikW0wuQsGH5yVZ6cQ1y16qEfgPnk"",""BD M Sangrias!a:i""),""select Col6 whe"&amp;"re Col7 = 'Caixa Atendimento' and Col9 = '""&amp;K338&amp;""' and Col6 = ""&amp;M338&amp;"" and Col4 = date '""&amp;YEAR(C338)&amp;""-""&amp;MONTH(C338)&amp;""-""&amp;DAY(C338)&amp;""'""))&gt;0,""Caixa Atendimento"",""Caixa Sangria"")),""""),""Caixa Sangria"")"),"")</f>
        <v/>
      </c>
      <c r="M338" s="185" t="str">
        <f>IFERROR(__xludf.DUMMYFUNCTION("ifna(VALUE(REGEXEXTRACT(E338,""[0-9.]+[,]+[0-9]+"")))"),"")</f>
        <v/>
      </c>
      <c r="N338" s="185"/>
      <c r="O338" s="185"/>
      <c r="P338" s="185"/>
      <c r="Q338" s="185"/>
      <c r="R338" s="185"/>
      <c r="S338" s="185"/>
      <c r="T338" s="185"/>
      <c r="U338" s="185"/>
      <c r="V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184" t="str">
        <f>IFERROR(__xludf.DUMMYFUNCTION("ifna(IF(and(D339=""Saída"",J339=""Sangria""),if(sum(QUERY(IMPORTRANGE(""https://docs.google.com/spreadsheets/d/1E4szPcLzsqlw4uyBAoJ61L1ChCgpz4wVP8tHfHW1g_c"",""BD M Sangrias!a:i""),""select Col6 where Col7 = 'Depositada' and Col9 = '""&amp;K339&amp;""' and Col6 ="&amp;" ""&amp;M339&amp;"" and Col4 = date '""&amp;YEAR(C339)&amp;""-""&amp;MONTH(C339)&amp;""-""&amp;DAY(C339)&amp;""'""))&gt;0,""Depositada"",if(sum(QUERY(IMPORTRANGE(""https://docs.google.com/spreadsheets/d/1EcLIvUgMoBC5as4ikW0wuQsGH5yVZ6cQ1y16qEfgPnk"",""BD M Sangrias!a:i""),""select Col6 whe"&amp;"re Col7 = 'Caixa Atendimento' and Col9 = '""&amp;K339&amp;""' and Col6 = ""&amp;M339&amp;"" and Col4 = date '""&amp;YEAR(C339)&amp;""-""&amp;MONTH(C339)&amp;""-""&amp;DAY(C339)&amp;""'""))&gt;0,""Caixa Atendimento"",""Caixa Sangria"")),""""),""Caixa Sangria"")"),"")</f>
        <v/>
      </c>
      <c r="M339" s="185" t="str">
        <f>IFERROR(__xludf.DUMMYFUNCTION("ifna(VALUE(REGEXEXTRACT(E339,""[0-9.]+[,]+[0-9]+"")))"),"")</f>
        <v/>
      </c>
      <c r="N339" s="185"/>
      <c r="O339" s="185"/>
      <c r="P339" s="185"/>
      <c r="Q339" s="185"/>
      <c r="R339" s="185"/>
      <c r="S339" s="185"/>
      <c r="T339" s="185"/>
      <c r="U339" s="185"/>
      <c r="V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184" t="str">
        <f>IFERROR(__xludf.DUMMYFUNCTION("ifna(IF(and(D340=""Saída"",J340=""Sangria""),if(sum(QUERY(IMPORTRANGE(""https://docs.google.com/spreadsheets/d/1E4szPcLzsqlw4uyBAoJ61L1ChCgpz4wVP8tHfHW1g_c"",""BD M Sangrias!a:i""),""select Col6 where Col7 = 'Depositada' and Col9 = '""&amp;K340&amp;""' and Col6 ="&amp;" ""&amp;M340&amp;"" and Col4 = date '""&amp;YEAR(C340)&amp;""-""&amp;MONTH(C340)&amp;""-""&amp;DAY(C340)&amp;""'""))&gt;0,""Depositada"",if(sum(QUERY(IMPORTRANGE(""https://docs.google.com/spreadsheets/d/1EcLIvUgMoBC5as4ikW0wuQsGH5yVZ6cQ1y16qEfgPnk"",""BD M Sangrias!a:i""),""select Col6 whe"&amp;"re Col7 = 'Caixa Atendimento' and Col9 = '""&amp;K340&amp;""' and Col6 = ""&amp;M340&amp;"" and Col4 = date '""&amp;YEAR(C340)&amp;""-""&amp;MONTH(C340)&amp;""-""&amp;DAY(C340)&amp;""'""))&gt;0,""Caixa Atendimento"",""Caixa Sangria"")),""""),""Caixa Sangria"")"),"")</f>
        <v/>
      </c>
      <c r="M340" s="185" t="str">
        <f>IFERROR(__xludf.DUMMYFUNCTION("ifna(VALUE(REGEXEXTRACT(E340,""[0-9.]+[,]+[0-9]+"")))"),"")</f>
        <v/>
      </c>
      <c r="N340" s="185"/>
      <c r="O340" s="185"/>
      <c r="P340" s="185"/>
      <c r="Q340" s="185"/>
      <c r="R340" s="185"/>
      <c r="S340" s="185"/>
      <c r="T340" s="185"/>
      <c r="U340" s="185"/>
      <c r="V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184" t="str">
        <f>IFERROR(__xludf.DUMMYFUNCTION("ifna(IF(and(D341=""Saída"",J341=""Sangria""),if(sum(QUERY(IMPORTRANGE(""https://docs.google.com/spreadsheets/d/1E4szPcLzsqlw4uyBAoJ61L1ChCgpz4wVP8tHfHW1g_c"",""BD M Sangrias!a:i""),""select Col6 where Col7 = 'Depositada' and Col9 = '""&amp;K341&amp;""' and Col6 ="&amp;" ""&amp;M341&amp;"" and Col4 = date '""&amp;YEAR(C341)&amp;""-""&amp;MONTH(C341)&amp;""-""&amp;DAY(C341)&amp;""'""))&gt;0,""Depositada"",if(sum(QUERY(IMPORTRANGE(""https://docs.google.com/spreadsheets/d/1EcLIvUgMoBC5as4ikW0wuQsGH5yVZ6cQ1y16qEfgPnk"",""BD M Sangrias!a:i""),""select Col6 whe"&amp;"re Col7 = 'Caixa Atendimento' and Col9 = '""&amp;K341&amp;""' and Col6 = ""&amp;M341&amp;"" and Col4 = date '""&amp;YEAR(C341)&amp;""-""&amp;MONTH(C341)&amp;""-""&amp;DAY(C341)&amp;""'""))&gt;0,""Caixa Atendimento"",""Caixa Sangria"")),""""),""Caixa Sangria"")"),"")</f>
        <v/>
      </c>
      <c r="M341" s="185" t="str">
        <f>IFERROR(__xludf.DUMMYFUNCTION("ifna(VALUE(REGEXEXTRACT(E341,""[0-9.]+[,]+[0-9]+"")))"),"")</f>
        <v/>
      </c>
      <c r="N341" s="185"/>
      <c r="O341" s="185"/>
      <c r="P341" s="185"/>
      <c r="Q341" s="185"/>
      <c r="R341" s="185"/>
      <c r="S341" s="185"/>
      <c r="T341" s="185"/>
      <c r="U341" s="185"/>
      <c r="V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184" t="str">
        <f>IFERROR(__xludf.DUMMYFUNCTION("ifna(IF(and(D342=""Saída"",J342=""Sangria""),if(sum(QUERY(IMPORTRANGE(""https://docs.google.com/spreadsheets/d/1E4szPcLzsqlw4uyBAoJ61L1ChCgpz4wVP8tHfHW1g_c"",""BD M Sangrias!a:i""),""select Col6 where Col7 = 'Depositada' and Col9 = '""&amp;K342&amp;""' and Col6 ="&amp;" ""&amp;M342&amp;"" and Col4 = date '""&amp;YEAR(C342)&amp;""-""&amp;MONTH(C342)&amp;""-""&amp;DAY(C342)&amp;""'""))&gt;0,""Depositada"",if(sum(QUERY(IMPORTRANGE(""https://docs.google.com/spreadsheets/d/1EcLIvUgMoBC5as4ikW0wuQsGH5yVZ6cQ1y16qEfgPnk"",""BD M Sangrias!a:i""),""select Col6 whe"&amp;"re Col7 = 'Caixa Atendimento' and Col9 = '""&amp;K342&amp;""' and Col6 = ""&amp;M342&amp;"" and Col4 = date '""&amp;YEAR(C342)&amp;""-""&amp;MONTH(C342)&amp;""-""&amp;DAY(C342)&amp;""'""))&gt;0,""Caixa Atendimento"",""Caixa Sangria"")),""""),""Caixa Sangria"")"),"")</f>
        <v/>
      </c>
      <c r="M342" s="185" t="str">
        <f>IFERROR(__xludf.DUMMYFUNCTION("ifna(VALUE(REGEXEXTRACT(E342,""[0-9.]+[,]+[0-9]+"")))"),"")</f>
        <v/>
      </c>
      <c r="N342" s="185"/>
      <c r="O342" s="185"/>
      <c r="P342" s="185"/>
      <c r="Q342" s="185"/>
      <c r="R342" s="185"/>
      <c r="S342" s="185"/>
      <c r="T342" s="185"/>
      <c r="U342" s="185"/>
      <c r="V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184" t="str">
        <f>IFERROR(__xludf.DUMMYFUNCTION("ifna(IF(and(D343=""Saída"",J343=""Sangria""),if(sum(QUERY(IMPORTRANGE(""https://docs.google.com/spreadsheets/d/1E4szPcLzsqlw4uyBAoJ61L1ChCgpz4wVP8tHfHW1g_c"",""BD M Sangrias!a:i""),""select Col6 where Col7 = 'Depositada' and Col9 = '""&amp;K343&amp;""' and Col6 ="&amp;" ""&amp;M343&amp;"" and Col4 = date '""&amp;YEAR(C343)&amp;""-""&amp;MONTH(C343)&amp;""-""&amp;DAY(C343)&amp;""'""))&gt;0,""Depositada"",if(sum(QUERY(IMPORTRANGE(""https://docs.google.com/spreadsheets/d/1EcLIvUgMoBC5as4ikW0wuQsGH5yVZ6cQ1y16qEfgPnk"",""BD M Sangrias!a:i""),""select Col6 whe"&amp;"re Col7 = 'Caixa Atendimento' and Col9 = '""&amp;K343&amp;""' and Col6 = ""&amp;M343&amp;"" and Col4 = date '""&amp;YEAR(C343)&amp;""-""&amp;MONTH(C343)&amp;""-""&amp;DAY(C343)&amp;""'""))&gt;0,""Caixa Atendimento"",""Caixa Sangria"")),""""),""Caixa Sangria"")"),"")</f>
        <v/>
      </c>
      <c r="M343" s="185" t="str">
        <f>IFERROR(__xludf.DUMMYFUNCTION("ifna(VALUE(REGEXEXTRACT(E343,""[0-9.]+[,]+[0-9]+"")))"),"")</f>
        <v/>
      </c>
      <c r="N343" s="185"/>
      <c r="O343" s="185"/>
      <c r="P343" s="185"/>
      <c r="Q343" s="185"/>
      <c r="R343" s="185"/>
      <c r="S343" s="185"/>
      <c r="T343" s="185"/>
      <c r="U343" s="185"/>
      <c r="V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184" t="str">
        <f>IFERROR(__xludf.DUMMYFUNCTION("ifna(IF(and(D344=""Saída"",J344=""Sangria""),if(sum(QUERY(IMPORTRANGE(""https://docs.google.com/spreadsheets/d/1E4szPcLzsqlw4uyBAoJ61L1ChCgpz4wVP8tHfHW1g_c"",""BD M Sangrias!a:i""),""select Col6 where Col7 = 'Depositada' and Col9 = '""&amp;K344&amp;""' and Col6 ="&amp;" ""&amp;M344&amp;"" and Col4 = date '""&amp;YEAR(C344)&amp;""-""&amp;MONTH(C344)&amp;""-""&amp;DAY(C344)&amp;""'""))&gt;0,""Depositada"",if(sum(QUERY(IMPORTRANGE(""https://docs.google.com/spreadsheets/d/1EcLIvUgMoBC5as4ikW0wuQsGH5yVZ6cQ1y16qEfgPnk"",""BD M Sangrias!a:i""),""select Col6 whe"&amp;"re Col7 = 'Caixa Atendimento' and Col9 = '""&amp;K344&amp;""' and Col6 = ""&amp;M344&amp;"" and Col4 = date '""&amp;YEAR(C344)&amp;""-""&amp;MONTH(C344)&amp;""-""&amp;DAY(C344)&amp;""'""))&gt;0,""Caixa Atendimento"",""Caixa Sangria"")),""""),""Caixa Sangria"")"),"")</f>
        <v/>
      </c>
      <c r="M344" s="185" t="str">
        <f>IFERROR(__xludf.DUMMYFUNCTION("ifna(VALUE(REGEXEXTRACT(E344,""[0-9.]+[,]+[0-9]+"")))"),"")</f>
        <v/>
      </c>
      <c r="N344" s="185"/>
      <c r="O344" s="185"/>
      <c r="P344" s="185"/>
      <c r="Q344" s="185"/>
      <c r="R344" s="185"/>
      <c r="S344" s="185"/>
      <c r="T344" s="185"/>
      <c r="U344" s="185"/>
      <c r="V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184" t="str">
        <f>IFERROR(__xludf.DUMMYFUNCTION("ifna(IF(and(D345=""Saída"",J345=""Sangria""),if(sum(QUERY(IMPORTRANGE(""https://docs.google.com/spreadsheets/d/1E4szPcLzsqlw4uyBAoJ61L1ChCgpz4wVP8tHfHW1g_c"",""BD M Sangrias!a:i""),""select Col6 where Col7 = 'Depositada' and Col9 = '""&amp;K345&amp;""' and Col6 ="&amp;" ""&amp;M345&amp;"" and Col4 = date '""&amp;YEAR(C345)&amp;""-""&amp;MONTH(C345)&amp;""-""&amp;DAY(C345)&amp;""'""))&gt;0,""Depositada"",if(sum(QUERY(IMPORTRANGE(""https://docs.google.com/spreadsheets/d/1EcLIvUgMoBC5as4ikW0wuQsGH5yVZ6cQ1y16qEfgPnk"",""BD M Sangrias!a:i""),""select Col6 whe"&amp;"re Col7 = 'Caixa Atendimento' and Col9 = '""&amp;K345&amp;""' and Col6 = ""&amp;M345&amp;"" and Col4 = date '""&amp;YEAR(C345)&amp;""-""&amp;MONTH(C345)&amp;""-""&amp;DAY(C345)&amp;""'""))&gt;0,""Caixa Atendimento"",""Caixa Sangria"")),""""),""Caixa Sangria"")"),"")</f>
        <v/>
      </c>
      <c r="M345" s="185" t="str">
        <f>IFERROR(__xludf.DUMMYFUNCTION("ifna(VALUE(REGEXEXTRACT(E345,""[0-9.]+[,]+[0-9]+"")))"),"")</f>
        <v/>
      </c>
      <c r="N345" s="185"/>
      <c r="O345" s="185"/>
      <c r="P345" s="185"/>
      <c r="Q345" s="185"/>
      <c r="R345" s="185"/>
      <c r="S345" s="185"/>
      <c r="T345" s="185"/>
      <c r="U345" s="185"/>
      <c r="V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184" t="str">
        <f>IFERROR(__xludf.DUMMYFUNCTION("ifna(IF(and(D346=""Saída"",J346=""Sangria""),if(sum(QUERY(IMPORTRANGE(""https://docs.google.com/spreadsheets/d/1E4szPcLzsqlw4uyBAoJ61L1ChCgpz4wVP8tHfHW1g_c"",""BD M Sangrias!a:i""),""select Col6 where Col7 = 'Depositada' and Col9 = '""&amp;K346&amp;""' and Col6 ="&amp;" ""&amp;M346&amp;"" and Col4 = date '""&amp;YEAR(C346)&amp;""-""&amp;MONTH(C346)&amp;""-""&amp;DAY(C346)&amp;""'""))&gt;0,""Depositada"",if(sum(QUERY(IMPORTRANGE(""https://docs.google.com/spreadsheets/d/1EcLIvUgMoBC5as4ikW0wuQsGH5yVZ6cQ1y16qEfgPnk"",""BD M Sangrias!a:i""),""select Col6 whe"&amp;"re Col7 = 'Caixa Atendimento' and Col9 = '""&amp;K346&amp;""' and Col6 = ""&amp;M346&amp;"" and Col4 = date '""&amp;YEAR(C346)&amp;""-""&amp;MONTH(C346)&amp;""-""&amp;DAY(C346)&amp;""'""))&gt;0,""Caixa Atendimento"",""Caixa Sangria"")),""""),""Caixa Sangria"")"),"")</f>
        <v/>
      </c>
      <c r="M346" s="185" t="str">
        <f>IFERROR(__xludf.DUMMYFUNCTION("ifna(VALUE(REGEXEXTRACT(E346,""[0-9.]+[,]+[0-9]+"")))"),"")</f>
        <v/>
      </c>
      <c r="N346" s="185"/>
      <c r="O346" s="185"/>
      <c r="P346" s="185"/>
      <c r="Q346" s="185"/>
      <c r="R346" s="185"/>
      <c r="S346" s="185"/>
      <c r="T346" s="185"/>
      <c r="U346" s="185"/>
      <c r="V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184" t="str">
        <f>IFERROR(__xludf.DUMMYFUNCTION("ifna(IF(and(D347=""Saída"",J347=""Sangria""),if(sum(QUERY(IMPORTRANGE(""https://docs.google.com/spreadsheets/d/1E4szPcLzsqlw4uyBAoJ61L1ChCgpz4wVP8tHfHW1g_c"",""BD M Sangrias!a:i""),""select Col6 where Col7 = 'Depositada' and Col9 = '""&amp;K347&amp;""' and Col6 ="&amp;" ""&amp;M347&amp;"" and Col4 = date '""&amp;YEAR(C347)&amp;""-""&amp;MONTH(C347)&amp;""-""&amp;DAY(C347)&amp;""'""))&gt;0,""Depositada"",if(sum(QUERY(IMPORTRANGE(""https://docs.google.com/spreadsheets/d/1EcLIvUgMoBC5as4ikW0wuQsGH5yVZ6cQ1y16qEfgPnk"",""BD M Sangrias!a:i""),""select Col6 whe"&amp;"re Col7 = 'Caixa Atendimento' and Col9 = '""&amp;K347&amp;""' and Col6 = ""&amp;M347&amp;"" and Col4 = date '""&amp;YEAR(C347)&amp;""-""&amp;MONTH(C347)&amp;""-""&amp;DAY(C347)&amp;""'""))&gt;0,""Caixa Atendimento"",""Caixa Sangria"")),""""),""Caixa Sangria"")"),"")</f>
        <v/>
      </c>
      <c r="M347" s="185" t="str">
        <f>IFERROR(__xludf.DUMMYFUNCTION("ifna(VALUE(REGEXEXTRACT(E347,""[0-9.]+[,]+[0-9]+"")))"),"")</f>
        <v/>
      </c>
      <c r="N347" s="185"/>
      <c r="O347" s="185"/>
      <c r="P347" s="185"/>
      <c r="Q347" s="185"/>
      <c r="R347" s="185"/>
      <c r="S347" s="185"/>
      <c r="T347" s="185"/>
      <c r="U347" s="185"/>
      <c r="V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184" t="str">
        <f>IFERROR(__xludf.DUMMYFUNCTION("ifna(IF(and(D348=""Saída"",J348=""Sangria""),if(sum(QUERY(IMPORTRANGE(""https://docs.google.com/spreadsheets/d/1E4szPcLzsqlw4uyBAoJ61L1ChCgpz4wVP8tHfHW1g_c"",""BD M Sangrias!a:i""),""select Col6 where Col7 = 'Depositada' and Col9 = '""&amp;K348&amp;""' and Col6 ="&amp;" ""&amp;M348&amp;"" and Col4 = date '""&amp;YEAR(C348)&amp;""-""&amp;MONTH(C348)&amp;""-""&amp;DAY(C348)&amp;""'""))&gt;0,""Depositada"",if(sum(QUERY(IMPORTRANGE(""https://docs.google.com/spreadsheets/d/1EcLIvUgMoBC5as4ikW0wuQsGH5yVZ6cQ1y16qEfgPnk"",""BD M Sangrias!a:i""),""select Col6 whe"&amp;"re Col7 = 'Caixa Atendimento' and Col9 = '""&amp;K348&amp;""' and Col6 = ""&amp;M348&amp;"" and Col4 = date '""&amp;YEAR(C348)&amp;""-""&amp;MONTH(C348)&amp;""-""&amp;DAY(C348)&amp;""'""))&gt;0,""Caixa Atendimento"",""Caixa Sangria"")),""""),""Caixa Sangria"")"),"")</f>
        <v/>
      </c>
      <c r="M348" s="185" t="str">
        <f>IFERROR(__xludf.DUMMYFUNCTION("ifna(VALUE(REGEXEXTRACT(E348,""[0-9.]+[,]+[0-9]+"")))"),"")</f>
        <v/>
      </c>
      <c r="N348" s="185"/>
      <c r="O348" s="185"/>
      <c r="P348" s="185"/>
      <c r="Q348" s="185"/>
      <c r="R348" s="185"/>
      <c r="S348" s="185"/>
      <c r="T348" s="185"/>
      <c r="U348" s="185"/>
      <c r="V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184" t="str">
        <f>IFERROR(__xludf.DUMMYFUNCTION("ifna(IF(and(D349=""Saída"",J349=""Sangria""),if(sum(QUERY(IMPORTRANGE(""https://docs.google.com/spreadsheets/d/1E4szPcLzsqlw4uyBAoJ61L1ChCgpz4wVP8tHfHW1g_c"",""BD M Sangrias!a:i""),""select Col6 where Col7 = 'Depositada' and Col9 = '""&amp;K349&amp;""' and Col6 ="&amp;" ""&amp;M349&amp;"" and Col4 = date '""&amp;YEAR(C349)&amp;""-""&amp;MONTH(C349)&amp;""-""&amp;DAY(C349)&amp;""'""))&gt;0,""Depositada"",if(sum(QUERY(IMPORTRANGE(""https://docs.google.com/spreadsheets/d/1EcLIvUgMoBC5as4ikW0wuQsGH5yVZ6cQ1y16qEfgPnk"",""BD M Sangrias!a:i""),""select Col6 whe"&amp;"re Col7 = 'Caixa Atendimento' and Col9 = '""&amp;K349&amp;""' and Col6 = ""&amp;M349&amp;"" and Col4 = date '""&amp;YEAR(C349)&amp;""-""&amp;MONTH(C349)&amp;""-""&amp;DAY(C349)&amp;""'""))&gt;0,""Caixa Atendimento"",""Caixa Sangria"")),""""),""Caixa Sangria"")"),"")</f>
        <v/>
      </c>
      <c r="M349" s="185" t="str">
        <f>IFERROR(__xludf.DUMMYFUNCTION("ifna(VALUE(REGEXEXTRACT(E349,""[0-9.]+[,]+[0-9]+"")))"),"")</f>
        <v/>
      </c>
      <c r="N349" s="185"/>
      <c r="O349" s="185"/>
      <c r="P349" s="185"/>
      <c r="Q349" s="185"/>
      <c r="R349" s="185"/>
      <c r="S349" s="185"/>
      <c r="T349" s="185"/>
      <c r="U349" s="185"/>
      <c r="V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184" t="str">
        <f>IFERROR(__xludf.DUMMYFUNCTION("ifna(IF(and(D350=""Saída"",J350=""Sangria""),if(sum(QUERY(IMPORTRANGE(""https://docs.google.com/spreadsheets/d/1E4szPcLzsqlw4uyBAoJ61L1ChCgpz4wVP8tHfHW1g_c"",""BD M Sangrias!a:i""),""select Col6 where Col7 = 'Depositada' and Col9 = '""&amp;K350&amp;""' and Col6 ="&amp;" ""&amp;M350&amp;"" and Col4 = date '""&amp;YEAR(C350)&amp;""-""&amp;MONTH(C350)&amp;""-""&amp;DAY(C350)&amp;""'""))&gt;0,""Depositada"",if(sum(QUERY(IMPORTRANGE(""https://docs.google.com/spreadsheets/d/1EcLIvUgMoBC5as4ikW0wuQsGH5yVZ6cQ1y16qEfgPnk"",""BD M Sangrias!a:i""),""select Col6 whe"&amp;"re Col7 = 'Caixa Atendimento' and Col9 = '""&amp;K350&amp;""' and Col6 = ""&amp;M350&amp;"" and Col4 = date '""&amp;YEAR(C350)&amp;""-""&amp;MONTH(C350)&amp;""-""&amp;DAY(C350)&amp;""'""))&gt;0,""Caixa Atendimento"",""Caixa Sangria"")),""""),""Caixa Sangria"")"),"")</f>
        <v/>
      </c>
      <c r="M350" s="185" t="str">
        <f>IFERROR(__xludf.DUMMYFUNCTION("ifna(VALUE(REGEXEXTRACT(E350,""[0-9.]+[,]+[0-9]+"")))"),"")</f>
        <v/>
      </c>
      <c r="N350" s="185"/>
      <c r="O350" s="185"/>
      <c r="P350" s="185"/>
      <c r="Q350" s="185"/>
      <c r="R350" s="185"/>
      <c r="S350" s="185"/>
      <c r="T350" s="185"/>
      <c r="U350" s="185"/>
      <c r="V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184" t="str">
        <f>IFERROR(__xludf.DUMMYFUNCTION("ifna(IF(and(D351=""Saída"",J351=""Sangria""),if(sum(QUERY(IMPORTRANGE(""https://docs.google.com/spreadsheets/d/1E4szPcLzsqlw4uyBAoJ61L1ChCgpz4wVP8tHfHW1g_c"",""BD M Sangrias!a:i""),""select Col6 where Col7 = 'Depositada' and Col9 = '""&amp;K351&amp;""' and Col6 ="&amp;" ""&amp;M351&amp;"" and Col4 = date '""&amp;YEAR(C351)&amp;""-""&amp;MONTH(C351)&amp;""-""&amp;DAY(C351)&amp;""'""))&gt;0,""Depositada"",if(sum(QUERY(IMPORTRANGE(""https://docs.google.com/spreadsheets/d/1EcLIvUgMoBC5as4ikW0wuQsGH5yVZ6cQ1y16qEfgPnk"",""BD M Sangrias!a:i""),""select Col6 whe"&amp;"re Col7 = 'Caixa Atendimento' and Col9 = '""&amp;K351&amp;""' and Col6 = ""&amp;M351&amp;"" and Col4 = date '""&amp;YEAR(C351)&amp;""-""&amp;MONTH(C351)&amp;""-""&amp;DAY(C351)&amp;""'""))&gt;0,""Caixa Atendimento"",""Caixa Sangria"")),""""),""Caixa Sangria"")"),"")</f>
        <v/>
      </c>
      <c r="M351" s="185" t="str">
        <f>IFERROR(__xludf.DUMMYFUNCTION("ifna(VALUE(REGEXEXTRACT(E351,""[0-9.]+[,]+[0-9]+"")))"),"")</f>
        <v/>
      </c>
      <c r="N351" s="185"/>
      <c r="O351" s="185"/>
      <c r="P351" s="185"/>
      <c r="Q351" s="185"/>
      <c r="R351" s="185"/>
      <c r="S351" s="185"/>
      <c r="T351" s="185"/>
      <c r="U351" s="185"/>
      <c r="V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184" t="str">
        <f>IFERROR(__xludf.DUMMYFUNCTION("ifna(IF(and(D352=""Saída"",J352=""Sangria""),if(sum(QUERY(IMPORTRANGE(""https://docs.google.com/spreadsheets/d/1E4szPcLzsqlw4uyBAoJ61L1ChCgpz4wVP8tHfHW1g_c"",""BD M Sangrias!a:i""),""select Col6 where Col7 = 'Depositada' and Col9 = '""&amp;K352&amp;""' and Col6 ="&amp;" ""&amp;M352&amp;"" and Col4 = date '""&amp;YEAR(C352)&amp;""-""&amp;MONTH(C352)&amp;""-""&amp;DAY(C352)&amp;""'""))&gt;0,""Depositada"",if(sum(QUERY(IMPORTRANGE(""https://docs.google.com/spreadsheets/d/1EcLIvUgMoBC5as4ikW0wuQsGH5yVZ6cQ1y16qEfgPnk"",""BD M Sangrias!a:i""),""select Col6 whe"&amp;"re Col7 = 'Caixa Atendimento' and Col9 = '""&amp;K352&amp;""' and Col6 = ""&amp;M352&amp;"" and Col4 = date '""&amp;YEAR(C352)&amp;""-""&amp;MONTH(C352)&amp;""-""&amp;DAY(C352)&amp;""'""))&gt;0,""Caixa Atendimento"",""Caixa Sangria"")),""""),""Caixa Sangria"")"),"")</f>
        <v/>
      </c>
      <c r="M352" s="185" t="str">
        <f>IFERROR(__xludf.DUMMYFUNCTION("ifna(VALUE(REGEXEXTRACT(E352,""[0-9.]+[,]+[0-9]+"")))"),"")</f>
        <v/>
      </c>
      <c r="N352" s="185"/>
      <c r="O352" s="185"/>
      <c r="P352" s="185"/>
      <c r="Q352" s="185"/>
      <c r="R352" s="185"/>
      <c r="S352" s="185"/>
      <c r="T352" s="185"/>
      <c r="U352" s="185"/>
      <c r="V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184" t="str">
        <f>IFERROR(__xludf.DUMMYFUNCTION("ifna(IF(and(D353=""Saída"",J353=""Sangria""),if(sum(QUERY(IMPORTRANGE(""https://docs.google.com/spreadsheets/d/1E4szPcLzsqlw4uyBAoJ61L1ChCgpz4wVP8tHfHW1g_c"",""BD M Sangrias!a:i""),""select Col6 where Col7 = 'Depositada' and Col9 = '""&amp;K353&amp;""' and Col6 ="&amp;" ""&amp;M353&amp;"" and Col4 = date '""&amp;YEAR(C353)&amp;""-""&amp;MONTH(C353)&amp;""-""&amp;DAY(C353)&amp;""'""))&gt;0,""Depositada"",if(sum(QUERY(IMPORTRANGE(""https://docs.google.com/spreadsheets/d/1EcLIvUgMoBC5as4ikW0wuQsGH5yVZ6cQ1y16qEfgPnk"",""BD M Sangrias!a:i""),""select Col6 whe"&amp;"re Col7 = 'Caixa Atendimento' and Col9 = '""&amp;K353&amp;""' and Col6 = ""&amp;M353&amp;"" and Col4 = date '""&amp;YEAR(C353)&amp;""-""&amp;MONTH(C353)&amp;""-""&amp;DAY(C353)&amp;""'""))&gt;0,""Caixa Atendimento"",""Caixa Sangria"")),""""),""Caixa Sangria"")"),"")</f>
        <v/>
      </c>
      <c r="M353" s="185" t="str">
        <f>IFERROR(__xludf.DUMMYFUNCTION("ifna(VALUE(REGEXEXTRACT(E353,""[0-9.]+[,]+[0-9]+"")))"),"")</f>
        <v/>
      </c>
      <c r="N353" s="185"/>
      <c r="O353" s="185"/>
      <c r="P353" s="185"/>
      <c r="Q353" s="185"/>
      <c r="R353" s="185"/>
      <c r="S353" s="185"/>
      <c r="T353" s="185"/>
      <c r="U353" s="185"/>
      <c r="V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184" t="str">
        <f>IFERROR(__xludf.DUMMYFUNCTION("ifna(IF(and(D354=""Saída"",J354=""Sangria""),if(sum(QUERY(IMPORTRANGE(""https://docs.google.com/spreadsheets/d/1E4szPcLzsqlw4uyBAoJ61L1ChCgpz4wVP8tHfHW1g_c"",""BD M Sangrias!a:i""),""select Col6 where Col7 = 'Depositada' and Col9 = '""&amp;K354&amp;""' and Col6 ="&amp;" ""&amp;M354&amp;"" and Col4 = date '""&amp;YEAR(C354)&amp;""-""&amp;MONTH(C354)&amp;""-""&amp;DAY(C354)&amp;""'""))&gt;0,""Depositada"",if(sum(QUERY(IMPORTRANGE(""https://docs.google.com/spreadsheets/d/1EcLIvUgMoBC5as4ikW0wuQsGH5yVZ6cQ1y16qEfgPnk"",""BD M Sangrias!a:i""),""select Col6 whe"&amp;"re Col7 = 'Caixa Atendimento' and Col9 = '""&amp;K354&amp;""' and Col6 = ""&amp;M354&amp;"" and Col4 = date '""&amp;YEAR(C354)&amp;""-""&amp;MONTH(C354)&amp;""-""&amp;DAY(C354)&amp;""'""))&gt;0,""Caixa Atendimento"",""Caixa Sangria"")),""""),""Caixa Sangria"")"),"")</f>
        <v/>
      </c>
      <c r="M354" s="185" t="str">
        <f>IFERROR(__xludf.DUMMYFUNCTION("ifna(VALUE(REGEXEXTRACT(E354,""[0-9.]+[,]+[0-9]+"")))"),"")</f>
        <v/>
      </c>
      <c r="N354" s="185"/>
      <c r="O354" s="185"/>
      <c r="P354" s="185"/>
      <c r="Q354" s="185"/>
      <c r="R354" s="185"/>
      <c r="S354" s="185"/>
      <c r="T354" s="185"/>
      <c r="U354" s="185"/>
      <c r="V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184" t="str">
        <f>IFERROR(__xludf.DUMMYFUNCTION("ifna(IF(and(D355=""Saída"",J355=""Sangria""),if(sum(QUERY(IMPORTRANGE(""https://docs.google.com/spreadsheets/d/1E4szPcLzsqlw4uyBAoJ61L1ChCgpz4wVP8tHfHW1g_c"",""BD M Sangrias!a:i""),""select Col6 where Col7 = 'Depositada' and Col9 = '""&amp;K355&amp;""' and Col6 ="&amp;" ""&amp;M355&amp;"" and Col4 = date '""&amp;YEAR(C355)&amp;""-""&amp;MONTH(C355)&amp;""-""&amp;DAY(C355)&amp;""'""))&gt;0,""Depositada"",if(sum(QUERY(IMPORTRANGE(""https://docs.google.com/spreadsheets/d/1EcLIvUgMoBC5as4ikW0wuQsGH5yVZ6cQ1y16qEfgPnk"",""BD M Sangrias!a:i""),""select Col6 whe"&amp;"re Col7 = 'Caixa Atendimento' and Col9 = '""&amp;K355&amp;""' and Col6 = ""&amp;M355&amp;"" and Col4 = date '""&amp;YEAR(C355)&amp;""-""&amp;MONTH(C355)&amp;""-""&amp;DAY(C355)&amp;""'""))&gt;0,""Caixa Atendimento"",""Caixa Sangria"")),""""),""Caixa Sangria"")"),"")</f>
        <v/>
      </c>
      <c r="M355" s="185" t="str">
        <f>IFERROR(__xludf.DUMMYFUNCTION("ifna(VALUE(REGEXEXTRACT(E355,""[0-9.]+[,]+[0-9]+"")))"),"")</f>
        <v/>
      </c>
      <c r="N355" s="185"/>
      <c r="O355" s="185"/>
      <c r="P355" s="185"/>
      <c r="Q355" s="185"/>
      <c r="R355" s="185"/>
      <c r="S355" s="185"/>
      <c r="T355" s="185"/>
      <c r="U355" s="185"/>
      <c r="V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184" t="str">
        <f>IFERROR(__xludf.DUMMYFUNCTION("ifna(IF(and(D356=""Saída"",J356=""Sangria""),if(sum(QUERY(IMPORTRANGE(""https://docs.google.com/spreadsheets/d/1E4szPcLzsqlw4uyBAoJ61L1ChCgpz4wVP8tHfHW1g_c"",""BD M Sangrias!a:i""),""select Col6 where Col7 = 'Depositada' and Col9 = '""&amp;K356&amp;""' and Col6 ="&amp;" ""&amp;M356&amp;"" and Col4 = date '""&amp;YEAR(C356)&amp;""-""&amp;MONTH(C356)&amp;""-""&amp;DAY(C356)&amp;""'""))&gt;0,""Depositada"",if(sum(QUERY(IMPORTRANGE(""https://docs.google.com/spreadsheets/d/1EcLIvUgMoBC5as4ikW0wuQsGH5yVZ6cQ1y16qEfgPnk"",""BD M Sangrias!a:i""),""select Col6 whe"&amp;"re Col7 = 'Caixa Atendimento' and Col9 = '""&amp;K356&amp;""' and Col6 = ""&amp;M356&amp;"" and Col4 = date '""&amp;YEAR(C356)&amp;""-""&amp;MONTH(C356)&amp;""-""&amp;DAY(C356)&amp;""'""))&gt;0,""Caixa Atendimento"",""Caixa Sangria"")),""""),""Caixa Sangria"")"),"")</f>
        <v/>
      </c>
      <c r="M356" s="185" t="str">
        <f>IFERROR(__xludf.DUMMYFUNCTION("ifna(VALUE(REGEXEXTRACT(E356,""[0-9.]+[,]+[0-9]+"")))"),"")</f>
        <v/>
      </c>
      <c r="N356" s="185"/>
      <c r="O356" s="185"/>
      <c r="P356" s="185"/>
      <c r="Q356" s="185"/>
      <c r="R356" s="185"/>
      <c r="S356" s="185"/>
      <c r="T356" s="185"/>
      <c r="U356" s="185"/>
      <c r="V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184" t="str">
        <f>IFERROR(__xludf.DUMMYFUNCTION("ifna(IF(and(D357=""Saída"",J357=""Sangria""),if(sum(QUERY(IMPORTRANGE(""https://docs.google.com/spreadsheets/d/1E4szPcLzsqlw4uyBAoJ61L1ChCgpz4wVP8tHfHW1g_c"",""BD M Sangrias!a:i""),""select Col6 where Col7 = 'Depositada' and Col9 = '""&amp;K357&amp;""' and Col6 ="&amp;" ""&amp;M357&amp;"" and Col4 = date '""&amp;YEAR(C357)&amp;""-""&amp;MONTH(C357)&amp;""-""&amp;DAY(C357)&amp;""'""))&gt;0,""Depositada"",if(sum(QUERY(IMPORTRANGE(""https://docs.google.com/spreadsheets/d/1EcLIvUgMoBC5as4ikW0wuQsGH5yVZ6cQ1y16qEfgPnk"",""BD M Sangrias!a:i""),""select Col6 whe"&amp;"re Col7 = 'Caixa Atendimento' and Col9 = '""&amp;K357&amp;""' and Col6 = ""&amp;M357&amp;"" and Col4 = date '""&amp;YEAR(C357)&amp;""-""&amp;MONTH(C357)&amp;""-""&amp;DAY(C357)&amp;""'""))&gt;0,""Caixa Atendimento"",""Caixa Sangria"")),""""),""Caixa Sangria"")"),"")</f>
        <v/>
      </c>
      <c r="M357" s="185" t="str">
        <f>IFERROR(__xludf.DUMMYFUNCTION("ifna(VALUE(REGEXEXTRACT(E357,""[0-9.]+[,]+[0-9]+"")))"),"")</f>
        <v/>
      </c>
      <c r="N357" s="185"/>
      <c r="O357" s="185"/>
      <c r="P357" s="185"/>
      <c r="Q357" s="185"/>
      <c r="R357" s="185"/>
      <c r="S357" s="185"/>
      <c r="T357" s="185"/>
      <c r="U357" s="185"/>
      <c r="V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184" t="str">
        <f>IFERROR(__xludf.DUMMYFUNCTION("ifna(IF(and(D358=""Saída"",J358=""Sangria""),if(sum(QUERY(IMPORTRANGE(""https://docs.google.com/spreadsheets/d/1E4szPcLzsqlw4uyBAoJ61L1ChCgpz4wVP8tHfHW1g_c"",""BD M Sangrias!a:i""),""select Col6 where Col7 = 'Depositada' and Col9 = '""&amp;K358&amp;""' and Col6 ="&amp;" ""&amp;M358&amp;"" and Col4 = date '""&amp;YEAR(C358)&amp;""-""&amp;MONTH(C358)&amp;""-""&amp;DAY(C358)&amp;""'""))&gt;0,""Depositada"",if(sum(QUERY(IMPORTRANGE(""https://docs.google.com/spreadsheets/d/1EcLIvUgMoBC5as4ikW0wuQsGH5yVZ6cQ1y16qEfgPnk"",""BD M Sangrias!a:i""),""select Col6 whe"&amp;"re Col7 = 'Caixa Atendimento' and Col9 = '""&amp;K358&amp;""' and Col6 = ""&amp;M358&amp;"" and Col4 = date '""&amp;YEAR(C358)&amp;""-""&amp;MONTH(C358)&amp;""-""&amp;DAY(C358)&amp;""'""))&gt;0,""Caixa Atendimento"",""Caixa Sangria"")),""""),""Caixa Sangria"")"),"")</f>
        <v/>
      </c>
      <c r="M358" s="185" t="str">
        <f>IFERROR(__xludf.DUMMYFUNCTION("ifna(VALUE(REGEXEXTRACT(E358,""[0-9.]+[,]+[0-9]+"")))"),"")</f>
        <v/>
      </c>
      <c r="N358" s="185"/>
      <c r="O358" s="185"/>
      <c r="P358" s="185"/>
      <c r="Q358" s="185"/>
      <c r="R358" s="185"/>
      <c r="S358" s="185"/>
      <c r="T358" s="185"/>
      <c r="U358" s="185"/>
      <c r="V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184" t="str">
        <f>IFERROR(__xludf.DUMMYFUNCTION("ifna(IF(and(D359=""Saída"",J359=""Sangria""),if(sum(QUERY(IMPORTRANGE(""https://docs.google.com/spreadsheets/d/1E4szPcLzsqlw4uyBAoJ61L1ChCgpz4wVP8tHfHW1g_c"",""BD M Sangrias!a:i""),""select Col6 where Col7 = 'Depositada' and Col9 = '""&amp;K359&amp;""' and Col6 ="&amp;" ""&amp;M359&amp;"" and Col4 = date '""&amp;YEAR(C359)&amp;""-""&amp;MONTH(C359)&amp;""-""&amp;DAY(C359)&amp;""'""))&gt;0,""Depositada"",if(sum(QUERY(IMPORTRANGE(""https://docs.google.com/spreadsheets/d/1EcLIvUgMoBC5as4ikW0wuQsGH5yVZ6cQ1y16qEfgPnk"",""BD M Sangrias!a:i""),""select Col6 whe"&amp;"re Col7 = 'Caixa Atendimento' and Col9 = '""&amp;K359&amp;""' and Col6 = ""&amp;M359&amp;"" and Col4 = date '""&amp;YEAR(C359)&amp;""-""&amp;MONTH(C359)&amp;""-""&amp;DAY(C359)&amp;""'""))&gt;0,""Caixa Atendimento"",""Caixa Sangria"")),""""),""Caixa Sangria"")"),"")</f>
        <v/>
      </c>
      <c r="M359" s="185" t="str">
        <f>IFERROR(__xludf.DUMMYFUNCTION("ifna(VALUE(REGEXEXTRACT(E359,""[0-9.]+[,]+[0-9]+"")))"),"")</f>
        <v/>
      </c>
      <c r="N359" s="185"/>
      <c r="O359" s="185"/>
      <c r="P359" s="185"/>
      <c r="Q359" s="185"/>
      <c r="R359" s="185"/>
      <c r="S359" s="185"/>
      <c r="T359" s="185"/>
      <c r="U359" s="185"/>
      <c r="V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184" t="str">
        <f>IFERROR(__xludf.DUMMYFUNCTION("ifna(IF(and(D360=""Saída"",J360=""Sangria""),if(sum(QUERY(IMPORTRANGE(""https://docs.google.com/spreadsheets/d/1E4szPcLzsqlw4uyBAoJ61L1ChCgpz4wVP8tHfHW1g_c"",""BD M Sangrias!a:i""),""select Col6 where Col7 = 'Depositada' and Col9 = '""&amp;K360&amp;""' and Col6 ="&amp;" ""&amp;M360&amp;"" and Col4 = date '""&amp;YEAR(C360)&amp;""-""&amp;MONTH(C360)&amp;""-""&amp;DAY(C360)&amp;""'""))&gt;0,""Depositada"",if(sum(QUERY(IMPORTRANGE(""https://docs.google.com/spreadsheets/d/1EcLIvUgMoBC5as4ikW0wuQsGH5yVZ6cQ1y16qEfgPnk"",""BD M Sangrias!a:i""),""select Col6 whe"&amp;"re Col7 = 'Caixa Atendimento' and Col9 = '""&amp;K360&amp;""' and Col6 = ""&amp;M360&amp;"" and Col4 = date '""&amp;YEAR(C360)&amp;""-""&amp;MONTH(C360)&amp;""-""&amp;DAY(C360)&amp;""'""))&gt;0,""Caixa Atendimento"",""Caixa Sangria"")),""""),""Caixa Sangria"")"),"")</f>
        <v/>
      </c>
      <c r="M360" s="185" t="str">
        <f>IFERROR(__xludf.DUMMYFUNCTION("ifna(VALUE(REGEXEXTRACT(E360,""[0-9.]+[,]+[0-9]+"")))"),"")</f>
        <v/>
      </c>
      <c r="N360" s="185"/>
      <c r="O360" s="185"/>
      <c r="P360" s="185"/>
      <c r="Q360" s="185"/>
      <c r="R360" s="185"/>
      <c r="S360" s="185"/>
      <c r="T360" s="185"/>
      <c r="U360" s="185"/>
      <c r="V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184" t="str">
        <f>IFERROR(__xludf.DUMMYFUNCTION("ifna(IF(and(D361=""Saída"",J361=""Sangria""),if(sum(QUERY(IMPORTRANGE(""https://docs.google.com/spreadsheets/d/1E4szPcLzsqlw4uyBAoJ61L1ChCgpz4wVP8tHfHW1g_c"",""BD M Sangrias!a:i""),""select Col6 where Col7 = 'Depositada' and Col9 = '""&amp;K361&amp;""' and Col6 ="&amp;" ""&amp;M361&amp;"" and Col4 = date '""&amp;YEAR(C361)&amp;""-""&amp;MONTH(C361)&amp;""-""&amp;DAY(C361)&amp;""'""))&gt;0,""Depositada"",if(sum(QUERY(IMPORTRANGE(""https://docs.google.com/spreadsheets/d/1EcLIvUgMoBC5as4ikW0wuQsGH5yVZ6cQ1y16qEfgPnk"",""BD M Sangrias!a:i""),""select Col6 whe"&amp;"re Col7 = 'Caixa Atendimento' and Col9 = '""&amp;K361&amp;""' and Col6 = ""&amp;M361&amp;"" and Col4 = date '""&amp;YEAR(C361)&amp;""-""&amp;MONTH(C361)&amp;""-""&amp;DAY(C361)&amp;""'""))&gt;0,""Caixa Atendimento"",""Caixa Sangria"")),""""),""Caixa Sangria"")"),"")</f>
        <v/>
      </c>
      <c r="M361" s="185" t="str">
        <f>IFERROR(__xludf.DUMMYFUNCTION("ifna(VALUE(REGEXEXTRACT(E361,""[0-9.]+[,]+[0-9]+"")))"),"")</f>
        <v/>
      </c>
      <c r="N361" s="185"/>
      <c r="O361" s="185"/>
      <c r="P361" s="185"/>
      <c r="Q361" s="185"/>
      <c r="R361" s="185"/>
      <c r="S361" s="185"/>
      <c r="T361" s="185"/>
      <c r="U361" s="185"/>
      <c r="V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184" t="str">
        <f>IFERROR(__xludf.DUMMYFUNCTION("ifna(IF(and(D362=""Saída"",J362=""Sangria""),if(sum(QUERY(IMPORTRANGE(""https://docs.google.com/spreadsheets/d/1E4szPcLzsqlw4uyBAoJ61L1ChCgpz4wVP8tHfHW1g_c"",""BD M Sangrias!a:i""),""select Col6 where Col7 = 'Depositada' and Col9 = '""&amp;K362&amp;""' and Col6 ="&amp;" ""&amp;M362&amp;"" and Col4 = date '""&amp;YEAR(C362)&amp;""-""&amp;MONTH(C362)&amp;""-""&amp;DAY(C362)&amp;""'""))&gt;0,""Depositada"",if(sum(QUERY(IMPORTRANGE(""https://docs.google.com/spreadsheets/d/1EcLIvUgMoBC5as4ikW0wuQsGH5yVZ6cQ1y16qEfgPnk"",""BD M Sangrias!a:i""),""select Col6 whe"&amp;"re Col7 = 'Caixa Atendimento' and Col9 = '""&amp;K362&amp;""' and Col6 = ""&amp;M362&amp;"" and Col4 = date '""&amp;YEAR(C362)&amp;""-""&amp;MONTH(C362)&amp;""-""&amp;DAY(C362)&amp;""'""))&gt;0,""Caixa Atendimento"",""Caixa Sangria"")),""""),""Caixa Sangria"")"),"")</f>
        <v/>
      </c>
      <c r="M362" s="185" t="str">
        <f>IFERROR(__xludf.DUMMYFUNCTION("ifna(VALUE(REGEXEXTRACT(E362,""[0-9.]+[,]+[0-9]+"")))"),"")</f>
        <v/>
      </c>
      <c r="N362" s="185"/>
      <c r="O362" s="185"/>
      <c r="P362" s="185"/>
      <c r="Q362" s="185"/>
      <c r="R362" s="185"/>
      <c r="S362" s="185"/>
      <c r="T362" s="185"/>
      <c r="U362" s="185"/>
      <c r="V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184" t="str">
        <f>IFERROR(__xludf.DUMMYFUNCTION("ifna(IF(and(D363=""Saída"",J363=""Sangria""),if(sum(QUERY(IMPORTRANGE(""https://docs.google.com/spreadsheets/d/1E4szPcLzsqlw4uyBAoJ61L1ChCgpz4wVP8tHfHW1g_c"",""BD M Sangrias!a:i""),""select Col6 where Col7 = 'Depositada' and Col9 = '""&amp;K363&amp;""' and Col6 ="&amp;" ""&amp;M363&amp;"" and Col4 = date '""&amp;YEAR(C363)&amp;""-""&amp;MONTH(C363)&amp;""-""&amp;DAY(C363)&amp;""'""))&gt;0,""Depositada"",if(sum(QUERY(IMPORTRANGE(""https://docs.google.com/spreadsheets/d/1EcLIvUgMoBC5as4ikW0wuQsGH5yVZ6cQ1y16qEfgPnk"",""BD M Sangrias!a:i""),""select Col6 whe"&amp;"re Col7 = 'Caixa Atendimento' and Col9 = '""&amp;K363&amp;""' and Col6 = ""&amp;M363&amp;"" and Col4 = date '""&amp;YEAR(C363)&amp;""-""&amp;MONTH(C363)&amp;""-""&amp;DAY(C363)&amp;""'""))&gt;0,""Caixa Atendimento"",""Caixa Sangria"")),""""),""Caixa Sangria"")"),"")</f>
        <v/>
      </c>
      <c r="M363" s="185" t="str">
        <f>IFERROR(__xludf.DUMMYFUNCTION("ifna(VALUE(REGEXEXTRACT(E363,""[0-9.]+[,]+[0-9]+"")))"),"")</f>
        <v/>
      </c>
      <c r="N363" s="185"/>
      <c r="O363" s="185"/>
      <c r="P363" s="185"/>
      <c r="Q363" s="185"/>
      <c r="R363" s="185"/>
      <c r="S363" s="185"/>
      <c r="T363" s="185"/>
      <c r="U363" s="185"/>
      <c r="V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184" t="str">
        <f>IFERROR(__xludf.DUMMYFUNCTION("ifna(IF(and(D364=""Saída"",J364=""Sangria""),if(sum(QUERY(IMPORTRANGE(""https://docs.google.com/spreadsheets/d/1E4szPcLzsqlw4uyBAoJ61L1ChCgpz4wVP8tHfHW1g_c"",""BD M Sangrias!a:i""),""select Col6 where Col7 = 'Depositada' and Col9 = '""&amp;K364&amp;""' and Col6 ="&amp;" ""&amp;M364&amp;"" and Col4 = date '""&amp;YEAR(C364)&amp;""-""&amp;MONTH(C364)&amp;""-""&amp;DAY(C364)&amp;""'""))&gt;0,""Depositada"",if(sum(QUERY(IMPORTRANGE(""https://docs.google.com/spreadsheets/d/1EcLIvUgMoBC5as4ikW0wuQsGH5yVZ6cQ1y16qEfgPnk"",""BD M Sangrias!a:i""),""select Col6 whe"&amp;"re Col7 = 'Caixa Atendimento' and Col9 = '""&amp;K364&amp;""' and Col6 = ""&amp;M364&amp;"" and Col4 = date '""&amp;YEAR(C364)&amp;""-""&amp;MONTH(C364)&amp;""-""&amp;DAY(C364)&amp;""'""))&gt;0,""Caixa Atendimento"",""Caixa Sangria"")),""""),""Caixa Sangria"")"),"")</f>
        <v/>
      </c>
      <c r="M364" s="185" t="str">
        <f>IFERROR(__xludf.DUMMYFUNCTION("ifna(VALUE(REGEXEXTRACT(E364,""[0-9.]+[,]+[0-9]+"")))"),"")</f>
        <v/>
      </c>
      <c r="N364" s="185"/>
      <c r="O364" s="185"/>
      <c r="P364" s="185"/>
      <c r="Q364" s="185"/>
      <c r="R364" s="185"/>
      <c r="S364" s="185"/>
      <c r="T364" s="185"/>
      <c r="U364" s="185"/>
      <c r="V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184" t="str">
        <f>IFERROR(__xludf.DUMMYFUNCTION("ifna(IF(and(D365=""Saída"",J365=""Sangria""),if(sum(QUERY(IMPORTRANGE(""https://docs.google.com/spreadsheets/d/1E4szPcLzsqlw4uyBAoJ61L1ChCgpz4wVP8tHfHW1g_c"",""BD M Sangrias!a:i""),""select Col6 where Col7 = 'Depositada' and Col9 = '""&amp;K365&amp;""' and Col6 ="&amp;" ""&amp;M365&amp;"" and Col4 = date '""&amp;YEAR(C365)&amp;""-""&amp;MONTH(C365)&amp;""-""&amp;DAY(C365)&amp;""'""))&gt;0,""Depositada"",if(sum(QUERY(IMPORTRANGE(""https://docs.google.com/spreadsheets/d/1EcLIvUgMoBC5as4ikW0wuQsGH5yVZ6cQ1y16qEfgPnk"",""BD M Sangrias!a:i""),""select Col6 whe"&amp;"re Col7 = 'Caixa Atendimento' and Col9 = '""&amp;K365&amp;""' and Col6 = ""&amp;M365&amp;"" and Col4 = date '""&amp;YEAR(C365)&amp;""-""&amp;MONTH(C365)&amp;""-""&amp;DAY(C365)&amp;""'""))&gt;0,""Caixa Atendimento"",""Caixa Sangria"")),""""),""Caixa Sangria"")"),"")</f>
        <v/>
      </c>
      <c r="M365" s="185" t="str">
        <f>IFERROR(__xludf.DUMMYFUNCTION("ifna(VALUE(REGEXEXTRACT(E365,""[0-9.]+[,]+[0-9]+"")))"),"")</f>
        <v/>
      </c>
      <c r="N365" s="185"/>
      <c r="O365" s="185"/>
      <c r="P365" s="185"/>
      <c r="Q365" s="185"/>
      <c r="R365" s="185"/>
      <c r="S365" s="185"/>
      <c r="T365" s="185"/>
      <c r="U365" s="185"/>
      <c r="V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184" t="str">
        <f>IFERROR(__xludf.DUMMYFUNCTION("ifna(IF(and(D366=""Saída"",J366=""Sangria""),if(sum(QUERY(IMPORTRANGE(""https://docs.google.com/spreadsheets/d/1E4szPcLzsqlw4uyBAoJ61L1ChCgpz4wVP8tHfHW1g_c"",""BD M Sangrias!a:i""),""select Col6 where Col7 = 'Depositada' and Col9 = '""&amp;K366&amp;""' and Col6 ="&amp;" ""&amp;M366&amp;"" and Col4 = date '""&amp;YEAR(C366)&amp;""-""&amp;MONTH(C366)&amp;""-""&amp;DAY(C366)&amp;""'""))&gt;0,""Depositada"",if(sum(QUERY(IMPORTRANGE(""https://docs.google.com/spreadsheets/d/1EcLIvUgMoBC5as4ikW0wuQsGH5yVZ6cQ1y16qEfgPnk"",""BD M Sangrias!a:i""),""select Col6 whe"&amp;"re Col7 = 'Caixa Atendimento' and Col9 = '""&amp;K366&amp;""' and Col6 = ""&amp;M366&amp;"" and Col4 = date '""&amp;YEAR(C366)&amp;""-""&amp;MONTH(C366)&amp;""-""&amp;DAY(C366)&amp;""'""))&gt;0,""Caixa Atendimento"",""Caixa Sangria"")),""""),""Caixa Sangria"")"),"")</f>
        <v/>
      </c>
      <c r="M366" s="185" t="str">
        <f>IFERROR(__xludf.DUMMYFUNCTION("ifna(VALUE(REGEXEXTRACT(E366,""[0-9.]+[,]+[0-9]+"")))"),"")</f>
        <v/>
      </c>
      <c r="N366" s="185"/>
      <c r="O366" s="185"/>
      <c r="P366" s="185"/>
      <c r="Q366" s="185"/>
      <c r="R366" s="185"/>
      <c r="S366" s="185"/>
      <c r="T366" s="185"/>
      <c r="U366" s="185"/>
      <c r="V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184" t="str">
        <f>IFERROR(__xludf.DUMMYFUNCTION("ifna(IF(and(D367=""Saída"",J367=""Sangria""),if(sum(QUERY(IMPORTRANGE(""https://docs.google.com/spreadsheets/d/1E4szPcLzsqlw4uyBAoJ61L1ChCgpz4wVP8tHfHW1g_c"",""BD M Sangrias!a:i""),""select Col6 where Col7 = 'Depositada' and Col9 = '""&amp;K367&amp;""' and Col6 ="&amp;" ""&amp;M367&amp;"" and Col4 = date '""&amp;YEAR(C367)&amp;""-""&amp;MONTH(C367)&amp;""-""&amp;DAY(C367)&amp;""'""))&gt;0,""Depositada"",if(sum(QUERY(IMPORTRANGE(""https://docs.google.com/spreadsheets/d/1EcLIvUgMoBC5as4ikW0wuQsGH5yVZ6cQ1y16qEfgPnk"",""BD M Sangrias!a:i""),""select Col6 whe"&amp;"re Col7 = 'Caixa Atendimento' and Col9 = '""&amp;K367&amp;""' and Col6 = ""&amp;M367&amp;"" and Col4 = date '""&amp;YEAR(C367)&amp;""-""&amp;MONTH(C367)&amp;""-""&amp;DAY(C367)&amp;""'""))&gt;0,""Caixa Atendimento"",""Caixa Sangria"")),""""),""Caixa Sangria"")"),"")</f>
        <v/>
      </c>
      <c r="M367" s="185" t="str">
        <f>IFERROR(__xludf.DUMMYFUNCTION("ifna(VALUE(REGEXEXTRACT(E367,""[0-9.]+[,]+[0-9]+"")))"),"")</f>
        <v/>
      </c>
      <c r="N367" s="185"/>
      <c r="O367" s="185"/>
      <c r="P367" s="185"/>
      <c r="Q367" s="185"/>
      <c r="R367" s="185"/>
      <c r="S367" s="185"/>
      <c r="T367" s="185"/>
      <c r="U367" s="185"/>
      <c r="V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184" t="str">
        <f>IFERROR(__xludf.DUMMYFUNCTION("ifna(IF(and(D368=""Saída"",J368=""Sangria""),if(sum(QUERY(IMPORTRANGE(""https://docs.google.com/spreadsheets/d/1E4szPcLzsqlw4uyBAoJ61L1ChCgpz4wVP8tHfHW1g_c"",""BD M Sangrias!a:i""),""select Col6 where Col7 = 'Depositada' and Col9 = '""&amp;K368&amp;""' and Col6 ="&amp;" ""&amp;M368&amp;"" and Col4 = date '""&amp;YEAR(C368)&amp;""-""&amp;MONTH(C368)&amp;""-""&amp;DAY(C368)&amp;""'""))&gt;0,""Depositada"",if(sum(QUERY(IMPORTRANGE(""https://docs.google.com/spreadsheets/d/1EcLIvUgMoBC5as4ikW0wuQsGH5yVZ6cQ1y16qEfgPnk"",""BD M Sangrias!a:i""),""select Col6 whe"&amp;"re Col7 = 'Caixa Atendimento' and Col9 = '""&amp;K368&amp;""' and Col6 = ""&amp;M368&amp;"" and Col4 = date '""&amp;YEAR(C368)&amp;""-""&amp;MONTH(C368)&amp;""-""&amp;DAY(C368)&amp;""'""))&gt;0,""Caixa Atendimento"",""Caixa Sangria"")),""""),""Caixa Sangria"")"),"")</f>
        <v/>
      </c>
      <c r="M368" s="185" t="str">
        <f>IFERROR(__xludf.DUMMYFUNCTION("ifna(VALUE(REGEXEXTRACT(E368,""[0-9.]+[,]+[0-9]+"")))"),"")</f>
        <v/>
      </c>
      <c r="N368" s="185"/>
      <c r="O368" s="185"/>
      <c r="P368" s="185"/>
      <c r="Q368" s="185"/>
      <c r="R368" s="185"/>
      <c r="S368" s="185"/>
      <c r="T368" s="185"/>
      <c r="U368" s="185"/>
      <c r="V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184" t="str">
        <f>IFERROR(__xludf.DUMMYFUNCTION("ifna(IF(and(D369=""Saída"",J369=""Sangria""),if(sum(QUERY(IMPORTRANGE(""https://docs.google.com/spreadsheets/d/1E4szPcLzsqlw4uyBAoJ61L1ChCgpz4wVP8tHfHW1g_c"",""BD M Sangrias!a:i""),""select Col6 where Col7 = 'Depositada' and Col9 = '""&amp;K369&amp;""' and Col6 ="&amp;" ""&amp;M369&amp;"" and Col4 = date '""&amp;YEAR(C369)&amp;""-""&amp;MONTH(C369)&amp;""-""&amp;DAY(C369)&amp;""'""))&gt;0,""Depositada"",if(sum(QUERY(IMPORTRANGE(""https://docs.google.com/spreadsheets/d/1EcLIvUgMoBC5as4ikW0wuQsGH5yVZ6cQ1y16qEfgPnk"",""BD M Sangrias!a:i""),""select Col6 whe"&amp;"re Col7 = 'Caixa Atendimento' and Col9 = '""&amp;K369&amp;""' and Col6 = ""&amp;M369&amp;"" and Col4 = date '""&amp;YEAR(C369)&amp;""-""&amp;MONTH(C369)&amp;""-""&amp;DAY(C369)&amp;""'""))&gt;0,""Caixa Atendimento"",""Caixa Sangria"")),""""),""Caixa Sangria"")"),"")</f>
        <v/>
      </c>
      <c r="M369" s="185" t="str">
        <f>IFERROR(__xludf.DUMMYFUNCTION("ifna(VALUE(REGEXEXTRACT(E369,""[0-9.]+[,]+[0-9]+"")))"),"")</f>
        <v/>
      </c>
      <c r="N369" s="185"/>
      <c r="O369" s="185"/>
      <c r="P369" s="185"/>
      <c r="Q369" s="185"/>
      <c r="R369" s="185"/>
      <c r="S369" s="185"/>
      <c r="T369" s="185"/>
      <c r="U369" s="185"/>
      <c r="V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184" t="str">
        <f>IFERROR(__xludf.DUMMYFUNCTION("ifna(IF(and(D370=""Saída"",J370=""Sangria""),if(sum(QUERY(IMPORTRANGE(""https://docs.google.com/spreadsheets/d/1E4szPcLzsqlw4uyBAoJ61L1ChCgpz4wVP8tHfHW1g_c"",""BD M Sangrias!a:i""),""select Col6 where Col7 = 'Depositada' and Col9 = '""&amp;K370&amp;""' and Col6 ="&amp;" ""&amp;M370&amp;"" and Col4 = date '""&amp;YEAR(C370)&amp;""-""&amp;MONTH(C370)&amp;""-""&amp;DAY(C370)&amp;""'""))&gt;0,""Depositada"",if(sum(QUERY(IMPORTRANGE(""https://docs.google.com/spreadsheets/d/1EcLIvUgMoBC5as4ikW0wuQsGH5yVZ6cQ1y16qEfgPnk"",""BD M Sangrias!a:i""),""select Col6 whe"&amp;"re Col7 = 'Caixa Atendimento' and Col9 = '""&amp;K370&amp;""' and Col6 = ""&amp;M370&amp;"" and Col4 = date '""&amp;YEAR(C370)&amp;""-""&amp;MONTH(C370)&amp;""-""&amp;DAY(C370)&amp;""'""))&gt;0,""Caixa Atendimento"",""Caixa Sangria"")),""""),""Caixa Sangria"")"),"")</f>
        <v/>
      </c>
      <c r="M370" s="185" t="str">
        <f>IFERROR(__xludf.DUMMYFUNCTION("ifna(VALUE(REGEXEXTRACT(E370,""[0-9.]+[,]+[0-9]+"")))"),"")</f>
        <v/>
      </c>
      <c r="N370" s="185"/>
      <c r="O370" s="185"/>
      <c r="P370" s="185"/>
      <c r="Q370" s="185"/>
      <c r="R370" s="185"/>
      <c r="S370" s="185"/>
      <c r="T370" s="185"/>
      <c r="U370" s="185"/>
      <c r="V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184" t="str">
        <f>IFERROR(__xludf.DUMMYFUNCTION("ifna(IF(and(D371=""Saída"",J371=""Sangria""),if(sum(QUERY(IMPORTRANGE(""https://docs.google.com/spreadsheets/d/1E4szPcLzsqlw4uyBAoJ61L1ChCgpz4wVP8tHfHW1g_c"",""BD M Sangrias!a:i""),""select Col6 where Col7 = 'Depositada' and Col9 = '""&amp;K371&amp;""' and Col6 ="&amp;" ""&amp;M371&amp;"" and Col4 = date '""&amp;YEAR(C371)&amp;""-""&amp;MONTH(C371)&amp;""-""&amp;DAY(C371)&amp;""'""))&gt;0,""Depositada"",if(sum(QUERY(IMPORTRANGE(""https://docs.google.com/spreadsheets/d/1EcLIvUgMoBC5as4ikW0wuQsGH5yVZ6cQ1y16qEfgPnk"",""BD M Sangrias!a:i""),""select Col6 whe"&amp;"re Col7 = 'Caixa Atendimento' and Col9 = '""&amp;K371&amp;""' and Col6 = ""&amp;M371&amp;"" and Col4 = date '""&amp;YEAR(C371)&amp;""-""&amp;MONTH(C371)&amp;""-""&amp;DAY(C371)&amp;""'""))&gt;0,""Caixa Atendimento"",""Caixa Sangria"")),""""),""Caixa Sangria"")"),"")</f>
        <v/>
      </c>
      <c r="M371" s="185" t="str">
        <f>IFERROR(__xludf.DUMMYFUNCTION("ifna(VALUE(REGEXEXTRACT(E371,""[0-9.]+[,]+[0-9]+"")))"),"")</f>
        <v/>
      </c>
      <c r="N371" s="185"/>
      <c r="O371" s="185"/>
      <c r="P371" s="185"/>
      <c r="Q371" s="185"/>
      <c r="R371" s="185"/>
      <c r="S371" s="185"/>
      <c r="T371" s="185"/>
      <c r="U371" s="185"/>
      <c r="V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184" t="str">
        <f>IFERROR(__xludf.DUMMYFUNCTION("ifna(IF(and(D372=""Saída"",J372=""Sangria""),if(sum(QUERY(IMPORTRANGE(""https://docs.google.com/spreadsheets/d/1E4szPcLzsqlw4uyBAoJ61L1ChCgpz4wVP8tHfHW1g_c"",""BD M Sangrias!a:i""),""select Col6 where Col7 = 'Depositada' and Col9 = '""&amp;K372&amp;""' and Col6 ="&amp;" ""&amp;M372&amp;"" and Col4 = date '""&amp;YEAR(C372)&amp;""-""&amp;MONTH(C372)&amp;""-""&amp;DAY(C372)&amp;""'""))&gt;0,""Depositada"",if(sum(QUERY(IMPORTRANGE(""https://docs.google.com/spreadsheets/d/1EcLIvUgMoBC5as4ikW0wuQsGH5yVZ6cQ1y16qEfgPnk"",""BD M Sangrias!a:i""),""select Col6 whe"&amp;"re Col7 = 'Caixa Atendimento' and Col9 = '""&amp;K372&amp;""' and Col6 = ""&amp;M372&amp;"" and Col4 = date '""&amp;YEAR(C372)&amp;""-""&amp;MONTH(C372)&amp;""-""&amp;DAY(C372)&amp;""'""))&gt;0,""Caixa Atendimento"",""Caixa Sangria"")),""""),""Caixa Sangria"")"),"")</f>
        <v/>
      </c>
      <c r="M372" s="185" t="str">
        <f>IFERROR(__xludf.DUMMYFUNCTION("ifna(VALUE(REGEXEXTRACT(E372,""[0-9.]+[,]+[0-9]+"")))"),"")</f>
        <v/>
      </c>
      <c r="N372" s="185"/>
      <c r="O372" s="185"/>
      <c r="P372" s="185"/>
      <c r="Q372" s="185"/>
      <c r="R372" s="185"/>
      <c r="S372" s="185"/>
      <c r="T372" s="185"/>
      <c r="U372" s="185"/>
      <c r="V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184" t="str">
        <f>IFERROR(__xludf.DUMMYFUNCTION("ifna(IF(and(D373=""Saída"",J373=""Sangria""),if(sum(QUERY(IMPORTRANGE(""https://docs.google.com/spreadsheets/d/1E4szPcLzsqlw4uyBAoJ61L1ChCgpz4wVP8tHfHW1g_c"",""BD M Sangrias!a:i""),""select Col6 where Col7 = 'Depositada' and Col9 = '""&amp;K373&amp;""' and Col6 ="&amp;" ""&amp;M373&amp;"" and Col4 = date '""&amp;YEAR(C373)&amp;""-""&amp;MONTH(C373)&amp;""-""&amp;DAY(C373)&amp;""'""))&gt;0,""Depositada"",if(sum(QUERY(IMPORTRANGE(""https://docs.google.com/spreadsheets/d/1EcLIvUgMoBC5as4ikW0wuQsGH5yVZ6cQ1y16qEfgPnk"",""BD M Sangrias!a:i""),""select Col6 whe"&amp;"re Col7 = 'Caixa Atendimento' and Col9 = '""&amp;K373&amp;""' and Col6 = ""&amp;M373&amp;"" and Col4 = date '""&amp;YEAR(C373)&amp;""-""&amp;MONTH(C373)&amp;""-""&amp;DAY(C373)&amp;""'""))&gt;0,""Caixa Atendimento"",""Caixa Sangria"")),""""),""Caixa Sangria"")"),"")</f>
        <v/>
      </c>
      <c r="M373" s="185" t="str">
        <f>IFERROR(__xludf.DUMMYFUNCTION("ifna(VALUE(REGEXEXTRACT(E373,""[0-9.]+[,]+[0-9]+"")))"),"")</f>
        <v/>
      </c>
      <c r="N373" s="185"/>
      <c r="O373" s="185"/>
      <c r="P373" s="185"/>
      <c r="Q373" s="185"/>
      <c r="R373" s="185"/>
      <c r="S373" s="185"/>
      <c r="T373" s="185"/>
      <c r="U373" s="185"/>
      <c r="V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184" t="str">
        <f>IFERROR(__xludf.DUMMYFUNCTION("ifna(IF(and(D374=""Saída"",J374=""Sangria""),if(sum(QUERY(IMPORTRANGE(""https://docs.google.com/spreadsheets/d/1E4szPcLzsqlw4uyBAoJ61L1ChCgpz4wVP8tHfHW1g_c"",""BD M Sangrias!a:i""),""select Col6 where Col7 = 'Depositada' and Col9 = '""&amp;K374&amp;""' and Col6 ="&amp;" ""&amp;M374&amp;"" and Col4 = date '""&amp;YEAR(C374)&amp;""-""&amp;MONTH(C374)&amp;""-""&amp;DAY(C374)&amp;""'""))&gt;0,""Depositada"",if(sum(QUERY(IMPORTRANGE(""https://docs.google.com/spreadsheets/d/1EcLIvUgMoBC5as4ikW0wuQsGH5yVZ6cQ1y16qEfgPnk"",""BD M Sangrias!a:i""),""select Col6 whe"&amp;"re Col7 = 'Caixa Atendimento' and Col9 = '""&amp;K374&amp;""' and Col6 = ""&amp;M374&amp;"" and Col4 = date '""&amp;YEAR(C374)&amp;""-""&amp;MONTH(C374)&amp;""-""&amp;DAY(C374)&amp;""'""))&gt;0,""Caixa Atendimento"",""Caixa Sangria"")),""""),""Caixa Sangria"")"),"")</f>
        <v/>
      </c>
      <c r="M374" s="185" t="str">
        <f>IFERROR(__xludf.DUMMYFUNCTION("ifna(VALUE(REGEXEXTRACT(E374,""[0-9.]+[,]+[0-9]+"")))"),"")</f>
        <v/>
      </c>
      <c r="N374" s="185"/>
      <c r="O374" s="185"/>
      <c r="P374" s="185"/>
      <c r="Q374" s="185"/>
      <c r="R374" s="185"/>
      <c r="S374" s="185"/>
      <c r="T374" s="185"/>
      <c r="U374" s="185"/>
      <c r="V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184" t="str">
        <f>IFERROR(__xludf.DUMMYFUNCTION("ifna(IF(and(D375=""Saída"",J375=""Sangria""),if(sum(QUERY(IMPORTRANGE(""https://docs.google.com/spreadsheets/d/1E4szPcLzsqlw4uyBAoJ61L1ChCgpz4wVP8tHfHW1g_c"",""BD M Sangrias!a:i""),""select Col6 where Col7 = 'Depositada' and Col9 = '""&amp;K375&amp;""' and Col6 ="&amp;" ""&amp;M375&amp;"" and Col4 = date '""&amp;YEAR(C375)&amp;""-""&amp;MONTH(C375)&amp;""-""&amp;DAY(C375)&amp;""'""))&gt;0,""Depositada"",if(sum(QUERY(IMPORTRANGE(""https://docs.google.com/spreadsheets/d/1EcLIvUgMoBC5as4ikW0wuQsGH5yVZ6cQ1y16qEfgPnk"",""BD M Sangrias!a:i""),""select Col6 whe"&amp;"re Col7 = 'Caixa Atendimento' and Col9 = '""&amp;K375&amp;""' and Col6 = ""&amp;M375&amp;"" and Col4 = date '""&amp;YEAR(C375)&amp;""-""&amp;MONTH(C375)&amp;""-""&amp;DAY(C375)&amp;""'""))&gt;0,""Caixa Atendimento"",""Caixa Sangria"")),""""),""Caixa Sangria"")"),"")</f>
        <v/>
      </c>
      <c r="M375" s="185" t="str">
        <f>IFERROR(__xludf.DUMMYFUNCTION("ifna(VALUE(REGEXEXTRACT(E375,""[0-9.]+[,]+[0-9]+"")))"),"")</f>
        <v/>
      </c>
      <c r="N375" s="185"/>
      <c r="O375" s="185"/>
      <c r="P375" s="185"/>
      <c r="Q375" s="185"/>
      <c r="R375" s="185"/>
      <c r="S375" s="185"/>
      <c r="T375" s="185"/>
      <c r="U375" s="185"/>
      <c r="V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184" t="str">
        <f>IFERROR(__xludf.DUMMYFUNCTION("ifna(IF(and(D376=""Saída"",J376=""Sangria""),if(sum(QUERY(IMPORTRANGE(""https://docs.google.com/spreadsheets/d/1E4szPcLzsqlw4uyBAoJ61L1ChCgpz4wVP8tHfHW1g_c"",""BD M Sangrias!a:i""),""select Col6 where Col7 = 'Depositada' and Col9 = '""&amp;K376&amp;""' and Col6 ="&amp;" ""&amp;M376&amp;"" and Col4 = date '""&amp;YEAR(C376)&amp;""-""&amp;MONTH(C376)&amp;""-""&amp;DAY(C376)&amp;""'""))&gt;0,""Depositada"",if(sum(QUERY(IMPORTRANGE(""https://docs.google.com/spreadsheets/d/1EcLIvUgMoBC5as4ikW0wuQsGH5yVZ6cQ1y16qEfgPnk"",""BD M Sangrias!a:i""),""select Col6 whe"&amp;"re Col7 = 'Caixa Atendimento' and Col9 = '""&amp;K376&amp;""' and Col6 = ""&amp;M376&amp;"" and Col4 = date '""&amp;YEAR(C376)&amp;""-""&amp;MONTH(C376)&amp;""-""&amp;DAY(C376)&amp;""'""))&gt;0,""Caixa Atendimento"",""Caixa Sangria"")),""""),""Caixa Sangria"")"),"")</f>
        <v/>
      </c>
      <c r="M376" s="185" t="str">
        <f>IFERROR(__xludf.DUMMYFUNCTION("ifna(VALUE(REGEXEXTRACT(E376,""[0-9.]+[,]+[0-9]+"")))"),"")</f>
        <v/>
      </c>
      <c r="N376" s="185"/>
      <c r="O376" s="185"/>
      <c r="P376" s="185"/>
      <c r="Q376" s="185"/>
      <c r="R376" s="185"/>
      <c r="S376" s="185"/>
      <c r="T376" s="185"/>
      <c r="U376" s="185"/>
      <c r="V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184" t="str">
        <f>IFERROR(__xludf.DUMMYFUNCTION("ifna(IF(and(D377=""Saída"",J377=""Sangria""),if(sum(QUERY(IMPORTRANGE(""https://docs.google.com/spreadsheets/d/1E4szPcLzsqlw4uyBAoJ61L1ChCgpz4wVP8tHfHW1g_c"",""BD M Sangrias!a:i""),""select Col6 where Col7 = 'Depositada' and Col9 = '""&amp;K377&amp;""' and Col6 ="&amp;" ""&amp;M377&amp;"" and Col4 = date '""&amp;YEAR(C377)&amp;""-""&amp;MONTH(C377)&amp;""-""&amp;DAY(C377)&amp;""'""))&gt;0,""Depositada"",if(sum(QUERY(IMPORTRANGE(""https://docs.google.com/spreadsheets/d/1EcLIvUgMoBC5as4ikW0wuQsGH5yVZ6cQ1y16qEfgPnk"",""BD M Sangrias!a:i""),""select Col6 whe"&amp;"re Col7 = 'Caixa Atendimento' and Col9 = '""&amp;K377&amp;""' and Col6 = ""&amp;M377&amp;"" and Col4 = date '""&amp;YEAR(C377)&amp;""-""&amp;MONTH(C377)&amp;""-""&amp;DAY(C377)&amp;""'""))&gt;0,""Caixa Atendimento"",""Caixa Sangria"")),""""),""Caixa Sangria"")"),"")</f>
        <v/>
      </c>
      <c r="M377" s="185" t="str">
        <f>IFERROR(__xludf.DUMMYFUNCTION("ifna(VALUE(REGEXEXTRACT(E377,""[0-9.]+[,]+[0-9]+"")))"),"")</f>
        <v/>
      </c>
      <c r="N377" s="185"/>
      <c r="O377" s="185"/>
      <c r="P377" s="185"/>
      <c r="Q377" s="185"/>
      <c r="R377" s="185"/>
      <c r="S377" s="185"/>
      <c r="T377" s="185"/>
      <c r="U377" s="185"/>
      <c r="V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184" t="str">
        <f>IFERROR(__xludf.DUMMYFUNCTION("ifna(IF(and(D378=""Saída"",J378=""Sangria""),if(sum(QUERY(IMPORTRANGE(""https://docs.google.com/spreadsheets/d/1E4szPcLzsqlw4uyBAoJ61L1ChCgpz4wVP8tHfHW1g_c"",""BD M Sangrias!a:i""),""select Col6 where Col7 = 'Depositada' and Col9 = '""&amp;K378&amp;""' and Col6 ="&amp;" ""&amp;M378&amp;"" and Col4 = date '""&amp;YEAR(C378)&amp;""-""&amp;MONTH(C378)&amp;""-""&amp;DAY(C378)&amp;""'""))&gt;0,""Depositada"",if(sum(QUERY(IMPORTRANGE(""https://docs.google.com/spreadsheets/d/1EcLIvUgMoBC5as4ikW0wuQsGH5yVZ6cQ1y16qEfgPnk"",""BD M Sangrias!a:i""),""select Col6 whe"&amp;"re Col7 = 'Caixa Atendimento' and Col9 = '""&amp;K378&amp;""' and Col6 = ""&amp;M378&amp;"" and Col4 = date '""&amp;YEAR(C378)&amp;""-""&amp;MONTH(C378)&amp;""-""&amp;DAY(C378)&amp;""'""))&gt;0,""Caixa Atendimento"",""Caixa Sangria"")),""""),""Caixa Sangria"")"),"")</f>
        <v/>
      </c>
      <c r="M378" s="185" t="str">
        <f>IFERROR(__xludf.DUMMYFUNCTION("ifna(VALUE(REGEXEXTRACT(E378,""[0-9.]+[,]+[0-9]+"")))"),"")</f>
        <v/>
      </c>
      <c r="N378" s="185"/>
      <c r="O378" s="185"/>
      <c r="P378" s="185"/>
      <c r="Q378" s="185"/>
      <c r="R378" s="185"/>
      <c r="S378" s="185"/>
      <c r="T378" s="185"/>
      <c r="U378" s="185"/>
      <c r="V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184" t="str">
        <f>IFERROR(__xludf.DUMMYFUNCTION("ifna(IF(and(D379=""Saída"",J379=""Sangria""),if(sum(QUERY(IMPORTRANGE(""https://docs.google.com/spreadsheets/d/1E4szPcLzsqlw4uyBAoJ61L1ChCgpz4wVP8tHfHW1g_c"",""BD M Sangrias!a:i""),""select Col6 where Col7 = 'Depositada' and Col9 = '""&amp;K379&amp;""' and Col6 ="&amp;" ""&amp;M379&amp;"" and Col4 = date '""&amp;YEAR(C379)&amp;""-""&amp;MONTH(C379)&amp;""-""&amp;DAY(C379)&amp;""'""))&gt;0,""Depositada"",if(sum(QUERY(IMPORTRANGE(""https://docs.google.com/spreadsheets/d/1EcLIvUgMoBC5as4ikW0wuQsGH5yVZ6cQ1y16qEfgPnk"",""BD M Sangrias!a:i""),""select Col6 whe"&amp;"re Col7 = 'Caixa Atendimento' and Col9 = '""&amp;K379&amp;""' and Col6 = ""&amp;M379&amp;"" and Col4 = date '""&amp;YEAR(C379)&amp;""-""&amp;MONTH(C379)&amp;""-""&amp;DAY(C379)&amp;""'""))&gt;0,""Caixa Atendimento"",""Caixa Sangria"")),""""),""Caixa Sangria"")"),"")</f>
        <v/>
      </c>
      <c r="M379" s="185" t="str">
        <f>IFERROR(__xludf.DUMMYFUNCTION("ifna(VALUE(REGEXEXTRACT(E379,""[0-9.]+[,]+[0-9]+"")))"),"")</f>
        <v/>
      </c>
      <c r="N379" s="185"/>
      <c r="O379" s="185"/>
      <c r="P379" s="185"/>
      <c r="Q379" s="185"/>
      <c r="R379" s="185"/>
      <c r="S379" s="185"/>
      <c r="T379" s="185"/>
      <c r="U379" s="185"/>
      <c r="V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184" t="str">
        <f>IFERROR(__xludf.DUMMYFUNCTION("ifna(IF(and(D380=""Saída"",J380=""Sangria""),if(sum(QUERY(IMPORTRANGE(""https://docs.google.com/spreadsheets/d/1E4szPcLzsqlw4uyBAoJ61L1ChCgpz4wVP8tHfHW1g_c"",""BD M Sangrias!a:i""),""select Col6 where Col7 = 'Depositada' and Col9 = '""&amp;K380&amp;""' and Col6 ="&amp;" ""&amp;M380&amp;"" and Col4 = date '""&amp;YEAR(C380)&amp;""-""&amp;MONTH(C380)&amp;""-""&amp;DAY(C380)&amp;""'""))&gt;0,""Depositada"",if(sum(QUERY(IMPORTRANGE(""https://docs.google.com/spreadsheets/d/1EcLIvUgMoBC5as4ikW0wuQsGH5yVZ6cQ1y16qEfgPnk"",""BD M Sangrias!a:i""),""select Col6 whe"&amp;"re Col7 = 'Caixa Atendimento' and Col9 = '""&amp;K380&amp;""' and Col6 = ""&amp;M380&amp;"" and Col4 = date '""&amp;YEAR(C380)&amp;""-""&amp;MONTH(C380)&amp;""-""&amp;DAY(C380)&amp;""'""))&gt;0,""Caixa Atendimento"",""Caixa Sangria"")),""""),""Caixa Sangria"")"),"")</f>
        <v/>
      </c>
      <c r="M380" s="185" t="str">
        <f>IFERROR(__xludf.DUMMYFUNCTION("ifna(VALUE(REGEXEXTRACT(E380,""[0-9.]+[,]+[0-9]+"")))"),"")</f>
        <v/>
      </c>
      <c r="N380" s="185"/>
      <c r="O380" s="185"/>
      <c r="P380" s="185"/>
      <c r="Q380" s="185"/>
      <c r="R380" s="185"/>
      <c r="S380" s="185"/>
      <c r="T380" s="185"/>
      <c r="U380" s="185"/>
      <c r="V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184" t="str">
        <f>IFERROR(__xludf.DUMMYFUNCTION("ifna(IF(and(D381=""Saída"",J381=""Sangria""),if(sum(QUERY(IMPORTRANGE(""https://docs.google.com/spreadsheets/d/1E4szPcLzsqlw4uyBAoJ61L1ChCgpz4wVP8tHfHW1g_c"",""BD M Sangrias!a:i""),""select Col6 where Col7 = 'Depositada' and Col9 = '""&amp;K381&amp;""' and Col6 ="&amp;" ""&amp;M381&amp;"" and Col4 = date '""&amp;YEAR(C381)&amp;""-""&amp;MONTH(C381)&amp;""-""&amp;DAY(C381)&amp;""'""))&gt;0,""Depositada"",if(sum(QUERY(IMPORTRANGE(""https://docs.google.com/spreadsheets/d/1EcLIvUgMoBC5as4ikW0wuQsGH5yVZ6cQ1y16qEfgPnk"",""BD M Sangrias!a:i""),""select Col6 whe"&amp;"re Col7 = 'Caixa Atendimento' and Col9 = '""&amp;K381&amp;""' and Col6 = ""&amp;M381&amp;"" and Col4 = date '""&amp;YEAR(C381)&amp;""-""&amp;MONTH(C381)&amp;""-""&amp;DAY(C381)&amp;""'""))&gt;0,""Caixa Atendimento"",""Caixa Sangria"")),""""),""Caixa Sangria"")"),"")</f>
        <v/>
      </c>
      <c r="M381" s="185" t="str">
        <f>IFERROR(__xludf.DUMMYFUNCTION("ifna(VALUE(REGEXEXTRACT(E381,""[0-9.]+[,]+[0-9]+"")))"),"")</f>
        <v/>
      </c>
      <c r="N381" s="185"/>
      <c r="O381" s="185"/>
      <c r="P381" s="185"/>
      <c r="Q381" s="185"/>
      <c r="R381" s="185"/>
      <c r="S381" s="185"/>
      <c r="T381" s="185"/>
      <c r="U381" s="185"/>
      <c r="V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184" t="str">
        <f>IFERROR(__xludf.DUMMYFUNCTION("ifna(IF(and(D382=""Saída"",J382=""Sangria""),if(sum(QUERY(IMPORTRANGE(""https://docs.google.com/spreadsheets/d/1E4szPcLzsqlw4uyBAoJ61L1ChCgpz4wVP8tHfHW1g_c"",""BD M Sangrias!a:i""),""select Col6 where Col7 = 'Depositada' and Col9 = '""&amp;K382&amp;""' and Col6 ="&amp;" ""&amp;M382&amp;"" and Col4 = date '""&amp;YEAR(C382)&amp;""-""&amp;MONTH(C382)&amp;""-""&amp;DAY(C382)&amp;""'""))&gt;0,""Depositada"",if(sum(QUERY(IMPORTRANGE(""https://docs.google.com/spreadsheets/d/1EcLIvUgMoBC5as4ikW0wuQsGH5yVZ6cQ1y16qEfgPnk"",""BD M Sangrias!a:i""),""select Col6 whe"&amp;"re Col7 = 'Caixa Atendimento' and Col9 = '""&amp;K382&amp;""' and Col6 = ""&amp;M382&amp;"" and Col4 = date '""&amp;YEAR(C382)&amp;""-""&amp;MONTH(C382)&amp;""-""&amp;DAY(C382)&amp;""'""))&gt;0,""Caixa Atendimento"",""Caixa Sangria"")),""""),""Caixa Sangria"")"),"")</f>
        <v/>
      </c>
      <c r="M382" s="185" t="str">
        <f>IFERROR(__xludf.DUMMYFUNCTION("ifna(VALUE(REGEXEXTRACT(E382,""[0-9.]+[,]+[0-9]+"")))"),"")</f>
        <v/>
      </c>
      <c r="N382" s="185"/>
      <c r="O382" s="185"/>
      <c r="P382" s="185"/>
      <c r="Q382" s="185"/>
      <c r="R382" s="185"/>
      <c r="S382" s="185"/>
      <c r="T382" s="185"/>
      <c r="U382" s="185"/>
      <c r="V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184" t="str">
        <f>IFERROR(__xludf.DUMMYFUNCTION("ifna(IF(and(D383=""Saída"",J383=""Sangria""),if(sum(QUERY(IMPORTRANGE(""https://docs.google.com/spreadsheets/d/1E4szPcLzsqlw4uyBAoJ61L1ChCgpz4wVP8tHfHW1g_c"",""BD M Sangrias!a:i""),""select Col6 where Col7 = 'Depositada' and Col9 = '""&amp;K383&amp;""' and Col6 ="&amp;" ""&amp;M383&amp;"" and Col4 = date '""&amp;YEAR(C383)&amp;""-""&amp;MONTH(C383)&amp;""-""&amp;DAY(C383)&amp;""'""))&gt;0,""Depositada"",if(sum(QUERY(IMPORTRANGE(""https://docs.google.com/spreadsheets/d/1EcLIvUgMoBC5as4ikW0wuQsGH5yVZ6cQ1y16qEfgPnk"",""BD M Sangrias!a:i""),""select Col6 whe"&amp;"re Col7 = 'Caixa Atendimento' and Col9 = '""&amp;K383&amp;""' and Col6 = ""&amp;M383&amp;"" and Col4 = date '""&amp;YEAR(C383)&amp;""-""&amp;MONTH(C383)&amp;""-""&amp;DAY(C383)&amp;""'""))&gt;0,""Caixa Atendimento"",""Caixa Sangria"")),""""),""Caixa Sangria"")"),"")</f>
        <v/>
      </c>
      <c r="M383" s="185" t="str">
        <f>IFERROR(__xludf.DUMMYFUNCTION("ifna(VALUE(REGEXEXTRACT(E383,""[0-9.]+[,]+[0-9]+"")))"),"")</f>
        <v/>
      </c>
      <c r="N383" s="185"/>
      <c r="O383" s="185"/>
      <c r="P383" s="185"/>
      <c r="Q383" s="185"/>
      <c r="R383" s="185"/>
      <c r="S383" s="185"/>
      <c r="T383" s="185"/>
      <c r="U383" s="185"/>
      <c r="V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184" t="str">
        <f>IFERROR(__xludf.DUMMYFUNCTION("ifna(IF(and(D384=""Saída"",J384=""Sangria""),if(sum(QUERY(IMPORTRANGE(""https://docs.google.com/spreadsheets/d/1E4szPcLzsqlw4uyBAoJ61L1ChCgpz4wVP8tHfHW1g_c"",""BD M Sangrias!a:i""),""select Col6 where Col7 = 'Depositada' and Col9 = '""&amp;K384&amp;""' and Col6 ="&amp;" ""&amp;M384&amp;"" and Col4 = date '""&amp;YEAR(C384)&amp;""-""&amp;MONTH(C384)&amp;""-""&amp;DAY(C384)&amp;""'""))&gt;0,""Depositada"",if(sum(QUERY(IMPORTRANGE(""https://docs.google.com/spreadsheets/d/1EcLIvUgMoBC5as4ikW0wuQsGH5yVZ6cQ1y16qEfgPnk"",""BD M Sangrias!a:i""),""select Col6 whe"&amp;"re Col7 = 'Caixa Atendimento' and Col9 = '""&amp;K384&amp;""' and Col6 = ""&amp;M384&amp;"" and Col4 = date '""&amp;YEAR(C384)&amp;""-""&amp;MONTH(C384)&amp;""-""&amp;DAY(C384)&amp;""'""))&gt;0,""Caixa Atendimento"",""Caixa Sangria"")),""""),""Caixa Sangria"")"),"")</f>
        <v/>
      </c>
      <c r="M384" s="185" t="str">
        <f>IFERROR(__xludf.DUMMYFUNCTION("ifna(VALUE(REGEXEXTRACT(E384,""[0-9.]+[,]+[0-9]+"")))"),"")</f>
        <v/>
      </c>
      <c r="N384" s="185"/>
      <c r="O384" s="185"/>
      <c r="P384" s="185"/>
      <c r="Q384" s="185"/>
      <c r="R384" s="185"/>
      <c r="S384" s="185"/>
      <c r="T384" s="185"/>
      <c r="U384" s="185"/>
      <c r="V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184" t="str">
        <f>IFERROR(__xludf.DUMMYFUNCTION("ifna(IF(and(D385=""Saída"",J385=""Sangria""),if(sum(QUERY(IMPORTRANGE(""https://docs.google.com/spreadsheets/d/1E4szPcLzsqlw4uyBAoJ61L1ChCgpz4wVP8tHfHW1g_c"",""BD M Sangrias!a:i""),""select Col6 where Col7 = 'Depositada' and Col9 = '""&amp;K385&amp;""' and Col6 ="&amp;" ""&amp;M385&amp;"" and Col4 = date '""&amp;YEAR(C385)&amp;""-""&amp;MONTH(C385)&amp;""-""&amp;DAY(C385)&amp;""'""))&gt;0,""Depositada"",if(sum(QUERY(IMPORTRANGE(""https://docs.google.com/spreadsheets/d/1EcLIvUgMoBC5as4ikW0wuQsGH5yVZ6cQ1y16qEfgPnk"",""BD M Sangrias!a:i""),""select Col6 whe"&amp;"re Col7 = 'Caixa Atendimento' and Col9 = '""&amp;K385&amp;""' and Col6 = ""&amp;M385&amp;"" and Col4 = date '""&amp;YEAR(C385)&amp;""-""&amp;MONTH(C385)&amp;""-""&amp;DAY(C385)&amp;""'""))&gt;0,""Caixa Atendimento"",""Caixa Sangria"")),""""),""Caixa Sangria"")"),"")</f>
        <v/>
      </c>
      <c r="M385" s="185" t="str">
        <f>IFERROR(__xludf.DUMMYFUNCTION("ifna(VALUE(REGEXEXTRACT(E385,""[0-9.]+[,]+[0-9]+"")))"),"")</f>
        <v/>
      </c>
      <c r="N385" s="185"/>
      <c r="O385" s="185"/>
      <c r="P385" s="185"/>
      <c r="Q385" s="185"/>
      <c r="R385" s="185"/>
      <c r="S385" s="185"/>
      <c r="T385" s="185"/>
      <c r="U385" s="185"/>
      <c r="V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184" t="str">
        <f>IFERROR(__xludf.DUMMYFUNCTION("ifna(IF(and(D386=""Saída"",J386=""Sangria""),if(sum(QUERY(IMPORTRANGE(""https://docs.google.com/spreadsheets/d/1E4szPcLzsqlw4uyBAoJ61L1ChCgpz4wVP8tHfHW1g_c"",""BD M Sangrias!a:i""),""select Col6 where Col7 = 'Depositada' and Col9 = '""&amp;K386&amp;""' and Col6 ="&amp;" ""&amp;M386&amp;"" and Col4 = date '""&amp;YEAR(C386)&amp;""-""&amp;MONTH(C386)&amp;""-""&amp;DAY(C386)&amp;""'""))&gt;0,""Depositada"",if(sum(QUERY(IMPORTRANGE(""https://docs.google.com/spreadsheets/d/1EcLIvUgMoBC5as4ikW0wuQsGH5yVZ6cQ1y16qEfgPnk"",""BD M Sangrias!a:i""),""select Col6 whe"&amp;"re Col7 = 'Caixa Atendimento' and Col9 = '""&amp;K386&amp;""' and Col6 = ""&amp;M386&amp;"" and Col4 = date '""&amp;YEAR(C386)&amp;""-""&amp;MONTH(C386)&amp;""-""&amp;DAY(C386)&amp;""'""))&gt;0,""Caixa Atendimento"",""Caixa Sangria"")),""""),""Caixa Sangria"")"),"")</f>
        <v/>
      </c>
      <c r="M386" s="185" t="str">
        <f>IFERROR(__xludf.DUMMYFUNCTION("ifna(VALUE(REGEXEXTRACT(E386,""[0-9.]+[,]+[0-9]+"")))"),"")</f>
        <v/>
      </c>
      <c r="N386" s="185"/>
      <c r="O386" s="185"/>
      <c r="P386" s="185"/>
      <c r="Q386" s="185"/>
      <c r="R386" s="185"/>
      <c r="S386" s="185"/>
      <c r="T386" s="185"/>
      <c r="U386" s="185"/>
      <c r="V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184" t="str">
        <f>IFERROR(__xludf.DUMMYFUNCTION("ifna(IF(and(D387=""Saída"",J387=""Sangria""),if(sum(QUERY(IMPORTRANGE(""https://docs.google.com/spreadsheets/d/1E4szPcLzsqlw4uyBAoJ61L1ChCgpz4wVP8tHfHW1g_c"",""BD M Sangrias!a:i""),""select Col6 where Col7 = 'Depositada' and Col9 = '""&amp;K387&amp;""' and Col6 ="&amp;" ""&amp;M387&amp;"" and Col4 = date '""&amp;YEAR(C387)&amp;""-""&amp;MONTH(C387)&amp;""-""&amp;DAY(C387)&amp;""'""))&gt;0,""Depositada"",if(sum(QUERY(IMPORTRANGE(""https://docs.google.com/spreadsheets/d/1EcLIvUgMoBC5as4ikW0wuQsGH5yVZ6cQ1y16qEfgPnk"",""BD M Sangrias!a:i""),""select Col6 whe"&amp;"re Col7 = 'Caixa Atendimento' and Col9 = '""&amp;K387&amp;""' and Col6 = ""&amp;M387&amp;"" and Col4 = date '""&amp;YEAR(C387)&amp;""-""&amp;MONTH(C387)&amp;""-""&amp;DAY(C387)&amp;""'""))&gt;0,""Caixa Atendimento"",""Caixa Sangria"")),""""),""Caixa Sangria"")"),"")</f>
        <v/>
      </c>
      <c r="M387" s="185" t="str">
        <f>IFERROR(__xludf.DUMMYFUNCTION("ifna(VALUE(REGEXEXTRACT(E387,""[0-9.]+[,]+[0-9]+"")))"),"")</f>
        <v/>
      </c>
      <c r="N387" s="185"/>
      <c r="O387" s="185"/>
      <c r="P387" s="185"/>
      <c r="Q387" s="185"/>
      <c r="R387" s="185"/>
      <c r="S387" s="185"/>
      <c r="T387" s="185"/>
      <c r="U387" s="185"/>
      <c r="V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184" t="str">
        <f>IFERROR(__xludf.DUMMYFUNCTION("ifna(IF(and(D388=""Saída"",J388=""Sangria""),if(sum(QUERY(IMPORTRANGE(""https://docs.google.com/spreadsheets/d/1E4szPcLzsqlw4uyBAoJ61L1ChCgpz4wVP8tHfHW1g_c"",""BD M Sangrias!a:i""),""select Col6 where Col7 = 'Depositada' and Col9 = '""&amp;K388&amp;""' and Col6 ="&amp;" ""&amp;M388&amp;"" and Col4 = date '""&amp;YEAR(C388)&amp;""-""&amp;MONTH(C388)&amp;""-""&amp;DAY(C388)&amp;""'""))&gt;0,""Depositada"",if(sum(QUERY(IMPORTRANGE(""https://docs.google.com/spreadsheets/d/1EcLIvUgMoBC5as4ikW0wuQsGH5yVZ6cQ1y16qEfgPnk"",""BD M Sangrias!a:i""),""select Col6 whe"&amp;"re Col7 = 'Caixa Atendimento' and Col9 = '""&amp;K388&amp;""' and Col6 = ""&amp;M388&amp;"" and Col4 = date '""&amp;YEAR(C388)&amp;""-""&amp;MONTH(C388)&amp;""-""&amp;DAY(C388)&amp;""'""))&gt;0,""Caixa Atendimento"",""Caixa Sangria"")),""""),""Caixa Sangria"")"),"")</f>
        <v/>
      </c>
      <c r="M388" s="185" t="str">
        <f>IFERROR(__xludf.DUMMYFUNCTION("ifna(VALUE(REGEXEXTRACT(E388,""[0-9.]+[,]+[0-9]+"")))"),"")</f>
        <v/>
      </c>
      <c r="N388" s="185"/>
      <c r="O388" s="185"/>
      <c r="P388" s="185"/>
      <c r="Q388" s="185"/>
      <c r="R388" s="185"/>
      <c r="S388" s="185"/>
      <c r="T388" s="185"/>
      <c r="U388" s="185"/>
      <c r="V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184" t="str">
        <f>IFERROR(__xludf.DUMMYFUNCTION("ifna(IF(and(D389=""Saída"",J389=""Sangria""),if(sum(QUERY(IMPORTRANGE(""https://docs.google.com/spreadsheets/d/1E4szPcLzsqlw4uyBAoJ61L1ChCgpz4wVP8tHfHW1g_c"",""BD M Sangrias!a:i""),""select Col6 where Col7 = 'Depositada' and Col9 = '""&amp;K389&amp;""' and Col6 ="&amp;" ""&amp;M389&amp;"" and Col4 = date '""&amp;YEAR(C389)&amp;""-""&amp;MONTH(C389)&amp;""-""&amp;DAY(C389)&amp;""'""))&gt;0,""Depositada"",if(sum(QUERY(IMPORTRANGE(""https://docs.google.com/spreadsheets/d/1EcLIvUgMoBC5as4ikW0wuQsGH5yVZ6cQ1y16qEfgPnk"",""BD M Sangrias!a:i""),""select Col6 whe"&amp;"re Col7 = 'Caixa Atendimento' and Col9 = '""&amp;K389&amp;""' and Col6 = ""&amp;M389&amp;"" and Col4 = date '""&amp;YEAR(C389)&amp;""-""&amp;MONTH(C389)&amp;""-""&amp;DAY(C389)&amp;""'""))&gt;0,""Caixa Atendimento"",""Caixa Sangria"")),""""),""Caixa Sangria"")"),"")</f>
        <v/>
      </c>
      <c r="M389" s="185" t="str">
        <f>IFERROR(__xludf.DUMMYFUNCTION("ifna(VALUE(REGEXEXTRACT(E389,""[0-9.]+[,]+[0-9]+"")))"),"")</f>
        <v/>
      </c>
      <c r="N389" s="185"/>
      <c r="O389" s="185"/>
      <c r="P389" s="185"/>
      <c r="Q389" s="185"/>
      <c r="R389" s="185"/>
      <c r="S389" s="185"/>
      <c r="T389" s="185"/>
      <c r="U389" s="185"/>
      <c r="V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184" t="str">
        <f>IFERROR(__xludf.DUMMYFUNCTION("ifna(IF(and(D390=""Saída"",J390=""Sangria""),if(sum(QUERY(IMPORTRANGE(""https://docs.google.com/spreadsheets/d/1E4szPcLzsqlw4uyBAoJ61L1ChCgpz4wVP8tHfHW1g_c"",""BD M Sangrias!a:i""),""select Col6 where Col7 = 'Depositada' and Col9 = '""&amp;K390&amp;""' and Col6 ="&amp;" ""&amp;M390&amp;"" and Col4 = date '""&amp;YEAR(C390)&amp;""-""&amp;MONTH(C390)&amp;""-""&amp;DAY(C390)&amp;""'""))&gt;0,""Depositada"",if(sum(QUERY(IMPORTRANGE(""https://docs.google.com/spreadsheets/d/1EcLIvUgMoBC5as4ikW0wuQsGH5yVZ6cQ1y16qEfgPnk"",""BD M Sangrias!a:i""),""select Col6 whe"&amp;"re Col7 = 'Caixa Atendimento' and Col9 = '""&amp;K390&amp;""' and Col6 = ""&amp;M390&amp;"" and Col4 = date '""&amp;YEAR(C390)&amp;""-""&amp;MONTH(C390)&amp;""-""&amp;DAY(C390)&amp;""'""))&gt;0,""Caixa Atendimento"",""Caixa Sangria"")),""""),""Caixa Sangria"")"),"")</f>
        <v/>
      </c>
      <c r="M390" s="185" t="str">
        <f>IFERROR(__xludf.DUMMYFUNCTION("ifna(VALUE(REGEXEXTRACT(E390,""[0-9.]+[,]+[0-9]+"")))"),"")</f>
        <v/>
      </c>
      <c r="N390" s="185"/>
      <c r="O390" s="185"/>
      <c r="P390" s="185"/>
      <c r="Q390" s="185"/>
      <c r="R390" s="185"/>
      <c r="S390" s="185"/>
      <c r="T390" s="185"/>
      <c r="U390" s="185"/>
      <c r="V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184" t="str">
        <f>IFERROR(__xludf.DUMMYFUNCTION("ifna(IF(and(D391=""Saída"",J391=""Sangria""),if(sum(QUERY(IMPORTRANGE(""https://docs.google.com/spreadsheets/d/1E4szPcLzsqlw4uyBAoJ61L1ChCgpz4wVP8tHfHW1g_c"",""BD M Sangrias!a:i""),""select Col6 where Col7 = 'Depositada' and Col9 = '""&amp;K391&amp;""' and Col6 ="&amp;" ""&amp;M391&amp;"" and Col4 = date '""&amp;YEAR(C391)&amp;""-""&amp;MONTH(C391)&amp;""-""&amp;DAY(C391)&amp;""'""))&gt;0,""Depositada"",if(sum(QUERY(IMPORTRANGE(""https://docs.google.com/spreadsheets/d/1EcLIvUgMoBC5as4ikW0wuQsGH5yVZ6cQ1y16qEfgPnk"",""BD M Sangrias!a:i""),""select Col6 whe"&amp;"re Col7 = 'Caixa Atendimento' and Col9 = '""&amp;K391&amp;""' and Col6 = ""&amp;M391&amp;"" and Col4 = date '""&amp;YEAR(C391)&amp;""-""&amp;MONTH(C391)&amp;""-""&amp;DAY(C391)&amp;""'""))&gt;0,""Caixa Atendimento"",""Caixa Sangria"")),""""),""Caixa Sangria"")"),"")</f>
        <v/>
      </c>
      <c r="M391" s="185" t="str">
        <f>IFERROR(__xludf.DUMMYFUNCTION("ifna(VALUE(REGEXEXTRACT(E391,""[0-9.]+[,]+[0-9]+"")))"),"")</f>
        <v/>
      </c>
      <c r="N391" s="185"/>
      <c r="O391" s="185"/>
      <c r="P391" s="185"/>
      <c r="Q391" s="185"/>
      <c r="R391" s="185"/>
      <c r="S391" s="185"/>
      <c r="T391" s="185"/>
      <c r="U391" s="185"/>
      <c r="V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184" t="str">
        <f>IFERROR(__xludf.DUMMYFUNCTION("ifna(IF(and(D392=""Saída"",J392=""Sangria""),if(sum(QUERY(IMPORTRANGE(""https://docs.google.com/spreadsheets/d/1E4szPcLzsqlw4uyBAoJ61L1ChCgpz4wVP8tHfHW1g_c"",""BD M Sangrias!a:i""),""select Col6 where Col7 = 'Depositada' and Col9 = '""&amp;K392&amp;""' and Col6 ="&amp;" ""&amp;M392&amp;"" and Col4 = date '""&amp;YEAR(C392)&amp;""-""&amp;MONTH(C392)&amp;""-""&amp;DAY(C392)&amp;""'""))&gt;0,""Depositada"",if(sum(QUERY(IMPORTRANGE(""https://docs.google.com/spreadsheets/d/1EcLIvUgMoBC5as4ikW0wuQsGH5yVZ6cQ1y16qEfgPnk"",""BD M Sangrias!a:i""),""select Col6 whe"&amp;"re Col7 = 'Caixa Atendimento' and Col9 = '""&amp;K392&amp;""' and Col6 = ""&amp;M392&amp;"" and Col4 = date '""&amp;YEAR(C392)&amp;""-""&amp;MONTH(C392)&amp;""-""&amp;DAY(C392)&amp;""'""))&gt;0,""Caixa Atendimento"",""Caixa Sangria"")),""""),""Caixa Sangria"")"),"")</f>
        <v/>
      </c>
      <c r="M392" s="185" t="str">
        <f>IFERROR(__xludf.DUMMYFUNCTION("ifna(VALUE(REGEXEXTRACT(E392,""[0-9.]+[,]+[0-9]+"")))"),"")</f>
        <v/>
      </c>
      <c r="N392" s="185"/>
      <c r="O392" s="185"/>
      <c r="P392" s="185"/>
      <c r="Q392" s="185"/>
      <c r="R392" s="185"/>
      <c r="S392" s="185"/>
      <c r="T392" s="185"/>
      <c r="U392" s="185"/>
      <c r="V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184" t="str">
        <f>IFERROR(__xludf.DUMMYFUNCTION("ifna(IF(and(D393=""Saída"",J393=""Sangria""),if(sum(QUERY(IMPORTRANGE(""https://docs.google.com/spreadsheets/d/1E4szPcLzsqlw4uyBAoJ61L1ChCgpz4wVP8tHfHW1g_c"",""BD M Sangrias!a:i""),""select Col6 where Col7 = 'Depositada' and Col9 = '""&amp;K393&amp;""' and Col6 ="&amp;" ""&amp;M393&amp;"" and Col4 = date '""&amp;YEAR(C393)&amp;""-""&amp;MONTH(C393)&amp;""-""&amp;DAY(C393)&amp;""'""))&gt;0,""Depositada"",if(sum(QUERY(IMPORTRANGE(""https://docs.google.com/spreadsheets/d/1EcLIvUgMoBC5as4ikW0wuQsGH5yVZ6cQ1y16qEfgPnk"",""BD M Sangrias!a:i""),""select Col6 whe"&amp;"re Col7 = 'Caixa Atendimento' and Col9 = '""&amp;K393&amp;""' and Col6 = ""&amp;M393&amp;"" and Col4 = date '""&amp;YEAR(C393)&amp;""-""&amp;MONTH(C393)&amp;""-""&amp;DAY(C393)&amp;""'""))&gt;0,""Caixa Atendimento"",""Caixa Sangria"")),""""),""Caixa Sangria"")"),"")</f>
        <v/>
      </c>
      <c r="M393" s="185" t="str">
        <f>IFERROR(__xludf.DUMMYFUNCTION("ifna(VALUE(REGEXEXTRACT(E393,""[0-9.]+[,]+[0-9]+"")))"),"")</f>
        <v/>
      </c>
      <c r="N393" s="185"/>
      <c r="O393" s="185"/>
      <c r="P393" s="185"/>
      <c r="Q393" s="185"/>
      <c r="R393" s="185"/>
      <c r="S393" s="185"/>
      <c r="T393" s="185"/>
      <c r="U393" s="185"/>
      <c r="V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184" t="str">
        <f>IFERROR(__xludf.DUMMYFUNCTION("ifna(IF(and(D394=""Saída"",J394=""Sangria""),if(sum(QUERY(IMPORTRANGE(""https://docs.google.com/spreadsheets/d/1E4szPcLzsqlw4uyBAoJ61L1ChCgpz4wVP8tHfHW1g_c"",""BD M Sangrias!a:i""),""select Col6 where Col7 = 'Depositada' and Col9 = '""&amp;K394&amp;""' and Col6 ="&amp;" ""&amp;M394&amp;"" and Col4 = date '""&amp;YEAR(C394)&amp;""-""&amp;MONTH(C394)&amp;""-""&amp;DAY(C394)&amp;""'""))&gt;0,""Depositada"",if(sum(QUERY(IMPORTRANGE(""https://docs.google.com/spreadsheets/d/1EcLIvUgMoBC5as4ikW0wuQsGH5yVZ6cQ1y16qEfgPnk"",""BD M Sangrias!a:i""),""select Col6 whe"&amp;"re Col7 = 'Caixa Atendimento' and Col9 = '""&amp;K394&amp;""' and Col6 = ""&amp;M394&amp;"" and Col4 = date '""&amp;YEAR(C394)&amp;""-""&amp;MONTH(C394)&amp;""-""&amp;DAY(C394)&amp;""'""))&gt;0,""Caixa Atendimento"",""Caixa Sangria"")),""""),""Caixa Sangria"")"),"")</f>
        <v/>
      </c>
      <c r="M394" s="185" t="str">
        <f>IFERROR(__xludf.DUMMYFUNCTION("ifna(VALUE(REGEXEXTRACT(E394,""[0-9.]+[,]+[0-9]+"")))"),"")</f>
        <v/>
      </c>
      <c r="N394" s="185"/>
      <c r="O394" s="185"/>
      <c r="P394" s="185"/>
      <c r="Q394" s="185"/>
      <c r="R394" s="185"/>
      <c r="S394" s="185"/>
      <c r="T394" s="185"/>
      <c r="U394" s="185"/>
      <c r="V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184" t="str">
        <f>IFERROR(__xludf.DUMMYFUNCTION("ifna(IF(and(D395=""Saída"",J395=""Sangria""),if(sum(QUERY(IMPORTRANGE(""https://docs.google.com/spreadsheets/d/1E4szPcLzsqlw4uyBAoJ61L1ChCgpz4wVP8tHfHW1g_c"",""BD M Sangrias!a:i""),""select Col6 where Col7 = 'Depositada' and Col9 = '""&amp;K395&amp;""' and Col6 ="&amp;" ""&amp;M395&amp;"" and Col4 = date '""&amp;YEAR(C395)&amp;""-""&amp;MONTH(C395)&amp;""-""&amp;DAY(C395)&amp;""'""))&gt;0,""Depositada"",if(sum(QUERY(IMPORTRANGE(""https://docs.google.com/spreadsheets/d/1EcLIvUgMoBC5as4ikW0wuQsGH5yVZ6cQ1y16qEfgPnk"",""BD M Sangrias!a:i""),""select Col6 whe"&amp;"re Col7 = 'Caixa Atendimento' and Col9 = '""&amp;K395&amp;""' and Col6 = ""&amp;M395&amp;"" and Col4 = date '""&amp;YEAR(C395)&amp;""-""&amp;MONTH(C395)&amp;""-""&amp;DAY(C395)&amp;""'""))&gt;0,""Caixa Atendimento"",""Caixa Sangria"")),""""),""Caixa Sangria"")"),"")</f>
        <v/>
      </c>
      <c r="M395" s="185" t="str">
        <f>IFERROR(__xludf.DUMMYFUNCTION("ifna(VALUE(REGEXEXTRACT(E395,""[0-9.]+[,]+[0-9]+"")))"),"")</f>
        <v/>
      </c>
      <c r="N395" s="185"/>
      <c r="O395" s="185"/>
      <c r="P395" s="185"/>
      <c r="Q395" s="185"/>
      <c r="R395" s="185"/>
      <c r="S395" s="185"/>
      <c r="T395" s="185"/>
      <c r="U395" s="185"/>
      <c r="V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184" t="str">
        <f>IFERROR(__xludf.DUMMYFUNCTION("ifna(IF(and(D396=""Saída"",J396=""Sangria""),if(sum(QUERY(IMPORTRANGE(""https://docs.google.com/spreadsheets/d/1E4szPcLzsqlw4uyBAoJ61L1ChCgpz4wVP8tHfHW1g_c"",""BD M Sangrias!a:i""),""select Col6 where Col7 = 'Depositada' and Col9 = '""&amp;K396&amp;""' and Col6 ="&amp;" ""&amp;M396&amp;"" and Col4 = date '""&amp;YEAR(C396)&amp;""-""&amp;MONTH(C396)&amp;""-""&amp;DAY(C396)&amp;""'""))&gt;0,""Depositada"",if(sum(QUERY(IMPORTRANGE(""https://docs.google.com/spreadsheets/d/1EcLIvUgMoBC5as4ikW0wuQsGH5yVZ6cQ1y16qEfgPnk"",""BD M Sangrias!a:i""),""select Col6 whe"&amp;"re Col7 = 'Caixa Atendimento' and Col9 = '""&amp;K396&amp;""' and Col6 = ""&amp;M396&amp;"" and Col4 = date '""&amp;YEAR(C396)&amp;""-""&amp;MONTH(C396)&amp;""-""&amp;DAY(C396)&amp;""'""))&gt;0,""Caixa Atendimento"",""Caixa Sangria"")),""""),""Caixa Sangria"")"),"")</f>
        <v/>
      </c>
      <c r="M396" s="185" t="str">
        <f>IFERROR(__xludf.DUMMYFUNCTION("ifna(VALUE(REGEXEXTRACT(E396,""[0-9.]+[,]+[0-9]+"")))"),"")</f>
        <v/>
      </c>
      <c r="N396" s="185"/>
      <c r="O396" s="185"/>
      <c r="P396" s="185"/>
      <c r="Q396" s="185"/>
      <c r="R396" s="185"/>
      <c r="S396" s="185"/>
      <c r="T396" s="185"/>
      <c r="U396" s="185"/>
      <c r="V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184" t="str">
        <f>IFERROR(__xludf.DUMMYFUNCTION("ifna(IF(and(D397=""Saída"",J397=""Sangria""),if(sum(QUERY(IMPORTRANGE(""https://docs.google.com/spreadsheets/d/1E4szPcLzsqlw4uyBAoJ61L1ChCgpz4wVP8tHfHW1g_c"",""BD M Sangrias!a:i""),""select Col6 where Col7 = 'Depositada' and Col9 = '""&amp;K397&amp;""' and Col6 ="&amp;" ""&amp;M397&amp;"" and Col4 = date '""&amp;YEAR(C397)&amp;""-""&amp;MONTH(C397)&amp;""-""&amp;DAY(C397)&amp;""'""))&gt;0,""Depositada"",if(sum(QUERY(IMPORTRANGE(""https://docs.google.com/spreadsheets/d/1EcLIvUgMoBC5as4ikW0wuQsGH5yVZ6cQ1y16qEfgPnk"",""BD M Sangrias!a:i""),""select Col6 whe"&amp;"re Col7 = 'Caixa Atendimento' and Col9 = '""&amp;K397&amp;""' and Col6 = ""&amp;M397&amp;"" and Col4 = date '""&amp;YEAR(C397)&amp;""-""&amp;MONTH(C397)&amp;""-""&amp;DAY(C397)&amp;""'""))&gt;0,""Caixa Atendimento"",""Caixa Sangria"")),""""),""Caixa Sangria"")"),"")</f>
        <v/>
      </c>
      <c r="M397" s="185" t="str">
        <f>IFERROR(__xludf.DUMMYFUNCTION("ifna(VALUE(REGEXEXTRACT(E397,""[0-9.]+[,]+[0-9]+"")))"),"")</f>
        <v/>
      </c>
      <c r="N397" s="185"/>
      <c r="O397" s="185"/>
      <c r="P397" s="185"/>
      <c r="Q397" s="185"/>
      <c r="R397" s="185"/>
      <c r="S397" s="185"/>
      <c r="T397" s="185"/>
      <c r="U397" s="185"/>
      <c r="V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184" t="str">
        <f>IFERROR(__xludf.DUMMYFUNCTION("ifna(IF(and(D398=""Saída"",J398=""Sangria""),if(sum(QUERY(IMPORTRANGE(""https://docs.google.com/spreadsheets/d/1E4szPcLzsqlw4uyBAoJ61L1ChCgpz4wVP8tHfHW1g_c"",""BD M Sangrias!a:i""),""select Col6 where Col7 = 'Depositada' and Col9 = '""&amp;K398&amp;""' and Col6 ="&amp;" ""&amp;M398&amp;"" and Col4 = date '""&amp;YEAR(C398)&amp;""-""&amp;MONTH(C398)&amp;""-""&amp;DAY(C398)&amp;""'""))&gt;0,""Depositada"",if(sum(QUERY(IMPORTRANGE(""https://docs.google.com/spreadsheets/d/1EcLIvUgMoBC5as4ikW0wuQsGH5yVZ6cQ1y16qEfgPnk"",""BD M Sangrias!a:i""),""select Col6 whe"&amp;"re Col7 = 'Caixa Atendimento' and Col9 = '""&amp;K398&amp;""' and Col6 = ""&amp;M398&amp;"" and Col4 = date '""&amp;YEAR(C398)&amp;""-""&amp;MONTH(C398)&amp;""-""&amp;DAY(C398)&amp;""'""))&gt;0,""Caixa Atendimento"",""Caixa Sangria"")),""""),""Caixa Sangria"")"),"")</f>
        <v/>
      </c>
      <c r="M398" s="185" t="str">
        <f>IFERROR(__xludf.DUMMYFUNCTION("ifna(VALUE(REGEXEXTRACT(E398,""[0-9.]+[,]+[0-9]+"")))"),"")</f>
        <v/>
      </c>
      <c r="N398" s="185"/>
      <c r="O398" s="185"/>
      <c r="P398" s="185"/>
      <c r="Q398" s="185"/>
      <c r="R398" s="185"/>
      <c r="S398" s="185"/>
      <c r="T398" s="185"/>
      <c r="U398" s="185"/>
      <c r="V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184" t="str">
        <f>IFERROR(__xludf.DUMMYFUNCTION("ifna(IF(and(D399=""Saída"",J399=""Sangria""),if(sum(QUERY(IMPORTRANGE(""https://docs.google.com/spreadsheets/d/1E4szPcLzsqlw4uyBAoJ61L1ChCgpz4wVP8tHfHW1g_c"",""BD M Sangrias!a:i""),""select Col6 where Col7 = 'Depositada' and Col9 = '""&amp;K399&amp;""' and Col6 ="&amp;" ""&amp;M399&amp;"" and Col4 = date '""&amp;YEAR(C399)&amp;""-""&amp;MONTH(C399)&amp;""-""&amp;DAY(C399)&amp;""'""))&gt;0,""Depositada"",if(sum(QUERY(IMPORTRANGE(""https://docs.google.com/spreadsheets/d/1EcLIvUgMoBC5as4ikW0wuQsGH5yVZ6cQ1y16qEfgPnk"",""BD M Sangrias!a:i""),""select Col6 whe"&amp;"re Col7 = 'Caixa Atendimento' and Col9 = '""&amp;K399&amp;""' and Col6 = ""&amp;M399&amp;"" and Col4 = date '""&amp;YEAR(C399)&amp;""-""&amp;MONTH(C399)&amp;""-""&amp;DAY(C399)&amp;""'""))&gt;0,""Caixa Atendimento"",""Caixa Sangria"")),""""),""Caixa Sangria"")"),"")</f>
        <v/>
      </c>
      <c r="M399" s="185" t="str">
        <f>IFERROR(__xludf.DUMMYFUNCTION("ifna(VALUE(REGEXEXTRACT(E399,""[0-9.]+[,]+[0-9]+"")))"),"")</f>
        <v/>
      </c>
      <c r="N399" s="185"/>
      <c r="O399" s="185"/>
      <c r="P399" s="185"/>
      <c r="Q399" s="185"/>
      <c r="R399" s="185"/>
      <c r="S399" s="185"/>
      <c r="T399" s="185"/>
      <c r="U399" s="185"/>
      <c r="V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184" t="str">
        <f>IFERROR(__xludf.DUMMYFUNCTION("ifna(IF(and(D400=""Saída"",J400=""Sangria""),if(sum(QUERY(IMPORTRANGE(""https://docs.google.com/spreadsheets/d/1E4szPcLzsqlw4uyBAoJ61L1ChCgpz4wVP8tHfHW1g_c"",""BD M Sangrias!a:i""),""select Col6 where Col7 = 'Depositada' and Col9 = '""&amp;K400&amp;""' and Col6 ="&amp;" ""&amp;M400&amp;"" and Col4 = date '""&amp;YEAR(C400)&amp;""-""&amp;MONTH(C400)&amp;""-""&amp;DAY(C400)&amp;""'""))&gt;0,""Depositada"",if(sum(QUERY(IMPORTRANGE(""https://docs.google.com/spreadsheets/d/1EcLIvUgMoBC5as4ikW0wuQsGH5yVZ6cQ1y16qEfgPnk"",""BD M Sangrias!a:i""),""select Col6 whe"&amp;"re Col7 = 'Caixa Atendimento' and Col9 = '""&amp;K400&amp;""' and Col6 = ""&amp;M400&amp;"" and Col4 = date '""&amp;YEAR(C400)&amp;""-""&amp;MONTH(C400)&amp;""-""&amp;DAY(C400)&amp;""'""))&gt;0,""Caixa Atendimento"",""Caixa Sangria"")),""""),""Caixa Sangria"")"),"")</f>
        <v/>
      </c>
      <c r="M400" s="185" t="str">
        <f>IFERROR(__xludf.DUMMYFUNCTION("ifna(VALUE(REGEXEXTRACT(E400,""[0-9.]+[,]+[0-9]+"")))"),"")</f>
        <v/>
      </c>
      <c r="N400" s="185"/>
      <c r="O400" s="185"/>
      <c r="P400" s="185"/>
      <c r="Q400" s="185"/>
      <c r="R400" s="185"/>
      <c r="S400" s="185"/>
      <c r="T400" s="185"/>
      <c r="U400" s="185"/>
      <c r="V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184" t="str">
        <f>IFERROR(__xludf.DUMMYFUNCTION("ifna(IF(and(D401=""Saída"",J401=""Sangria""),if(sum(QUERY(IMPORTRANGE(""https://docs.google.com/spreadsheets/d/1E4szPcLzsqlw4uyBAoJ61L1ChCgpz4wVP8tHfHW1g_c"",""BD M Sangrias!a:i""),""select Col6 where Col7 = 'Depositada' and Col9 = '""&amp;K401&amp;""' and Col6 ="&amp;" ""&amp;M401&amp;"" and Col4 = date '""&amp;YEAR(C401)&amp;""-""&amp;MONTH(C401)&amp;""-""&amp;DAY(C401)&amp;""'""))&gt;0,""Depositada"",if(sum(QUERY(IMPORTRANGE(""https://docs.google.com/spreadsheets/d/1EcLIvUgMoBC5as4ikW0wuQsGH5yVZ6cQ1y16qEfgPnk"",""BD M Sangrias!a:i""),""select Col6 whe"&amp;"re Col7 = 'Caixa Atendimento' and Col9 = '""&amp;K401&amp;""' and Col6 = ""&amp;M401&amp;"" and Col4 = date '""&amp;YEAR(C401)&amp;""-""&amp;MONTH(C401)&amp;""-""&amp;DAY(C401)&amp;""'""))&gt;0,""Caixa Atendimento"",""Caixa Sangria"")),""""),""Caixa Sangria"")"),"")</f>
        <v/>
      </c>
      <c r="M401" s="185" t="str">
        <f>IFERROR(__xludf.DUMMYFUNCTION("ifna(VALUE(REGEXEXTRACT(E401,""[0-9.]+[,]+[0-9]+"")))"),"")</f>
        <v/>
      </c>
      <c r="N401" s="185"/>
      <c r="O401" s="185"/>
      <c r="P401" s="185"/>
      <c r="Q401" s="185"/>
      <c r="R401" s="185"/>
      <c r="S401" s="185"/>
      <c r="T401" s="185"/>
      <c r="U401" s="185"/>
      <c r="V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184" t="str">
        <f>IFERROR(__xludf.DUMMYFUNCTION("ifna(IF(and(D402=""Saída"",J402=""Sangria""),if(sum(QUERY(IMPORTRANGE(""https://docs.google.com/spreadsheets/d/1E4szPcLzsqlw4uyBAoJ61L1ChCgpz4wVP8tHfHW1g_c"",""BD M Sangrias!a:i""),""select Col6 where Col7 = 'Depositada' and Col9 = '""&amp;K402&amp;""' and Col6 ="&amp;" ""&amp;M402&amp;"" and Col4 = date '""&amp;YEAR(C402)&amp;""-""&amp;MONTH(C402)&amp;""-""&amp;DAY(C402)&amp;""'""))&gt;0,""Depositada"",if(sum(QUERY(IMPORTRANGE(""https://docs.google.com/spreadsheets/d/1EcLIvUgMoBC5as4ikW0wuQsGH5yVZ6cQ1y16qEfgPnk"",""BD M Sangrias!a:i""),""select Col6 whe"&amp;"re Col7 = 'Caixa Atendimento' and Col9 = '""&amp;K402&amp;""' and Col6 = ""&amp;M402&amp;"" and Col4 = date '""&amp;YEAR(C402)&amp;""-""&amp;MONTH(C402)&amp;""-""&amp;DAY(C402)&amp;""'""))&gt;0,""Caixa Atendimento"",""Caixa Sangria"")),""""),""Caixa Sangria"")"),"")</f>
        <v/>
      </c>
      <c r="M402" s="185" t="str">
        <f>IFERROR(__xludf.DUMMYFUNCTION("ifna(VALUE(REGEXEXTRACT(E402,""[0-9.]+[,]+[0-9]+"")))"),"")</f>
        <v/>
      </c>
      <c r="N402" s="185"/>
      <c r="O402" s="185"/>
      <c r="P402" s="185"/>
      <c r="Q402" s="185"/>
      <c r="R402" s="185"/>
      <c r="S402" s="185"/>
      <c r="T402" s="185"/>
      <c r="U402" s="185"/>
      <c r="V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184" t="str">
        <f>IFERROR(__xludf.DUMMYFUNCTION("ifna(IF(and(D403=""Saída"",J403=""Sangria""),if(sum(QUERY(IMPORTRANGE(""https://docs.google.com/spreadsheets/d/1E4szPcLzsqlw4uyBAoJ61L1ChCgpz4wVP8tHfHW1g_c"",""BD M Sangrias!a:i""),""select Col6 where Col7 = 'Depositada' and Col9 = '""&amp;K403&amp;""' and Col6 ="&amp;" ""&amp;M403&amp;"" and Col4 = date '""&amp;YEAR(C403)&amp;""-""&amp;MONTH(C403)&amp;""-""&amp;DAY(C403)&amp;""'""))&gt;0,""Depositada"",if(sum(QUERY(IMPORTRANGE(""https://docs.google.com/spreadsheets/d/1EcLIvUgMoBC5as4ikW0wuQsGH5yVZ6cQ1y16qEfgPnk"",""BD M Sangrias!a:i""),""select Col6 whe"&amp;"re Col7 = 'Caixa Atendimento' and Col9 = '""&amp;K403&amp;""' and Col6 = ""&amp;M403&amp;"" and Col4 = date '""&amp;YEAR(C403)&amp;""-""&amp;MONTH(C403)&amp;""-""&amp;DAY(C403)&amp;""'""))&gt;0,""Caixa Atendimento"",""Caixa Sangria"")),""""),""Caixa Sangria"")"),"")</f>
        <v/>
      </c>
      <c r="M403" s="185" t="str">
        <f>IFERROR(__xludf.DUMMYFUNCTION("ifna(VALUE(REGEXEXTRACT(E403,""[0-9.]+[,]+[0-9]+"")))"),"")</f>
        <v/>
      </c>
      <c r="N403" s="185"/>
      <c r="O403" s="185"/>
      <c r="P403" s="185"/>
      <c r="Q403" s="185"/>
      <c r="R403" s="185"/>
      <c r="S403" s="185"/>
      <c r="T403" s="185"/>
      <c r="U403" s="185"/>
      <c r="V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184" t="str">
        <f>IFERROR(__xludf.DUMMYFUNCTION("ifna(IF(and(D404=""Saída"",J404=""Sangria""),if(sum(QUERY(IMPORTRANGE(""https://docs.google.com/spreadsheets/d/1E4szPcLzsqlw4uyBAoJ61L1ChCgpz4wVP8tHfHW1g_c"",""BD M Sangrias!a:i""),""select Col6 where Col7 = 'Depositada' and Col9 = '""&amp;K404&amp;""' and Col6 ="&amp;" ""&amp;M404&amp;"" and Col4 = date '""&amp;YEAR(C404)&amp;""-""&amp;MONTH(C404)&amp;""-""&amp;DAY(C404)&amp;""'""))&gt;0,""Depositada"",if(sum(QUERY(IMPORTRANGE(""https://docs.google.com/spreadsheets/d/1EcLIvUgMoBC5as4ikW0wuQsGH5yVZ6cQ1y16qEfgPnk"",""BD M Sangrias!a:i""),""select Col6 whe"&amp;"re Col7 = 'Caixa Atendimento' and Col9 = '""&amp;K404&amp;""' and Col6 = ""&amp;M404&amp;"" and Col4 = date '""&amp;YEAR(C404)&amp;""-""&amp;MONTH(C404)&amp;""-""&amp;DAY(C404)&amp;""'""))&gt;0,""Caixa Atendimento"",""Caixa Sangria"")),""""),""Caixa Sangria"")"),"")</f>
        <v/>
      </c>
      <c r="M404" s="185" t="str">
        <f>IFERROR(__xludf.DUMMYFUNCTION("ifna(VALUE(REGEXEXTRACT(E404,""[0-9.]+[,]+[0-9]+"")))"),"")</f>
        <v/>
      </c>
      <c r="N404" s="185"/>
      <c r="O404" s="185"/>
      <c r="P404" s="185"/>
      <c r="Q404" s="185"/>
      <c r="R404" s="185"/>
      <c r="S404" s="185"/>
      <c r="T404" s="185"/>
      <c r="U404" s="185"/>
      <c r="V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184" t="str">
        <f>IFERROR(__xludf.DUMMYFUNCTION("ifna(IF(and(D405=""Saída"",J405=""Sangria""),if(sum(QUERY(IMPORTRANGE(""https://docs.google.com/spreadsheets/d/1E4szPcLzsqlw4uyBAoJ61L1ChCgpz4wVP8tHfHW1g_c"",""BD M Sangrias!a:i""),""select Col6 where Col7 = 'Depositada' and Col9 = '""&amp;K405&amp;""' and Col6 ="&amp;" ""&amp;M405&amp;"" and Col4 = date '""&amp;YEAR(C405)&amp;""-""&amp;MONTH(C405)&amp;""-""&amp;DAY(C405)&amp;""'""))&gt;0,""Depositada"",if(sum(QUERY(IMPORTRANGE(""https://docs.google.com/spreadsheets/d/1EcLIvUgMoBC5as4ikW0wuQsGH5yVZ6cQ1y16qEfgPnk"",""BD M Sangrias!a:i""),""select Col6 whe"&amp;"re Col7 = 'Caixa Atendimento' and Col9 = '""&amp;K405&amp;""' and Col6 = ""&amp;M405&amp;"" and Col4 = date '""&amp;YEAR(C405)&amp;""-""&amp;MONTH(C405)&amp;""-""&amp;DAY(C405)&amp;""'""))&gt;0,""Caixa Atendimento"",""Caixa Sangria"")),""""),""Caixa Sangria"")"),"")</f>
        <v/>
      </c>
      <c r="M405" s="185" t="str">
        <f>IFERROR(__xludf.DUMMYFUNCTION("ifna(VALUE(REGEXEXTRACT(E405,""[0-9.]+[,]+[0-9]+"")))"),"")</f>
        <v/>
      </c>
      <c r="N405" s="185"/>
      <c r="O405" s="185"/>
      <c r="P405" s="185"/>
      <c r="Q405" s="185"/>
      <c r="R405" s="185"/>
      <c r="S405" s="185"/>
      <c r="T405" s="185"/>
      <c r="U405" s="185"/>
      <c r="V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184" t="str">
        <f>IFERROR(__xludf.DUMMYFUNCTION("ifna(IF(and(D406=""Saída"",J406=""Sangria""),if(sum(QUERY(IMPORTRANGE(""https://docs.google.com/spreadsheets/d/1E4szPcLzsqlw4uyBAoJ61L1ChCgpz4wVP8tHfHW1g_c"",""BD M Sangrias!a:i""),""select Col6 where Col7 = 'Depositada' and Col9 = '""&amp;K406&amp;""' and Col6 ="&amp;" ""&amp;M406&amp;"" and Col4 = date '""&amp;YEAR(C406)&amp;""-""&amp;MONTH(C406)&amp;""-""&amp;DAY(C406)&amp;""'""))&gt;0,""Depositada"",if(sum(QUERY(IMPORTRANGE(""https://docs.google.com/spreadsheets/d/1EcLIvUgMoBC5as4ikW0wuQsGH5yVZ6cQ1y16qEfgPnk"",""BD M Sangrias!a:i""),""select Col6 whe"&amp;"re Col7 = 'Caixa Atendimento' and Col9 = '""&amp;K406&amp;""' and Col6 = ""&amp;M406&amp;"" and Col4 = date '""&amp;YEAR(C406)&amp;""-""&amp;MONTH(C406)&amp;""-""&amp;DAY(C406)&amp;""'""))&gt;0,""Caixa Atendimento"",""Caixa Sangria"")),""""),""Caixa Sangria"")"),"")</f>
        <v/>
      </c>
      <c r="M406" s="185" t="str">
        <f>IFERROR(__xludf.DUMMYFUNCTION("ifna(VALUE(REGEXEXTRACT(E406,""[0-9.]+[,]+[0-9]+"")))"),"")</f>
        <v/>
      </c>
      <c r="N406" s="185"/>
      <c r="O406" s="185"/>
      <c r="P406" s="185"/>
      <c r="Q406" s="185"/>
      <c r="R406" s="185"/>
      <c r="S406" s="185"/>
      <c r="T406" s="185"/>
      <c r="U406" s="185"/>
      <c r="V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184" t="str">
        <f>IFERROR(__xludf.DUMMYFUNCTION("ifna(IF(and(D407=""Saída"",J407=""Sangria""),if(sum(QUERY(IMPORTRANGE(""https://docs.google.com/spreadsheets/d/1E4szPcLzsqlw4uyBAoJ61L1ChCgpz4wVP8tHfHW1g_c"",""BD M Sangrias!a:i""),""select Col6 where Col7 = 'Depositada' and Col9 = '""&amp;K407&amp;""' and Col6 ="&amp;" ""&amp;M407&amp;"" and Col4 = date '""&amp;YEAR(C407)&amp;""-""&amp;MONTH(C407)&amp;""-""&amp;DAY(C407)&amp;""'""))&gt;0,""Depositada"",if(sum(QUERY(IMPORTRANGE(""https://docs.google.com/spreadsheets/d/1EcLIvUgMoBC5as4ikW0wuQsGH5yVZ6cQ1y16qEfgPnk"",""BD M Sangrias!a:i""),""select Col6 whe"&amp;"re Col7 = 'Caixa Atendimento' and Col9 = '""&amp;K407&amp;""' and Col6 = ""&amp;M407&amp;"" and Col4 = date '""&amp;YEAR(C407)&amp;""-""&amp;MONTH(C407)&amp;""-""&amp;DAY(C407)&amp;""'""))&gt;0,""Caixa Atendimento"",""Caixa Sangria"")),""""),""Caixa Sangria"")"),"")</f>
        <v/>
      </c>
      <c r="M407" s="185" t="str">
        <f>IFERROR(__xludf.DUMMYFUNCTION("ifna(VALUE(REGEXEXTRACT(E407,""[0-9.]+[,]+[0-9]+"")))"),"")</f>
        <v/>
      </c>
      <c r="N407" s="185"/>
      <c r="O407" s="185"/>
      <c r="P407" s="185"/>
      <c r="Q407" s="185"/>
      <c r="R407" s="185"/>
      <c r="S407" s="185"/>
      <c r="T407" s="185"/>
      <c r="U407" s="185"/>
      <c r="V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184" t="str">
        <f>IFERROR(__xludf.DUMMYFUNCTION("ifna(IF(and(D408=""Saída"",J408=""Sangria""),if(sum(QUERY(IMPORTRANGE(""https://docs.google.com/spreadsheets/d/1E4szPcLzsqlw4uyBAoJ61L1ChCgpz4wVP8tHfHW1g_c"",""BD M Sangrias!a:i""),""select Col6 where Col7 = 'Depositada' and Col9 = '""&amp;K408&amp;""' and Col6 ="&amp;" ""&amp;M408&amp;"" and Col4 = date '""&amp;YEAR(C408)&amp;""-""&amp;MONTH(C408)&amp;""-""&amp;DAY(C408)&amp;""'""))&gt;0,""Depositada"",if(sum(QUERY(IMPORTRANGE(""https://docs.google.com/spreadsheets/d/1EcLIvUgMoBC5as4ikW0wuQsGH5yVZ6cQ1y16qEfgPnk"",""BD M Sangrias!a:i""),""select Col6 whe"&amp;"re Col7 = 'Caixa Atendimento' and Col9 = '""&amp;K408&amp;""' and Col6 = ""&amp;M408&amp;"" and Col4 = date '""&amp;YEAR(C408)&amp;""-""&amp;MONTH(C408)&amp;""-""&amp;DAY(C408)&amp;""'""))&gt;0,""Caixa Atendimento"",""Caixa Sangria"")),""""),""Caixa Sangria"")"),"")</f>
        <v/>
      </c>
      <c r="M408" s="185" t="str">
        <f>IFERROR(__xludf.DUMMYFUNCTION("ifna(VALUE(REGEXEXTRACT(E408,""[0-9.]+[,]+[0-9]+"")))"),"")</f>
        <v/>
      </c>
      <c r="N408" s="185"/>
      <c r="O408" s="185"/>
      <c r="P408" s="185"/>
      <c r="Q408" s="185"/>
      <c r="R408" s="185"/>
      <c r="S408" s="185"/>
      <c r="T408" s="185"/>
      <c r="U408" s="185"/>
      <c r="V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184" t="str">
        <f>IFERROR(__xludf.DUMMYFUNCTION("ifna(IF(and(D409=""Saída"",J409=""Sangria""),if(sum(QUERY(IMPORTRANGE(""https://docs.google.com/spreadsheets/d/1E4szPcLzsqlw4uyBAoJ61L1ChCgpz4wVP8tHfHW1g_c"",""BD M Sangrias!a:i""),""select Col6 where Col7 = 'Depositada' and Col9 = '""&amp;K409&amp;""' and Col6 ="&amp;" ""&amp;M409&amp;"" and Col4 = date '""&amp;YEAR(C409)&amp;""-""&amp;MONTH(C409)&amp;""-""&amp;DAY(C409)&amp;""'""))&gt;0,""Depositada"",if(sum(QUERY(IMPORTRANGE(""https://docs.google.com/spreadsheets/d/1EcLIvUgMoBC5as4ikW0wuQsGH5yVZ6cQ1y16qEfgPnk"",""BD M Sangrias!a:i""),""select Col6 whe"&amp;"re Col7 = 'Caixa Atendimento' and Col9 = '""&amp;K409&amp;""' and Col6 = ""&amp;M409&amp;"" and Col4 = date '""&amp;YEAR(C409)&amp;""-""&amp;MONTH(C409)&amp;""-""&amp;DAY(C409)&amp;""'""))&gt;0,""Caixa Atendimento"",""Caixa Sangria"")),""""),""Caixa Sangria"")"),"")</f>
        <v/>
      </c>
      <c r="M409" s="185" t="str">
        <f>IFERROR(__xludf.DUMMYFUNCTION("ifna(VALUE(REGEXEXTRACT(E409,""[0-9.]+[,]+[0-9]+"")))"),"")</f>
        <v/>
      </c>
      <c r="N409" s="185"/>
      <c r="O409" s="185"/>
      <c r="P409" s="185"/>
      <c r="Q409" s="185"/>
      <c r="R409" s="185"/>
      <c r="S409" s="185"/>
      <c r="T409" s="185"/>
      <c r="U409" s="185"/>
      <c r="V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184" t="str">
        <f>IFERROR(__xludf.DUMMYFUNCTION("ifna(IF(and(D410=""Saída"",J410=""Sangria""),if(sum(QUERY(IMPORTRANGE(""https://docs.google.com/spreadsheets/d/1E4szPcLzsqlw4uyBAoJ61L1ChCgpz4wVP8tHfHW1g_c"",""BD M Sangrias!a:i""),""select Col6 where Col7 = 'Depositada' and Col9 = '""&amp;K410&amp;""' and Col6 ="&amp;" ""&amp;M410&amp;"" and Col4 = date '""&amp;YEAR(C410)&amp;""-""&amp;MONTH(C410)&amp;""-""&amp;DAY(C410)&amp;""'""))&gt;0,""Depositada"",if(sum(QUERY(IMPORTRANGE(""https://docs.google.com/spreadsheets/d/1EcLIvUgMoBC5as4ikW0wuQsGH5yVZ6cQ1y16qEfgPnk"",""BD M Sangrias!a:i""),""select Col6 whe"&amp;"re Col7 = 'Caixa Atendimento' and Col9 = '""&amp;K410&amp;""' and Col6 = ""&amp;M410&amp;"" and Col4 = date '""&amp;YEAR(C410)&amp;""-""&amp;MONTH(C410)&amp;""-""&amp;DAY(C410)&amp;""'""))&gt;0,""Caixa Atendimento"",""Caixa Sangria"")),""""),""Caixa Sangria"")"),"")</f>
        <v/>
      </c>
      <c r="M410" s="185" t="str">
        <f>IFERROR(__xludf.DUMMYFUNCTION("ifna(VALUE(REGEXEXTRACT(E410,""[0-9.]+[,]+[0-9]+"")))"),"")</f>
        <v/>
      </c>
      <c r="N410" s="185"/>
      <c r="O410" s="185"/>
      <c r="P410" s="185"/>
      <c r="Q410" s="185"/>
      <c r="R410" s="185"/>
      <c r="S410" s="185"/>
      <c r="T410" s="185"/>
      <c r="U410" s="185"/>
      <c r="V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184" t="str">
        <f>IFERROR(__xludf.DUMMYFUNCTION("ifna(IF(and(D411=""Saída"",J411=""Sangria""),if(sum(QUERY(IMPORTRANGE(""https://docs.google.com/spreadsheets/d/1E4szPcLzsqlw4uyBAoJ61L1ChCgpz4wVP8tHfHW1g_c"",""BD M Sangrias!a:i""),""select Col6 where Col7 = 'Depositada' and Col9 = '""&amp;K411&amp;""' and Col6 ="&amp;" ""&amp;M411&amp;"" and Col4 = date '""&amp;YEAR(C411)&amp;""-""&amp;MONTH(C411)&amp;""-""&amp;DAY(C411)&amp;""'""))&gt;0,""Depositada"",if(sum(QUERY(IMPORTRANGE(""https://docs.google.com/spreadsheets/d/1EcLIvUgMoBC5as4ikW0wuQsGH5yVZ6cQ1y16qEfgPnk"",""BD M Sangrias!a:i""),""select Col6 whe"&amp;"re Col7 = 'Caixa Atendimento' and Col9 = '""&amp;K411&amp;""' and Col6 = ""&amp;M411&amp;"" and Col4 = date '""&amp;YEAR(C411)&amp;""-""&amp;MONTH(C411)&amp;""-""&amp;DAY(C411)&amp;""'""))&gt;0,""Caixa Atendimento"",""Caixa Sangria"")),""""),""Caixa Sangria"")"),"")</f>
        <v/>
      </c>
      <c r="M411" s="185" t="str">
        <f>IFERROR(__xludf.DUMMYFUNCTION("ifna(VALUE(REGEXEXTRACT(E411,""[0-9.]+[,]+[0-9]+"")))"),"")</f>
        <v/>
      </c>
      <c r="N411" s="185"/>
      <c r="O411" s="185"/>
      <c r="P411" s="185"/>
      <c r="Q411" s="185"/>
      <c r="R411" s="185"/>
      <c r="S411" s="185"/>
      <c r="T411" s="185"/>
      <c r="U411" s="185"/>
      <c r="V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184" t="str">
        <f>IFERROR(__xludf.DUMMYFUNCTION("ifna(IF(and(D412=""Saída"",J412=""Sangria""),if(sum(QUERY(IMPORTRANGE(""https://docs.google.com/spreadsheets/d/1E4szPcLzsqlw4uyBAoJ61L1ChCgpz4wVP8tHfHW1g_c"",""BD M Sangrias!a:i""),""select Col6 where Col7 = 'Depositada' and Col9 = '""&amp;K412&amp;""' and Col6 ="&amp;" ""&amp;M412&amp;"" and Col4 = date '""&amp;YEAR(C412)&amp;""-""&amp;MONTH(C412)&amp;""-""&amp;DAY(C412)&amp;""'""))&gt;0,""Depositada"",if(sum(QUERY(IMPORTRANGE(""https://docs.google.com/spreadsheets/d/1EcLIvUgMoBC5as4ikW0wuQsGH5yVZ6cQ1y16qEfgPnk"",""BD M Sangrias!a:i""),""select Col6 whe"&amp;"re Col7 = 'Caixa Atendimento' and Col9 = '""&amp;K412&amp;""' and Col6 = ""&amp;M412&amp;"" and Col4 = date '""&amp;YEAR(C412)&amp;""-""&amp;MONTH(C412)&amp;""-""&amp;DAY(C412)&amp;""'""))&gt;0,""Caixa Atendimento"",""Caixa Sangria"")),""""),""Caixa Sangria"")"),"")</f>
        <v/>
      </c>
      <c r="M412" s="185" t="str">
        <f>IFERROR(__xludf.DUMMYFUNCTION("ifna(VALUE(REGEXEXTRACT(E412,""[0-9.]+[,]+[0-9]+"")))"),"")</f>
        <v/>
      </c>
      <c r="N412" s="185"/>
      <c r="O412" s="185"/>
      <c r="P412" s="185"/>
      <c r="Q412" s="185"/>
      <c r="R412" s="185"/>
      <c r="S412" s="185"/>
      <c r="T412" s="185"/>
      <c r="U412" s="185"/>
      <c r="V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184" t="str">
        <f>IFERROR(__xludf.DUMMYFUNCTION("ifna(IF(and(D413=""Saída"",J413=""Sangria""),if(sum(QUERY(IMPORTRANGE(""https://docs.google.com/spreadsheets/d/1E4szPcLzsqlw4uyBAoJ61L1ChCgpz4wVP8tHfHW1g_c"",""BD M Sangrias!a:i""),""select Col6 where Col7 = 'Depositada' and Col9 = '""&amp;K413&amp;""' and Col6 ="&amp;" ""&amp;M413&amp;"" and Col4 = date '""&amp;YEAR(C413)&amp;""-""&amp;MONTH(C413)&amp;""-""&amp;DAY(C413)&amp;""'""))&gt;0,""Depositada"",if(sum(QUERY(IMPORTRANGE(""https://docs.google.com/spreadsheets/d/1EcLIvUgMoBC5as4ikW0wuQsGH5yVZ6cQ1y16qEfgPnk"",""BD M Sangrias!a:i""),""select Col6 whe"&amp;"re Col7 = 'Caixa Atendimento' and Col9 = '""&amp;K413&amp;""' and Col6 = ""&amp;M413&amp;"" and Col4 = date '""&amp;YEAR(C413)&amp;""-""&amp;MONTH(C413)&amp;""-""&amp;DAY(C413)&amp;""'""))&gt;0,""Caixa Atendimento"",""Caixa Sangria"")),""""),""Caixa Sangria"")"),"")</f>
        <v/>
      </c>
      <c r="M413" s="185" t="str">
        <f>IFERROR(__xludf.DUMMYFUNCTION("ifna(VALUE(REGEXEXTRACT(E413,""[0-9.]+[,]+[0-9]+"")))"),"")</f>
        <v/>
      </c>
      <c r="N413" s="185"/>
      <c r="O413" s="185"/>
      <c r="P413" s="185"/>
      <c r="Q413" s="185"/>
      <c r="R413" s="185"/>
      <c r="S413" s="185"/>
      <c r="T413" s="185"/>
      <c r="U413" s="185"/>
      <c r="V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184" t="str">
        <f>IFERROR(__xludf.DUMMYFUNCTION("ifna(IF(and(D414=""Saída"",J414=""Sangria""),if(sum(QUERY(IMPORTRANGE(""https://docs.google.com/spreadsheets/d/1E4szPcLzsqlw4uyBAoJ61L1ChCgpz4wVP8tHfHW1g_c"",""BD M Sangrias!a:i""),""select Col6 where Col7 = 'Depositada' and Col9 = '""&amp;K414&amp;""' and Col6 ="&amp;" ""&amp;M414&amp;"" and Col4 = date '""&amp;YEAR(C414)&amp;""-""&amp;MONTH(C414)&amp;""-""&amp;DAY(C414)&amp;""'""))&gt;0,""Depositada"",if(sum(QUERY(IMPORTRANGE(""https://docs.google.com/spreadsheets/d/1EcLIvUgMoBC5as4ikW0wuQsGH5yVZ6cQ1y16qEfgPnk"",""BD M Sangrias!a:i""),""select Col6 whe"&amp;"re Col7 = 'Caixa Atendimento' and Col9 = '""&amp;K414&amp;""' and Col6 = ""&amp;M414&amp;"" and Col4 = date '""&amp;YEAR(C414)&amp;""-""&amp;MONTH(C414)&amp;""-""&amp;DAY(C414)&amp;""'""))&gt;0,""Caixa Atendimento"",""Caixa Sangria"")),""""),""Caixa Sangria"")"),"")</f>
        <v/>
      </c>
      <c r="M414" s="185" t="str">
        <f>IFERROR(__xludf.DUMMYFUNCTION("ifna(VALUE(REGEXEXTRACT(E414,""[0-9.]+[,]+[0-9]+"")))"),"")</f>
        <v/>
      </c>
      <c r="N414" s="185"/>
      <c r="O414" s="185"/>
      <c r="P414" s="185"/>
      <c r="Q414" s="185"/>
      <c r="R414" s="185"/>
      <c r="S414" s="185"/>
      <c r="T414" s="185"/>
      <c r="U414" s="185"/>
      <c r="V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184" t="str">
        <f>IFERROR(__xludf.DUMMYFUNCTION("ifna(IF(and(D415=""Saída"",J415=""Sangria""),if(sum(QUERY(IMPORTRANGE(""https://docs.google.com/spreadsheets/d/1E4szPcLzsqlw4uyBAoJ61L1ChCgpz4wVP8tHfHW1g_c"",""BD M Sangrias!a:i""),""select Col6 where Col7 = 'Depositada' and Col9 = '""&amp;K415&amp;""' and Col6 ="&amp;" ""&amp;M415&amp;"" and Col4 = date '""&amp;YEAR(C415)&amp;""-""&amp;MONTH(C415)&amp;""-""&amp;DAY(C415)&amp;""'""))&gt;0,""Depositada"",if(sum(QUERY(IMPORTRANGE(""https://docs.google.com/spreadsheets/d/1EcLIvUgMoBC5as4ikW0wuQsGH5yVZ6cQ1y16qEfgPnk"",""BD M Sangrias!a:i""),""select Col6 whe"&amp;"re Col7 = 'Caixa Atendimento' and Col9 = '""&amp;K415&amp;""' and Col6 = ""&amp;M415&amp;"" and Col4 = date '""&amp;YEAR(C415)&amp;""-""&amp;MONTH(C415)&amp;""-""&amp;DAY(C415)&amp;""'""))&gt;0,""Caixa Atendimento"",""Caixa Sangria"")),""""),""Caixa Sangria"")"),"")</f>
        <v/>
      </c>
      <c r="M415" s="185" t="str">
        <f>IFERROR(__xludf.DUMMYFUNCTION("ifna(VALUE(REGEXEXTRACT(E415,""[0-9.]+[,]+[0-9]+"")))"),"")</f>
        <v/>
      </c>
      <c r="N415" s="185"/>
      <c r="O415" s="185"/>
      <c r="P415" s="185"/>
      <c r="Q415" s="185"/>
      <c r="R415" s="185"/>
      <c r="S415" s="185"/>
      <c r="T415" s="185"/>
      <c r="U415" s="185"/>
      <c r="V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184" t="str">
        <f>IFERROR(__xludf.DUMMYFUNCTION("ifna(IF(and(D416=""Saída"",J416=""Sangria""),if(sum(QUERY(IMPORTRANGE(""https://docs.google.com/spreadsheets/d/1E4szPcLzsqlw4uyBAoJ61L1ChCgpz4wVP8tHfHW1g_c"",""BD M Sangrias!a:i""),""select Col6 where Col7 = 'Depositada' and Col9 = '""&amp;K416&amp;""' and Col6 ="&amp;" ""&amp;M416&amp;"" and Col4 = date '""&amp;YEAR(C416)&amp;""-""&amp;MONTH(C416)&amp;""-""&amp;DAY(C416)&amp;""'""))&gt;0,""Depositada"",if(sum(QUERY(IMPORTRANGE(""https://docs.google.com/spreadsheets/d/1EcLIvUgMoBC5as4ikW0wuQsGH5yVZ6cQ1y16qEfgPnk"",""BD M Sangrias!a:i""),""select Col6 whe"&amp;"re Col7 = 'Caixa Atendimento' and Col9 = '""&amp;K416&amp;""' and Col6 = ""&amp;M416&amp;"" and Col4 = date '""&amp;YEAR(C416)&amp;""-""&amp;MONTH(C416)&amp;""-""&amp;DAY(C416)&amp;""'""))&gt;0,""Caixa Atendimento"",""Caixa Sangria"")),""""),""Caixa Sangria"")"),"")</f>
        <v/>
      </c>
      <c r="M416" s="185" t="str">
        <f>IFERROR(__xludf.DUMMYFUNCTION("ifna(VALUE(REGEXEXTRACT(E416,""[0-9.]+[,]+[0-9]+"")))"),"")</f>
        <v/>
      </c>
      <c r="N416" s="185"/>
      <c r="O416" s="185"/>
      <c r="P416" s="185"/>
      <c r="Q416" s="185"/>
      <c r="R416" s="185"/>
      <c r="S416" s="185"/>
      <c r="T416" s="185"/>
      <c r="U416" s="185"/>
      <c r="V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184" t="str">
        <f>IFERROR(__xludf.DUMMYFUNCTION("ifna(IF(and(D417=""Saída"",J417=""Sangria""),if(sum(QUERY(IMPORTRANGE(""https://docs.google.com/spreadsheets/d/1E4szPcLzsqlw4uyBAoJ61L1ChCgpz4wVP8tHfHW1g_c"",""BD M Sangrias!a:i""),""select Col6 where Col7 = 'Depositada' and Col9 = '""&amp;K417&amp;""' and Col6 ="&amp;" ""&amp;M417&amp;"" and Col4 = date '""&amp;YEAR(C417)&amp;""-""&amp;MONTH(C417)&amp;""-""&amp;DAY(C417)&amp;""'""))&gt;0,""Depositada"",if(sum(QUERY(IMPORTRANGE(""https://docs.google.com/spreadsheets/d/1EcLIvUgMoBC5as4ikW0wuQsGH5yVZ6cQ1y16qEfgPnk"",""BD M Sangrias!a:i""),""select Col6 whe"&amp;"re Col7 = 'Caixa Atendimento' and Col9 = '""&amp;K417&amp;""' and Col6 = ""&amp;M417&amp;"" and Col4 = date '""&amp;YEAR(C417)&amp;""-""&amp;MONTH(C417)&amp;""-""&amp;DAY(C417)&amp;""'""))&gt;0,""Caixa Atendimento"",""Caixa Sangria"")),""""),""Caixa Sangria"")"),"")</f>
        <v/>
      </c>
      <c r="M417" s="185" t="str">
        <f>IFERROR(__xludf.DUMMYFUNCTION("ifna(VALUE(REGEXEXTRACT(E417,""[0-9.]+[,]+[0-9]+"")))"),"")</f>
        <v/>
      </c>
      <c r="N417" s="185"/>
      <c r="O417" s="185"/>
      <c r="P417" s="185"/>
      <c r="Q417" s="185"/>
      <c r="R417" s="185"/>
      <c r="S417" s="185"/>
      <c r="T417" s="185"/>
      <c r="U417" s="185"/>
      <c r="V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184" t="str">
        <f>IFERROR(__xludf.DUMMYFUNCTION("ifna(IF(and(D418=""Saída"",J418=""Sangria""),if(sum(QUERY(IMPORTRANGE(""https://docs.google.com/spreadsheets/d/1E4szPcLzsqlw4uyBAoJ61L1ChCgpz4wVP8tHfHW1g_c"",""BD M Sangrias!a:i""),""select Col6 where Col7 = 'Depositada' and Col9 = '""&amp;K418&amp;""' and Col6 ="&amp;" ""&amp;M418&amp;"" and Col4 = date '""&amp;YEAR(C418)&amp;""-""&amp;MONTH(C418)&amp;""-""&amp;DAY(C418)&amp;""'""))&gt;0,""Depositada"",if(sum(QUERY(IMPORTRANGE(""https://docs.google.com/spreadsheets/d/1EcLIvUgMoBC5as4ikW0wuQsGH5yVZ6cQ1y16qEfgPnk"",""BD M Sangrias!a:i""),""select Col6 whe"&amp;"re Col7 = 'Caixa Atendimento' and Col9 = '""&amp;K418&amp;""' and Col6 = ""&amp;M418&amp;"" and Col4 = date '""&amp;YEAR(C418)&amp;""-""&amp;MONTH(C418)&amp;""-""&amp;DAY(C418)&amp;""'""))&gt;0,""Caixa Atendimento"",""Caixa Sangria"")),""""),""Caixa Sangria"")"),"")</f>
        <v/>
      </c>
      <c r="M418" s="185" t="str">
        <f>IFERROR(__xludf.DUMMYFUNCTION("ifna(VALUE(REGEXEXTRACT(E418,""[0-9.]+[,]+[0-9]+"")))"),"")</f>
        <v/>
      </c>
      <c r="N418" s="185"/>
      <c r="O418" s="185"/>
      <c r="P418" s="185"/>
      <c r="Q418" s="185"/>
      <c r="R418" s="185"/>
      <c r="S418" s="185"/>
      <c r="T418" s="185"/>
      <c r="U418" s="185"/>
      <c r="V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184" t="str">
        <f>IFERROR(__xludf.DUMMYFUNCTION("ifna(IF(and(D419=""Saída"",J419=""Sangria""),if(sum(QUERY(IMPORTRANGE(""https://docs.google.com/spreadsheets/d/1E4szPcLzsqlw4uyBAoJ61L1ChCgpz4wVP8tHfHW1g_c"",""BD M Sangrias!a:i""),""select Col6 where Col7 = 'Depositada' and Col9 = '""&amp;K419&amp;""' and Col6 ="&amp;" ""&amp;M419&amp;"" and Col4 = date '""&amp;YEAR(C419)&amp;""-""&amp;MONTH(C419)&amp;""-""&amp;DAY(C419)&amp;""'""))&gt;0,""Depositada"",if(sum(QUERY(IMPORTRANGE(""https://docs.google.com/spreadsheets/d/1EcLIvUgMoBC5as4ikW0wuQsGH5yVZ6cQ1y16qEfgPnk"",""BD M Sangrias!a:i""),""select Col6 whe"&amp;"re Col7 = 'Caixa Atendimento' and Col9 = '""&amp;K419&amp;""' and Col6 = ""&amp;M419&amp;"" and Col4 = date '""&amp;YEAR(C419)&amp;""-""&amp;MONTH(C419)&amp;""-""&amp;DAY(C419)&amp;""'""))&gt;0,""Caixa Atendimento"",""Caixa Sangria"")),""""),""Caixa Sangria"")"),"")</f>
        <v/>
      </c>
      <c r="M419" s="185" t="str">
        <f>IFERROR(__xludf.DUMMYFUNCTION("ifna(VALUE(REGEXEXTRACT(E419,""[0-9.]+[,]+[0-9]+"")))"),"")</f>
        <v/>
      </c>
      <c r="N419" s="185"/>
      <c r="O419" s="185"/>
      <c r="P419" s="185"/>
      <c r="Q419" s="185"/>
      <c r="R419" s="185"/>
      <c r="S419" s="185"/>
      <c r="T419" s="185"/>
      <c r="U419" s="185"/>
      <c r="V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184" t="str">
        <f>IFERROR(__xludf.DUMMYFUNCTION("ifna(IF(and(D420=""Saída"",J420=""Sangria""),if(sum(QUERY(IMPORTRANGE(""https://docs.google.com/spreadsheets/d/1E4szPcLzsqlw4uyBAoJ61L1ChCgpz4wVP8tHfHW1g_c"",""BD M Sangrias!a:i""),""select Col6 where Col7 = 'Depositada' and Col9 = '""&amp;K420&amp;""' and Col6 ="&amp;" ""&amp;M420&amp;"" and Col4 = date '""&amp;YEAR(C420)&amp;""-""&amp;MONTH(C420)&amp;""-""&amp;DAY(C420)&amp;""'""))&gt;0,""Depositada"",if(sum(QUERY(IMPORTRANGE(""https://docs.google.com/spreadsheets/d/1EcLIvUgMoBC5as4ikW0wuQsGH5yVZ6cQ1y16qEfgPnk"",""BD M Sangrias!a:i""),""select Col6 whe"&amp;"re Col7 = 'Caixa Atendimento' and Col9 = '""&amp;K420&amp;""' and Col6 = ""&amp;M420&amp;"" and Col4 = date '""&amp;YEAR(C420)&amp;""-""&amp;MONTH(C420)&amp;""-""&amp;DAY(C420)&amp;""'""))&gt;0,""Caixa Atendimento"",""Caixa Sangria"")),""""),""Caixa Sangria"")"),"")</f>
        <v/>
      </c>
      <c r="M420" s="185" t="str">
        <f>IFERROR(__xludf.DUMMYFUNCTION("ifna(VALUE(REGEXEXTRACT(E420,""[0-9.]+[,]+[0-9]+"")))"),"")</f>
        <v/>
      </c>
      <c r="N420" s="185"/>
      <c r="O420" s="185"/>
      <c r="P420" s="185"/>
      <c r="Q420" s="185"/>
      <c r="R420" s="185"/>
      <c r="S420" s="185"/>
      <c r="T420" s="185"/>
      <c r="U420" s="185"/>
      <c r="V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184" t="str">
        <f>IFERROR(__xludf.DUMMYFUNCTION("ifna(IF(and(D421=""Saída"",J421=""Sangria""),if(sum(QUERY(IMPORTRANGE(""https://docs.google.com/spreadsheets/d/1E4szPcLzsqlw4uyBAoJ61L1ChCgpz4wVP8tHfHW1g_c"",""BD M Sangrias!a:i""),""select Col6 where Col7 = 'Depositada' and Col9 = '""&amp;K421&amp;""' and Col6 ="&amp;" ""&amp;M421&amp;"" and Col4 = date '""&amp;YEAR(C421)&amp;""-""&amp;MONTH(C421)&amp;""-""&amp;DAY(C421)&amp;""'""))&gt;0,""Depositada"",if(sum(QUERY(IMPORTRANGE(""https://docs.google.com/spreadsheets/d/1EcLIvUgMoBC5as4ikW0wuQsGH5yVZ6cQ1y16qEfgPnk"",""BD M Sangrias!a:i""),""select Col6 whe"&amp;"re Col7 = 'Caixa Atendimento' and Col9 = '""&amp;K421&amp;""' and Col6 = ""&amp;M421&amp;"" and Col4 = date '""&amp;YEAR(C421)&amp;""-""&amp;MONTH(C421)&amp;""-""&amp;DAY(C421)&amp;""'""))&gt;0,""Caixa Atendimento"",""Caixa Sangria"")),""""),""Caixa Sangria"")"),"")</f>
        <v/>
      </c>
      <c r="M421" s="185" t="str">
        <f>IFERROR(__xludf.DUMMYFUNCTION("ifna(VALUE(REGEXEXTRACT(E421,""[0-9.]+[,]+[0-9]+"")))"),"")</f>
        <v/>
      </c>
      <c r="N421" s="185"/>
      <c r="O421" s="185"/>
      <c r="P421" s="185"/>
      <c r="Q421" s="185"/>
      <c r="R421" s="185"/>
      <c r="S421" s="185"/>
      <c r="T421" s="185"/>
      <c r="U421" s="185"/>
      <c r="V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184" t="str">
        <f>IFERROR(__xludf.DUMMYFUNCTION("ifna(IF(and(D422=""Saída"",J422=""Sangria""),if(sum(QUERY(IMPORTRANGE(""https://docs.google.com/spreadsheets/d/1E4szPcLzsqlw4uyBAoJ61L1ChCgpz4wVP8tHfHW1g_c"",""BD M Sangrias!a:i""),""select Col6 where Col7 = 'Depositada' and Col9 = '""&amp;K422&amp;""' and Col6 ="&amp;" ""&amp;M422&amp;"" and Col4 = date '""&amp;YEAR(C422)&amp;""-""&amp;MONTH(C422)&amp;""-""&amp;DAY(C422)&amp;""'""))&gt;0,""Depositada"",if(sum(QUERY(IMPORTRANGE(""https://docs.google.com/spreadsheets/d/1EcLIvUgMoBC5as4ikW0wuQsGH5yVZ6cQ1y16qEfgPnk"",""BD M Sangrias!a:i""),""select Col6 whe"&amp;"re Col7 = 'Caixa Atendimento' and Col9 = '""&amp;K422&amp;""' and Col6 = ""&amp;M422&amp;"" and Col4 = date '""&amp;YEAR(C422)&amp;""-""&amp;MONTH(C422)&amp;""-""&amp;DAY(C422)&amp;""'""))&gt;0,""Caixa Atendimento"",""Caixa Sangria"")),""""),""Caixa Sangria"")"),"")</f>
        <v/>
      </c>
      <c r="M422" s="185" t="str">
        <f>IFERROR(__xludf.DUMMYFUNCTION("ifna(VALUE(REGEXEXTRACT(E422,""[0-9.]+[,]+[0-9]+"")))"),"")</f>
        <v/>
      </c>
      <c r="N422" s="185"/>
      <c r="O422" s="185"/>
      <c r="P422" s="185"/>
      <c r="Q422" s="185"/>
      <c r="R422" s="185"/>
      <c r="S422" s="185"/>
      <c r="T422" s="185"/>
      <c r="U422" s="185"/>
      <c r="V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184" t="str">
        <f>IFERROR(__xludf.DUMMYFUNCTION("ifna(IF(and(D423=""Saída"",J423=""Sangria""),if(sum(QUERY(IMPORTRANGE(""https://docs.google.com/spreadsheets/d/1E4szPcLzsqlw4uyBAoJ61L1ChCgpz4wVP8tHfHW1g_c"",""BD M Sangrias!a:i""),""select Col6 where Col7 = 'Depositada' and Col9 = '""&amp;K423&amp;""' and Col6 ="&amp;" ""&amp;M423&amp;"" and Col4 = date '""&amp;YEAR(C423)&amp;""-""&amp;MONTH(C423)&amp;""-""&amp;DAY(C423)&amp;""'""))&gt;0,""Depositada"",if(sum(QUERY(IMPORTRANGE(""https://docs.google.com/spreadsheets/d/1EcLIvUgMoBC5as4ikW0wuQsGH5yVZ6cQ1y16qEfgPnk"",""BD M Sangrias!a:i""),""select Col6 whe"&amp;"re Col7 = 'Caixa Atendimento' and Col9 = '""&amp;K423&amp;""' and Col6 = ""&amp;M423&amp;"" and Col4 = date '""&amp;YEAR(C423)&amp;""-""&amp;MONTH(C423)&amp;""-""&amp;DAY(C423)&amp;""'""))&gt;0,""Caixa Atendimento"",""Caixa Sangria"")),""""),""Caixa Sangria"")"),"")</f>
        <v/>
      </c>
      <c r="M423" s="185" t="str">
        <f>IFERROR(__xludf.DUMMYFUNCTION("ifna(VALUE(REGEXEXTRACT(E423,""[0-9.]+[,]+[0-9]+"")))"),"")</f>
        <v/>
      </c>
      <c r="N423" s="185"/>
      <c r="O423" s="185"/>
      <c r="P423" s="185"/>
      <c r="Q423" s="185"/>
      <c r="R423" s="185"/>
      <c r="S423" s="185"/>
      <c r="T423" s="185"/>
      <c r="U423" s="185"/>
      <c r="V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184" t="str">
        <f>IFERROR(__xludf.DUMMYFUNCTION("ifna(IF(and(D424=""Saída"",J424=""Sangria""),if(sum(QUERY(IMPORTRANGE(""https://docs.google.com/spreadsheets/d/1E4szPcLzsqlw4uyBAoJ61L1ChCgpz4wVP8tHfHW1g_c"",""BD M Sangrias!a:i""),""select Col6 where Col7 = 'Depositada' and Col9 = '""&amp;K424&amp;""' and Col6 ="&amp;" ""&amp;M424&amp;"" and Col4 = date '""&amp;YEAR(C424)&amp;""-""&amp;MONTH(C424)&amp;""-""&amp;DAY(C424)&amp;""'""))&gt;0,""Depositada"",if(sum(QUERY(IMPORTRANGE(""https://docs.google.com/spreadsheets/d/1EcLIvUgMoBC5as4ikW0wuQsGH5yVZ6cQ1y16qEfgPnk"",""BD M Sangrias!a:i""),""select Col6 whe"&amp;"re Col7 = 'Caixa Atendimento' and Col9 = '""&amp;K424&amp;""' and Col6 = ""&amp;M424&amp;"" and Col4 = date '""&amp;YEAR(C424)&amp;""-""&amp;MONTH(C424)&amp;""-""&amp;DAY(C424)&amp;""'""))&gt;0,""Caixa Atendimento"",""Caixa Sangria"")),""""),""Caixa Sangria"")"),"")</f>
        <v/>
      </c>
      <c r="M424" s="185" t="str">
        <f>IFERROR(__xludf.DUMMYFUNCTION("ifna(VALUE(REGEXEXTRACT(E424,""[0-9.]+[,]+[0-9]+"")))"),"")</f>
        <v/>
      </c>
      <c r="N424" s="185"/>
      <c r="O424" s="185"/>
      <c r="P424" s="185"/>
      <c r="Q424" s="185"/>
      <c r="R424" s="185"/>
      <c r="S424" s="185"/>
      <c r="T424" s="185"/>
      <c r="U424" s="185"/>
      <c r="V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184" t="str">
        <f>IFERROR(__xludf.DUMMYFUNCTION("ifna(IF(and(D425=""Saída"",J425=""Sangria""),if(sum(QUERY(IMPORTRANGE(""https://docs.google.com/spreadsheets/d/1E4szPcLzsqlw4uyBAoJ61L1ChCgpz4wVP8tHfHW1g_c"",""BD M Sangrias!a:i""),""select Col6 where Col7 = 'Depositada' and Col9 = '""&amp;K425&amp;""' and Col6 ="&amp;" ""&amp;M425&amp;"" and Col4 = date '""&amp;YEAR(C425)&amp;""-""&amp;MONTH(C425)&amp;""-""&amp;DAY(C425)&amp;""'""))&gt;0,""Depositada"",if(sum(QUERY(IMPORTRANGE(""https://docs.google.com/spreadsheets/d/1EcLIvUgMoBC5as4ikW0wuQsGH5yVZ6cQ1y16qEfgPnk"",""BD M Sangrias!a:i""),""select Col6 whe"&amp;"re Col7 = 'Caixa Atendimento' and Col9 = '""&amp;K425&amp;""' and Col6 = ""&amp;M425&amp;"" and Col4 = date '""&amp;YEAR(C425)&amp;""-""&amp;MONTH(C425)&amp;""-""&amp;DAY(C425)&amp;""'""))&gt;0,""Caixa Atendimento"",""Caixa Sangria"")),""""),""Caixa Sangria"")"),"")</f>
        <v/>
      </c>
      <c r="M425" s="185" t="str">
        <f>IFERROR(__xludf.DUMMYFUNCTION("ifna(VALUE(REGEXEXTRACT(E425,""[0-9.]+[,]+[0-9]+"")))"),"")</f>
        <v/>
      </c>
      <c r="N425" s="185"/>
      <c r="O425" s="185"/>
      <c r="P425" s="185"/>
      <c r="Q425" s="185"/>
      <c r="R425" s="185"/>
      <c r="S425" s="185"/>
      <c r="T425" s="185"/>
      <c r="U425" s="185"/>
      <c r="V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184" t="str">
        <f>IFERROR(__xludf.DUMMYFUNCTION("ifna(IF(and(D426=""Saída"",J426=""Sangria""),if(sum(QUERY(IMPORTRANGE(""https://docs.google.com/spreadsheets/d/1E4szPcLzsqlw4uyBAoJ61L1ChCgpz4wVP8tHfHW1g_c"",""BD M Sangrias!a:i""),""select Col6 where Col7 = 'Depositada' and Col9 = '""&amp;K426&amp;""' and Col6 ="&amp;" ""&amp;M426&amp;"" and Col4 = date '""&amp;YEAR(C426)&amp;""-""&amp;MONTH(C426)&amp;""-""&amp;DAY(C426)&amp;""'""))&gt;0,""Depositada"",if(sum(QUERY(IMPORTRANGE(""https://docs.google.com/spreadsheets/d/1EcLIvUgMoBC5as4ikW0wuQsGH5yVZ6cQ1y16qEfgPnk"",""BD M Sangrias!a:i""),""select Col6 whe"&amp;"re Col7 = 'Caixa Atendimento' and Col9 = '""&amp;K426&amp;""' and Col6 = ""&amp;M426&amp;"" and Col4 = date '""&amp;YEAR(C426)&amp;""-""&amp;MONTH(C426)&amp;""-""&amp;DAY(C426)&amp;""'""))&gt;0,""Caixa Atendimento"",""Caixa Sangria"")),""""),""Caixa Sangria"")"),"")</f>
        <v/>
      </c>
      <c r="M426" s="185" t="str">
        <f>IFERROR(__xludf.DUMMYFUNCTION("ifna(VALUE(REGEXEXTRACT(E426,""[0-9.]+[,]+[0-9]+"")))"),"")</f>
        <v/>
      </c>
      <c r="N426" s="185"/>
      <c r="O426" s="185"/>
      <c r="P426" s="185"/>
      <c r="Q426" s="185"/>
      <c r="R426" s="185"/>
      <c r="S426" s="185"/>
      <c r="T426" s="185"/>
      <c r="U426" s="185"/>
      <c r="V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184" t="str">
        <f>IFERROR(__xludf.DUMMYFUNCTION("ifna(IF(and(D427=""Saída"",J427=""Sangria""),if(sum(QUERY(IMPORTRANGE(""https://docs.google.com/spreadsheets/d/1E4szPcLzsqlw4uyBAoJ61L1ChCgpz4wVP8tHfHW1g_c"",""BD M Sangrias!a:i""),""select Col6 where Col7 = 'Depositada' and Col9 = '""&amp;K427&amp;""' and Col6 ="&amp;" ""&amp;M427&amp;"" and Col4 = date '""&amp;YEAR(C427)&amp;""-""&amp;MONTH(C427)&amp;""-""&amp;DAY(C427)&amp;""'""))&gt;0,""Depositada"",if(sum(QUERY(IMPORTRANGE(""https://docs.google.com/spreadsheets/d/1EcLIvUgMoBC5as4ikW0wuQsGH5yVZ6cQ1y16qEfgPnk"",""BD M Sangrias!a:i""),""select Col6 whe"&amp;"re Col7 = 'Caixa Atendimento' and Col9 = '""&amp;K427&amp;""' and Col6 = ""&amp;M427&amp;"" and Col4 = date '""&amp;YEAR(C427)&amp;""-""&amp;MONTH(C427)&amp;""-""&amp;DAY(C427)&amp;""'""))&gt;0,""Caixa Atendimento"",""Caixa Sangria"")),""""),""Caixa Sangria"")"),"")</f>
        <v/>
      </c>
      <c r="M427" s="185" t="str">
        <f>IFERROR(__xludf.DUMMYFUNCTION("ifna(VALUE(REGEXEXTRACT(E427,""[0-9.]+[,]+[0-9]+"")))"),"")</f>
        <v/>
      </c>
      <c r="N427" s="185"/>
      <c r="O427" s="185"/>
      <c r="P427" s="185"/>
      <c r="Q427" s="185"/>
      <c r="R427" s="185"/>
      <c r="S427" s="185"/>
      <c r="T427" s="185"/>
      <c r="U427" s="185"/>
      <c r="V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184" t="str">
        <f>IFERROR(__xludf.DUMMYFUNCTION("ifna(IF(and(D428=""Saída"",J428=""Sangria""),if(sum(QUERY(IMPORTRANGE(""https://docs.google.com/spreadsheets/d/1E4szPcLzsqlw4uyBAoJ61L1ChCgpz4wVP8tHfHW1g_c"",""BD M Sangrias!a:i""),""select Col6 where Col7 = 'Depositada' and Col9 = '""&amp;K428&amp;""' and Col6 ="&amp;" ""&amp;M428&amp;"" and Col4 = date '""&amp;YEAR(C428)&amp;""-""&amp;MONTH(C428)&amp;""-""&amp;DAY(C428)&amp;""'""))&gt;0,""Depositada"",if(sum(QUERY(IMPORTRANGE(""https://docs.google.com/spreadsheets/d/1EcLIvUgMoBC5as4ikW0wuQsGH5yVZ6cQ1y16qEfgPnk"",""BD M Sangrias!a:i""),""select Col6 whe"&amp;"re Col7 = 'Caixa Atendimento' and Col9 = '""&amp;K428&amp;""' and Col6 = ""&amp;M428&amp;"" and Col4 = date '""&amp;YEAR(C428)&amp;""-""&amp;MONTH(C428)&amp;""-""&amp;DAY(C428)&amp;""'""))&gt;0,""Caixa Atendimento"",""Caixa Sangria"")),""""),""Caixa Sangria"")"),"")</f>
        <v/>
      </c>
      <c r="M428" s="185" t="str">
        <f>IFERROR(__xludf.DUMMYFUNCTION("ifna(VALUE(REGEXEXTRACT(E428,""[0-9.]+[,]+[0-9]+"")))"),"")</f>
        <v/>
      </c>
      <c r="N428" s="185"/>
      <c r="O428" s="185"/>
      <c r="P428" s="185"/>
      <c r="Q428" s="185"/>
      <c r="R428" s="185"/>
      <c r="S428" s="185"/>
      <c r="T428" s="185"/>
      <c r="U428" s="185"/>
      <c r="V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184" t="str">
        <f>IFERROR(__xludf.DUMMYFUNCTION("ifna(IF(and(D429=""Saída"",J429=""Sangria""),if(sum(QUERY(IMPORTRANGE(""https://docs.google.com/spreadsheets/d/1E4szPcLzsqlw4uyBAoJ61L1ChCgpz4wVP8tHfHW1g_c"",""BD M Sangrias!a:i""),""select Col6 where Col7 = 'Depositada' and Col9 = '""&amp;K429&amp;""' and Col6 ="&amp;" ""&amp;M429&amp;"" and Col4 = date '""&amp;YEAR(C429)&amp;""-""&amp;MONTH(C429)&amp;""-""&amp;DAY(C429)&amp;""'""))&gt;0,""Depositada"",if(sum(QUERY(IMPORTRANGE(""https://docs.google.com/spreadsheets/d/1EcLIvUgMoBC5as4ikW0wuQsGH5yVZ6cQ1y16qEfgPnk"",""BD M Sangrias!a:i""),""select Col6 whe"&amp;"re Col7 = 'Caixa Atendimento' and Col9 = '""&amp;K429&amp;""' and Col6 = ""&amp;M429&amp;"" and Col4 = date '""&amp;YEAR(C429)&amp;""-""&amp;MONTH(C429)&amp;""-""&amp;DAY(C429)&amp;""'""))&gt;0,""Caixa Atendimento"",""Caixa Sangria"")),""""),""Caixa Sangria"")"),"")</f>
        <v/>
      </c>
      <c r="M429" s="185" t="str">
        <f>IFERROR(__xludf.DUMMYFUNCTION("ifna(VALUE(REGEXEXTRACT(E429,""[0-9.]+[,]+[0-9]+"")))"),"")</f>
        <v/>
      </c>
      <c r="N429" s="185"/>
      <c r="O429" s="185"/>
      <c r="P429" s="185"/>
      <c r="Q429" s="185"/>
      <c r="R429" s="185"/>
      <c r="S429" s="185"/>
      <c r="T429" s="185"/>
      <c r="U429" s="185"/>
      <c r="V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184" t="str">
        <f>IFERROR(__xludf.DUMMYFUNCTION("ifna(IF(and(D430=""Saída"",J430=""Sangria""),if(sum(QUERY(IMPORTRANGE(""https://docs.google.com/spreadsheets/d/1E4szPcLzsqlw4uyBAoJ61L1ChCgpz4wVP8tHfHW1g_c"",""BD M Sangrias!a:i""),""select Col6 where Col7 = 'Depositada' and Col9 = '""&amp;K430&amp;""' and Col6 ="&amp;" ""&amp;M430&amp;"" and Col4 = date '""&amp;YEAR(C430)&amp;""-""&amp;MONTH(C430)&amp;""-""&amp;DAY(C430)&amp;""'""))&gt;0,""Depositada"",if(sum(QUERY(IMPORTRANGE(""https://docs.google.com/spreadsheets/d/1EcLIvUgMoBC5as4ikW0wuQsGH5yVZ6cQ1y16qEfgPnk"",""BD M Sangrias!a:i""),""select Col6 whe"&amp;"re Col7 = 'Caixa Atendimento' and Col9 = '""&amp;K430&amp;""' and Col6 = ""&amp;M430&amp;"" and Col4 = date '""&amp;YEAR(C430)&amp;""-""&amp;MONTH(C430)&amp;""-""&amp;DAY(C430)&amp;""'""))&gt;0,""Caixa Atendimento"",""Caixa Sangria"")),""""),""Caixa Sangria"")"),"")</f>
        <v/>
      </c>
      <c r="M430" s="185" t="str">
        <f>IFERROR(__xludf.DUMMYFUNCTION("ifna(VALUE(REGEXEXTRACT(E430,""[0-9.]+[,]+[0-9]+"")))"),"")</f>
        <v/>
      </c>
      <c r="N430" s="185"/>
      <c r="O430" s="185"/>
      <c r="P430" s="185"/>
      <c r="Q430" s="185"/>
      <c r="R430" s="185"/>
      <c r="S430" s="185"/>
      <c r="T430" s="185"/>
      <c r="U430" s="185"/>
      <c r="V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184" t="str">
        <f>IFERROR(__xludf.DUMMYFUNCTION("ifna(IF(and(D431=""Saída"",J431=""Sangria""),if(sum(QUERY(IMPORTRANGE(""https://docs.google.com/spreadsheets/d/1E4szPcLzsqlw4uyBAoJ61L1ChCgpz4wVP8tHfHW1g_c"",""BD M Sangrias!a:i""),""select Col6 where Col7 = 'Depositada' and Col9 = '""&amp;K431&amp;""' and Col6 ="&amp;" ""&amp;M431&amp;"" and Col4 = date '""&amp;YEAR(C431)&amp;""-""&amp;MONTH(C431)&amp;""-""&amp;DAY(C431)&amp;""'""))&gt;0,""Depositada"",if(sum(QUERY(IMPORTRANGE(""https://docs.google.com/spreadsheets/d/1EcLIvUgMoBC5as4ikW0wuQsGH5yVZ6cQ1y16qEfgPnk"",""BD M Sangrias!a:i""),""select Col6 whe"&amp;"re Col7 = 'Caixa Atendimento' and Col9 = '""&amp;K431&amp;""' and Col6 = ""&amp;M431&amp;"" and Col4 = date '""&amp;YEAR(C431)&amp;""-""&amp;MONTH(C431)&amp;""-""&amp;DAY(C431)&amp;""'""))&gt;0,""Caixa Atendimento"",""Caixa Sangria"")),""""),""Caixa Sangria"")"),"")</f>
        <v/>
      </c>
      <c r="M431" s="185" t="str">
        <f>IFERROR(__xludf.DUMMYFUNCTION("ifna(VALUE(REGEXEXTRACT(E431,""[0-9.]+[,]+[0-9]+"")))"),"")</f>
        <v/>
      </c>
      <c r="N431" s="185"/>
      <c r="O431" s="185"/>
      <c r="P431" s="185"/>
      <c r="Q431" s="185"/>
      <c r="R431" s="185"/>
      <c r="S431" s="185"/>
      <c r="T431" s="185"/>
      <c r="U431" s="185"/>
      <c r="V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184" t="str">
        <f>IFERROR(__xludf.DUMMYFUNCTION("ifna(IF(and(D432=""Saída"",J432=""Sangria""),if(sum(QUERY(IMPORTRANGE(""https://docs.google.com/spreadsheets/d/1E4szPcLzsqlw4uyBAoJ61L1ChCgpz4wVP8tHfHW1g_c"",""BD M Sangrias!a:i""),""select Col6 where Col7 = 'Depositada' and Col9 = '""&amp;K432&amp;""' and Col6 ="&amp;" ""&amp;M432&amp;"" and Col4 = date '""&amp;YEAR(C432)&amp;""-""&amp;MONTH(C432)&amp;""-""&amp;DAY(C432)&amp;""'""))&gt;0,""Depositada"",if(sum(QUERY(IMPORTRANGE(""https://docs.google.com/spreadsheets/d/1EcLIvUgMoBC5as4ikW0wuQsGH5yVZ6cQ1y16qEfgPnk"",""BD M Sangrias!a:i""),""select Col6 whe"&amp;"re Col7 = 'Caixa Atendimento' and Col9 = '""&amp;K432&amp;""' and Col6 = ""&amp;M432&amp;"" and Col4 = date '""&amp;YEAR(C432)&amp;""-""&amp;MONTH(C432)&amp;""-""&amp;DAY(C432)&amp;""'""))&gt;0,""Caixa Atendimento"",""Caixa Sangria"")),""""),""Caixa Sangria"")"),"")</f>
        <v/>
      </c>
      <c r="M432" s="185" t="str">
        <f>IFERROR(__xludf.DUMMYFUNCTION("ifna(VALUE(REGEXEXTRACT(E432,""[0-9.]+[,]+[0-9]+"")))"),"")</f>
        <v/>
      </c>
      <c r="N432" s="185"/>
      <c r="O432" s="185"/>
      <c r="P432" s="185"/>
      <c r="Q432" s="185"/>
      <c r="R432" s="185"/>
      <c r="S432" s="185"/>
      <c r="T432" s="185"/>
      <c r="U432" s="185"/>
      <c r="V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184" t="str">
        <f>IFERROR(__xludf.DUMMYFUNCTION("ifna(IF(and(D433=""Saída"",J433=""Sangria""),if(sum(QUERY(IMPORTRANGE(""https://docs.google.com/spreadsheets/d/1E4szPcLzsqlw4uyBAoJ61L1ChCgpz4wVP8tHfHW1g_c"",""BD M Sangrias!a:i""),""select Col6 where Col7 = 'Depositada' and Col9 = '""&amp;K433&amp;""' and Col6 ="&amp;" ""&amp;M433&amp;"" and Col4 = date '""&amp;YEAR(C433)&amp;""-""&amp;MONTH(C433)&amp;""-""&amp;DAY(C433)&amp;""'""))&gt;0,""Depositada"",if(sum(QUERY(IMPORTRANGE(""https://docs.google.com/spreadsheets/d/1EcLIvUgMoBC5as4ikW0wuQsGH5yVZ6cQ1y16qEfgPnk"",""BD M Sangrias!a:i""),""select Col6 whe"&amp;"re Col7 = 'Caixa Atendimento' and Col9 = '""&amp;K433&amp;""' and Col6 = ""&amp;M433&amp;"" and Col4 = date '""&amp;YEAR(C433)&amp;""-""&amp;MONTH(C433)&amp;""-""&amp;DAY(C433)&amp;""'""))&gt;0,""Caixa Atendimento"",""Caixa Sangria"")),""""),""Caixa Sangria"")"),"")</f>
        <v/>
      </c>
      <c r="M433" s="185" t="str">
        <f>IFERROR(__xludf.DUMMYFUNCTION("ifna(VALUE(REGEXEXTRACT(E433,""[0-9.]+[,]+[0-9]+"")))"),"")</f>
        <v/>
      </c>
      <c r="N433" s="185"/>
      <c r="O433" s="185"/>
      <c r="P433" s="185"/>
      <c r="Q433" s="185"/>
      <c r="R433" s="185"/>
      <c r="S433" s="185"/>
      <c r="T433" s="185"/>
      <c r="U433" s="185"/>
      <c r="V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184" t="str">
        <f>IFERROR(__xludf.DUMMYFUNCTION("ifna(IF(and(D434=""Saída"",J434=""Sangria""),if(sum(QUERY(IMPORTRANGE(""https://docs.google.com/spreadsheets/d/1E4szPcLzsqlw4uyBAoJ61L1ChCgpz4wVP8tHfHW1g_c"",""BD M Sangrias!a:i""),""select Col6 where Col7 = 'Depositada' and Col9 = '""&amp;K434&amp;""' and Col6 ="&amp;" ""&amp;M434&amp;"" and Col4 = date '""&amp;YEAR(C434)&amp;""-""&amp;MONTH(C434)&amp;""-""&amp;DAY(C434)&amp;""'""))&gt;0,""Depositada"",if(sum(QUERY(IMPORTRANGE(""https://docs.google.com/spreadsheets/d/1EcLIvUgMoBC5as4ikW0wuQsGH5yVZ6cQ1y16qEfgPnk"",""BD M Sangrias!a:i""),""select Col6 whe"&amp;"re Col7 = 'Caixa Atendimento' and Col9 = '""&amp;K434&amp;""' and Col6 = ""&amp;M434&amp;"" and Col4 = date '""&amp;YEAR(C434)&amp;""-""&amp;MONTH(C434)&amp;""-""&amp;DAY(C434)&amp;""'""))&gt;0,""Caixa Atendimento"",""Caixa Sangria"")),""""),""Caixa Sangria"")"),"")</f>
        <v/>
      </c>
      <c r="M434" s="185" t="str">
        <f>IFERROR(__xludf.DUMMYFUNCTION("ifna(VALUE(REGEXEXTRACT(E434,""[0-9.]+[,]+[0-9]+"")))"),"")</f>
        <v/>
      </c>
      <c r="N434" s="185"/>
      <c r="O434" s="185"/>
      <c r="P434" s="185"/>
      <c r="Q434" s="185"/>
      <c r="R434" s="185"/>
      <c r="S434" s="185"/>
      <c r="T434" s="185"/>
      <c r="U434" s="185"/>
      <c r="V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184" t="str">
        <f>IFERROR(__xludf.DUMMYFUNCTION("ifna(IF(and(D435=""Saída"",J435=""Sangria""),if(sum(QUERY(IMPORTRANGE(""https://docs.google.com/spreadsheets/d/1E4szPcLzsqlw4uyBAoJ61L1ChCgpz4wVP8tHfHW1g_c"",""BD M Sangrias!a:i""),""select Col6 where Col7 = 'Depositada' and Col9 = '""&amp;K435&amp;""' and Col6 ="&amp;" ""&amp;M435&amp;"" and Col4 = date '""&amp;YEAR(C435)&amp;""-""&amp;MONTH(C435)&amp;""-""&amp;DAY(C435)&amp;""'""))&gt;0,""Depositada"",if(sum(QUERY(IMPORTRANGE(""https://docs.google.com/spreadsheets/d/1EcLIvUgMoBC5as4ikW0wuQsGH5yVZ6cQ1y16qEfgPnk"",""BD M Sangrias!a:i""),""select Col6 whe"&amp;"re Col7 = 'Caixa Atendimento' and Col9 = '""&amp;K435&amp;""' and Col6 = ""&amp;M435&amp;"" and Col4 = date '""&amp;YEAR(C435)&amp;""-""&amp;MONTH(C435)&amp;""-""&amp;DAY(C435)&amp;""'""))&gt;0,""Caixa Atendimento"",""Caixa Sangria"")),""""),""Caixa Sangria"")"),"")</f>
        <v/>
      </c>
      <c r="M435" s="185" t="str">
        <f>IFERROR(__xludf.DUMMYFUNCTION("ifna(VALUE(REGEXEXTRACT(E435,""[0-9.]+[,]+[0-9]+"")))"),"")</f>
        <v/>
      </c>
      <c r="N435" s="185"/>
      <c r="O435" s="185"/>
      <c r="P435" s="185"/>
      <c r="Q435" s="185"/>
      <c r="R435" s="185"/>
      <c r="S435" s="185"/>
      <c r="T435" s="185"/>
      <c r="U435" s="185"/>
      <c r="V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184" t="str">
        <f>IFERROR(__xludf.DUMMYFUNCTION("ifna(IF(and(D436=""Saída"",J436=""Sangria""),if(sum(QUERY(IMPORTRANGE(""https://docs.google.com/spreadsheets/d/1E4szPcLzsqlw4uyBAoJ61L1ChCgpz4wVP8tHfHW1g_c"",""BD M Sangrias!a:i""),""select Col6 where Col7 = 'Depositada' and Col9 = '""&amp;K436&amp;""' and Col6 ="&amp;" ""&amp;M436&amp;"" and Col4 = date '""&amp;YEAR(C436)&amp;""-""&amp;MONTH(C436)&amp;""-""&amp;DAY(C436)&amp;""'""))&gt;0,""Depositada"",if(sum(QUERY(IMPORTRANGE(""https://docs.google.com/spreadsheets/d/1EcLIvUgMoBC5as4ikW0wuQsGH5yVZ6cQ1y16qEfgPnk"",""BD M Sangrias!a:i""),""select Col6 whe"&amp;"re Col7 = 'Caixa Atendimento' and Col9 = '""&amp;K436&amp;""' and Col6 = ""&amp;M436&amp;"" and Col4 = date '""&amp;YEAR(C436)&amp;""-""&amp;MONTH(C436)&amp;""-""&amp;DAY(C436)&amp;""'""))&gt;0,""Caixa Atendimento"",""Caixa Sangria"")),""""),""Caixa Sangria"")"),"")</f>
        <v/>
      </c>
      <c r="M436" s="185" t="str">
        <f>IFERROR(__xludf.DUMMYFUNCTION("ifna(VALUE(REGEXEXTRACT(E436,""[0-9.]+[,]+[0-9]+"")))"),"")</f>
        <v/>
      </c>
      <c r="N436" s="185"/>
      <c r="O436" s="185"/>
      <c r="P436" s="185"/>
      <c r="Q436" s="185"/>
      <c r="R436" s="185"/>
      <c r="S436" s="185"/>
      <c r="T436" s="185"/>
      <c r="U436" s="185"/>
      <c r="V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184" t="str">
        <f>IFERROR(__xludf.DUMMYFUNCTION("ifna(IF(and(D437=""Saída"",J437=""Sangria""),if(sum(QUERY(IMPORTRANGE(""https://docs.google.com/spreadsheets/d/1E4szPcLzsqlw4uyBAoJ61L1ChCgpz4wVP8tHfHW1g_c"",""BD M Sangrias!a:i""),""select Col6 where Col7 = 'Depositada' and Col9 = '""&amp;K437&amp;""' and Col6 ="&amp;" ""&amp;M437&amp;"" and Col4 = date '""&amp;YEAR(C437)&amp;""-""&amp;MONTH(C437)&amp;""-""&amp;DAY(C437)&amp;""'""))&gt;0,""Depositada"",if(sum(QUERY(IMPORTRANGE(""https://docs.google.com/spreadsheets/d/1EcLIvUgMoBC5as4ikW0wuQsGH5yVZ6cQ1y16qEfgPnk"",""BD M Sangrias!a:i""),""select Col6 whe"&amp;"re Col7 = 'Caixa Atendimento' and Col9 = '""&amp;K437&amp;""' and Col6 = ""&amp;M437&amp;"" and Col4 = date '""&amp;YEAR(C437)&amp;""-""&amp;MONTH(C437)&amp;""-""&amp;DAY(C437)&amp;""'""))&gt;0,""Caixa Atendimento"",""Caixa Sangria"")),""""),""Caixa Sangria"")"),"")</f>
        <v/>
      </c>
      <c r="M437" s="185" t="str">
        <f>IFERROR(__xludf.DUMMYFUNCTION("ifna(VALUE(REGEXEXTRACT(E437,""[0-9.]+[,]+[0-9]+"")))"),"")</f>
        <v/>
      </c>
      <c r="N437" s="185"/>
      <c r="O437" s="185"/>
      <c r="P437" s="185"/>
      <c r="Q437" s="185"/>
      <c r="R437" s="185"/>
      <c r="S437" s="185"/>
      <c r="T437" s="185"/>
      <c r="U437" s="185"/>
      <c r="V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184" t="str">
        <f>IFERROR(__xludf.DUMMYFUNCTION("ifna(IF(and(D438=""Saída"",J438=""Sangria""),if(sum(QUERY(IMPORTRANGE(""https://docs.google.com/spreadsheets/d/1E4szPcLzsqlw4uyBAoJ61L1ChCgpz4wVP8tHfHW1g_c"",""BD M Sangrias!a:i""),""select Col6 where Col7 = 'Depositada' and Col9 = '""&amp;K438&amp;""' and Col6 ="&amp;" ""&amp;M438&amp;"" and Col4 = date '""&amp;YEAR(C438)&amp;""-""&amp;MONTH(C438)&amp;""-""&amp;DAY(C438)&amp;""'""))&gt;0,""Depositada"",if(sum(QUERY(IMPORTRANGE(""https://docs.google.com/spreadsheets/d/1EcLIvUgMoBC5as4ikW0wuQsGH5yVZ6cQ1y16qEfgPnk"",""BD M Sangrias!a:i""),""select Col6 whe"&amp;"re Col7 = 'Caixa Atendimento' and Col9 = '""&amp;K438&amp;""' and Col6 = ""&amp;M438&amp;"" and Col4 = date '""&amp;YEAR(C438)&amp;""-""&amp;MONTH(C438)&amp;""-""&amp;DAY(C438)&amp;""'""))&gt;0,""Caixa Atendimento"",""Caixa Sangria"")),""""),""Caixa Sangria"")"),"")</f>
        <v/>
      </c>
      <c r="M438" s="185" t="str">
        <f>IFERROR(__xludf.DUMMYFUNCTION("ifna(VALUE(REGEXEXTRACT(E438,""[0-9.]+[,]+[0-9]+"")))"),"")</f>
        <v/>
      </c>
      <c r="N438" s="185"/>
      <c r="O438" s="185"/>
      <c r="P438" s="185"/>
      <c r="Q438" s="185"/>
      <c r="R438" s="185"/>
      <c r="S438" s="185"/>
      <c r="T438" s="185"/>
      <c r="U438" s="185"/>
      <c r="V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184" t="str">
        <f>IFERROR(__xludf.DUMMYFUNCTION("ifna(IF(and(D439=""Saída"",J439=""Sangria""),if(sum(QUERY(IMPORTRANGE(""https://docs.google.com/spreadsheets/d/1E4szPcLzsqlw4uyBAoJ61L1ChCgpz4wVP8tHfHW1g_c"",""BD M Sangrias!a:i""),""select Col6 where Col7 = 'Depositada' and Col9 = '""&amp;K439&amp;""' and Col6 ="&amp;" ""&amp;M439&amp;"" and Col4 = date '""&amp;YEAR(C439)&amp;""-""&amp;MONTH(C439)&amp;""-""&amp;DAY(C439)&amp;""'""))&gt;0,""Depositada"",if(sum(QUERY(IMPORTRANGE(""https://docs.google.com/spreadsheets/d/1EcLIvUgMoBC5as4ikW0wuQsGH5yVZ6cQ1y16qEfgPnk"",""BD M Sangrias!a:i""),""select Col6 whe"&amp;"re Col7 = 'Caixa Atendimento' and Col9 = '""&amp;K439&amp;""' and Col6 = ""&amp;M439&amp;"" and Col4 = date '""&amp;YEAR(C439)&amp;""-""&amp;MONTH(C439)&amp;""-""&amp;DAY(C439)&amp;""'""))&gt;0,""Caixa Atendimento"",""Caixa Sangria"")),""""),""Caixa Sangria"")"),"")</f>
        <v/>
      </c>
      <c r="M439" s="185" t="str">
        <f>IFERROR(__xludf.DUMMYFUNCTION("ifna(VALUE(REGEXEXTRACT(E439,""[0-9.]+[,]+[0-9]+"")))"),"")</f>
        <v/>
      </c>
      <c r="N439" s="185"/>
      <c r="O439" s="185"/>
      <c r="P439" s="185"/>
      <c r="Q439" s="185"/>
      <c r="R439" s="185"/>
      <c r="S439" s="185"/>
      <c r="T439" s="185"/>
      <c r="U439" s="185"/>
      <c r="V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184" t="str">
        <f>IFERROR(__xludf.DUMMYFUNCTION("ifna(IF(and(D440=""Saída"",J440=""Sangria""),if(sum(QUERY(IMPORTRANGE(""https://docs.google.com/spreadsheets/d/1E4szPcLzsqlw4uyBAoJ61L1ChCgpz4wVP8tHfHW1g_c"",""BD M Sangrias!a:i""),""select Col6 where Col7 = 'Depositada' and Col9 = '""&amp;K440&amp;""' and Col6 ="&amp;" ""&amp;M440&amp;"" and Col4 = date '""&amp;YEAR(C440)&amp;""-""&amp;MONTH(C440)&amp;""-""&amp;DAY(C440)&amp;""'""))&gt;0,""Depositada"",if(sum(QUERY(IMPORTRANGE(""https://docs.google.com/spreadsheets/d/1EcLIvUgMoBC5as4ikW0wuQsGH5yVZ6cQ1y16qEfgPnk"",""BD M Sangrias!a:i""),""select Col6 whe"&amp;"re Col7 = 'Caixa Atendimento' and Col9 = '""&amp;K440&amp;""' and Col6 = ""&amp;M440&amp;"" and Col4 = date '""&amp;YEAR(C440)&amp;""-""&amp;MONTH(C440)&amp;""-""&amp;DAY(C440)&amp;""'""))&gt;0,""Caixa Atendimento"",""Caixa Sangria"")),""""),""Caixa Sangria"")"),"")</f>
        <v/>
      </c>
      <c r="M440" s="185" t="str">
        <f>IFERROR(__xludf.DUMMYFUNCTION("ifna(VALUE(REGEXEXTRACT(E440,""[0-9.]+[,]+[0-9]+"")))"),"")</f>
        <v/>
      </c>
      <c r="N440" s="185"/>
      <c r="O440" s="185"/>
      <c r="P440" s="185"/>
      <c r="Q440" s="185"/>
      <c r="R440" s="185"/>
      <c r="S440" s="185"/>
      <c r="T440" s="185"/>
      <c r="U440" s="185"/>
      <c r="V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184" t="str">
        <f>IFERROR(__xludf.DUMMYFUNCTION("ifna(IF(and(D441=""Saída"",J441=""Sangria""),if(sum(QUERY(IMPORTRANGE(""https://docs.google.com/spreadsheets/d/1E4szPcLzsqlw4uyBAoJ61L1ChCgpz4wVP8tHfHW1g_c"",""BD M Sangrias!a:i""),""select Col6 where Col7 = 'Depositada' and Col9 = '""&amp;K441&amp;""' and Col6 ="&amp;" ""&amp;M441&amp;"" and Col4 = date '""&amp;YEAR(C441)&amp;""-""&amp;MONTH(C441)&amp;""-""&amp;DAY(C441)&amp;""'""))&gt;0,""Depositada"",if(sum(QUERY(IMPORTRANGE(""https://docs.google.com/spreadsheets/d/1EcLIvUgMoBC5as4ikW0wuQsGH5yVZ6cQ1y16qEfgPnk"",""BD M Sangrias!a:i""),""select Col6 whe"&amp;"re Col7 = 'Caixa Atendimento' and Col9 = '""&amp;K441&amp;""' and Col6 = ""&amp;M441&amp;"" and Col4 = date '""&amp;YEAR(C441)&amp;""-""&amp;MONTH(C441)&amp;""-""&amp;DAY(C441)&amp;""'""))&gt;0,""Caixa Atendimento"",""Caixa Sangria"")),""""),""Caixa Sangria"")"),"")</f>
        <v/>
      </c>
      <c r="M441" s="185" t="str">
        <f>IFERROR(__xludf.DUMMYFUNCTION("ifna(VALUE(REGEXEXTRACT(E441,""[0-9.]+[,]+[0-9]+"")))"),"")</f>
        <v/>
      </c>
      <c r="N441" s="185"/>
      <c r="O441" s="185"/>
      <c r="P441" s="185"/>
      <c r="Q441" s="185"/>
      <c r="R441" s="185"/>
      <c r="S441" s="185"/>
      <c r="T441" s="185"/>
      <c r="U441" s="185"/>
      <c r="V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184" t="str">
        <f>IFERROR(__xludf.DUMMYFUNCTION("ifna(IF(and(D442=""Saída"",J442=""Sangria""),if(sum(QUERY(IMPORTRANGE(""https://docs.google.com/spreadsheets/d/1E4szPcLzsqlw4uyBAoJ61L1ChCgpz4wVP8tHfHW1g_c"",""BD M Sangrias!a:i""),""select Col6 where Col7 = 'Depositada' and Col9 = '""&amp;K442&amp;""' and Col6 ="&amp;" ""&amp;M442&amp;"" and Col4 = date '""&amp;YEAR(C442)&amp;""-""&amp;MONTH(C442)&amp;""-""&amp;DAY(C442)&amp;""'""))&gt;0,""Depositada"",if(sum(QUERY(IMPORTRANGE(""https://docs.google.com/spreadsheets/d/1EcLIvUgMoBC5as4ikW0wuQsGH5yVZ6cQ1y16qEfgPnk"",""BD M Sangrias!a:i""),""select Col6 whe"&amp;"re Col7 = 'Caixa Atendimento' and Col9 = '""&amp;K442&amp;""' and Col6 = ""&amp;M442&amp;"" and Col4 = date '""&amp;YEAR(C442)&amp;""-""&amp;MONTH(C442)&amp;""-""&amp;DAY(C442)&amp;""'""))&gt;0,""Caixa Atendimento"",""Caixa Sangria"")),""""),""Caixa Sangria"")"),"")</f>
        <v/>
      </c>
      <c r="M442" s="185" t="str">
        <f>IFERROR(__xludf.DUMMYFUNCTION("ifna(VALUE(REGEXEXTRACT(E442,""[0-9.]+[,]+[0-9]+"")))"),"")</f>
        <v/>
      </c>
      <c r="N442" s="185"/>
      <c r="O442" s="185"/>
      <c r="P442" s="185"/>
      <c r="Q442" s="185"/>
      <c r="R442" s="185"/>
      <c r="S442" s="185"/>
      <c r="T442" s="185"/>
      <c r="U442" s="185"/>
      <c r="V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184" t="str">
        <f>IFERROR(__xludf.DUMMYFUNCTION("ifna(IF(and(D443=""Saída"",J443=""Sangria""),if(sum(QUERY(IMPORTRANGE(""https://docs.google.com/spreadsheets/d/1E4szPcLzsqlw4uyBAoJ61L1ChCgpz4wVP8tHfHW1g_c"",""BD M Sangrias!a:i""),""select Col6 where Col7 = 'Depositada' and Col9 = '""&amp;K443&amp;""' and Col6 ="&amp;" ""&amp;M443&amp;"" and Col4 = date '""&amp;YEAR(C443)&amp;""-""&amp;MONTH(C443)&amp;""-""&amp;DAY(C443)&amp;""'""))&gt;0,""Depositada"",if(sum(QUERY(IMPORTRANGE(""https://docs.google.com/spreadsheets/d/1EcLIvUgMoBC5as4ikW0wuQsGH5yVZ6cQ1y16qEfgPnk"",""BD M Sangrias!a:i""),""select Col6 whe"&amp;"re Col7 = 'Caixa Atendimento' and Col9 = '""&amp;K443&amp;""' and Col6 = ""&amp;M443&amp;"" and Col4 = date '""&amp;YEAR(C443)&amp;""-""&amp;MONTH(C443)&amp;""-""&amp;DAY(C443)&amp;""'""))&gt;0,""Caixa Atendimento"",""Caixa Sangria"")),""""),""Caixa Sangria"")"),"")</f>
        <v/>
      </c>
      <c r="M443" s="185" t="str">
        <f>IFERROR(__xludf.DUMMYFUNCTION("ifna(VALUE(REGEXEXTRACT(E443,""[0-9.]+[,]+[0-9]+"")))"),"")</f>
        <v/>
      </c>
      <c r="N443" s="185"/>
      <c r="O443" s="185"/>
      <c r="P443" s="185"/>
      <c r="Q443" s="185"/>
      <c r="R443" s="185"/>
      <c r="S443" s="185"/>
      <c r="T443" s="185"/>
      <c r="U443" s="185"/>
      <c r="V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184" t="str">
        <f>IFERROR(__xludf.DUMMYFUNCTION("ifna(IF(and(D444=""Saída"",J444=""Sangria""),if(sum(QUERY(IMPORTRANGE(""https://docs.google.com/spreadsheets/d/1E4szPcLzsqlw4uyBAoJ61L1ChCgpz4wVP8tHfHW1g_c"",""BD M Sangrias!a:i""),""select Col6 where Col7 = 'Depositada' and Col9 = '""&amp;K444&amp;""' and Col6 ="&amp;" ""&amp;M444&amp;"" and Col4 = date '""&amp;YEAR(C444)&amp;""-""&amp;MONTH(C444)&amp;""-""&amp;DAY(C444)&amp;""'""))&gt;0,""Depositada"",if(sum(QUERY(IMPORTRANGE(""https://docs.google.com/spreadsheets/d/1EcLIvUgMoBC5as4ikW0wuQsGH5yVZ6cQ1y16qEfgPnk"",""BD M Sangrias!a:i""),""select Col6 whe"&amp;"re Col7 = 'Caixa Atendimento' and Col9 = '""&amp;K444&amp;""' and Col6 = ""&amp;M444&amp;"" and Col4 = date '""&amp;YEAR(C444)&amp;""-""&amp;MONTH(C444)&amp;""-""&amp;DAY(C444)&amp;""'""))&gt;0,""Caixa Atendimento"",""Caixa Sangria"")),""""),""Caixa Sangria"")"),"")</f>
        <v/>
      </c>
      <c r="M444" s="185" t="str">
        <f>IFERROR(__xludf.DUMMYFUNCTION("ifna(VALUE(REGEXEXTRACT(E444,""[0-9.]+[,]+[0-9]+"")))"),"")</f>
        <v/>
      </c>
      <c r="N444" s="185"/>
      <c r="O444" s="185"/>
      <c r="P444" s="185"/>
      <c r="Q444" s="185"/>
      <c r="R444" s="185"/>
      <c r="S444" s="185"/>
      <c r="T444" s="185"/>
      <c r="U444" s="185"/>
      <c r="V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184" t="str">
        <f>IFERROR(__xludf.DUMMYFUNCTION("ifna(IF(and(D445=""Saída"",J445=""Sangria""),if(sum(QUERY(IMPORTRANGE(""https://docs.google.com/spreadsheets/d/1E4szPcLzsqlw4uyBAoJ61L1ChCgpz4wVP8tHfHW1g_c"",""BD M Sangrias!a:i""),""select Col6 where Col7 = 'Depositada' and Col9 = '""&amp;K445&amp;""' and Col6 ="&amp;" ""&amp;M445&amp;"" and Col4 = date '""&amp;YEAR(C445)&amp;""-""&amp;MONTH(C445)&amp;""-""&amp;DAY(C445)&amp;""'""))&gt;0,""Depositada"",if(sum(QUERY(IMPORTRANGE(""https://docs.google.com/spreadsheets/d/1EcLIvUgMoBC5as4ikW0wuQsGH5yVZ6cQ1y16qEfgPnk"",""BD M Sangrias!a:i""),""select Col6 whe"&amp;"re Col7 = 'Caixa Atendimento' and Col9 = '""&amp;K445&amp;""' and Col6 = ""&amp;M445&amp;"" and Col4 = date '""&amp;YEAR(C445)&amp;""-""&amp;MONTH(C445)&amp;""-""&amp;DAY(C445)&amp;""'""))&gt;0,""Caixa Atendimento"",""Caixa Sangria"")),""""),""Caixa Sangria"")"),"")</f>
        <v/>
      </c>
      <c r="M445" s="185" t="str">
        <f>IFERROR(__xludf.DUMMYFUNCTION("ifna(VALUE(REGEXEXTRACT(E445,""[0-9.]+[,]+[0-9]+"")))"),"")</f>
        <v/>
      </c>
      <c r="N445" s="185"/>
      <c r="O445" s="185"/>
      <c r="P445" s="185"/>
      <c r="Q445" s="185"/>
      <c r="R445" s="185"/>
      <c r="S445" s="185"/>
      <c r="T445" s="185"/>
      <c r="U445" s="185"/>
      <c r="V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184" t="str">
        <f>IFERROR(__xludf.DUMMYFUNCTION("ifna(IF(and(D446=""Saída"",J446=""Sangria""),if(sum(QUERY(IMPORTRANGE(""https://docs.google.com/spreadsheets/d/1E4szPcLzsqlw4uyBAoJ61L1ChCgpz4wVP8tHfHW1g_c"",""BD M Sangrias!a:i""),""select Col6 where Col7 = 'Depositada' and Col9 = '""&amp;K446&amp;""' and Col6 ="&amp;" ""&amp;M446&amp;"" and Col4 = date '""&amp;YEAR(C446)&amp;""-""&amp;MONTH(C446)&amp;""-""&amp;DAY(C446)&amp;""'""))&gt;0,""Depositada"",if(sum(QUERY(IMPORTRANGE(""https://docs.google.com/spreadsheets/d/1EcLIvUgMoBC5as4ikW0wuQsGH5yVZ6cQ1y16qEfgPnk"",""BD M Sangrias!a:i""),""select Col6 whe"&amp;"re Col7 = 'Caixa Atendimento' and Col9 = '""&amp;K446&amp;""' and Col6 = ""&amp;M446&amp;"" and Col4 = date '""&amp;YEAR(C446)&amp;""-""&amp;MONTH(C446)&amp;""-""&amp;DAY(C446)&amp;""'""))&gt;0,""Caixa Atendimento"",""Caixa Sangria"")),""""),""Caixa Sangria"")"),"")</f>
        <v/>
      </c>
      <c r="M446" s="185" t="str">
        <f>IFERROR(__xludf.DUMMYFUNCTION("ifna(VALUE(REGEXEXTRACT(E446,""[0-9.]+[,]+[0-9]+"")))"),"")</f>
        <v/>
      </c>
      <c r="N446" s="185"/>
      <c r="O446" s="185"/>
      <c r="P446" s="185"/>
      <c r="Q446" s="185"/>
      <c r="R446" s="185"/>
      <c r="S446" s="185"/>
      <c r="T446" s="185"/>
      <c r="U446" s="185"/>
      <c r="V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184" t="str">
        <f>IFERROR(__xludf.DUMMYFUNCTION("ifna(IF(and(D447=""Saída"",J447=""Sangria""),if(sum(QUERY(IMPORTRANGE(""https://docs.google.com/spreadsheets/d/1E4szPcLzsqlw4uyBAoJ61L1ChCgpz4wVP8tHfHW1g_c"",""BD M Sangrias!a:i""),""select Col6 where Col7 = 'Depositada' and Col9 = '""&amp;K447&amp;""' and Col6 ="&amp;" ""&amp;M447&amp;"" and Col4 = date '""&amp;YEAR(C447)&amp;""-""&amp;MONTH(C447)&amp;""-""&amp;DAY(C447)&amp;""'""))&gt;0,""Depositada"",if(sum(QUERY(IMPORTRANGE(""https://docs.google.com/spreadsheets/d/1EcLIvUgMoBC5as4ikW0wuQsGH5yVZ6cQ1y16qEfgPnk"",""BD M Sangrias!a:i""),""select Col6 whe"&amp;"re Col7 = 'Caixa Atendimento' and Col9 = '""&amp;K447&amp;""' and Col6 = ""&amp;M447&amp;"" and Col4 = date '""&amp;YEAR(C447)&amp;""-""&amp;MONTH(C447)&amp;""-""&amp;DAY(C447)&amp;""'""))&gt;0,""Caixa Atendimento"",""Caixa Sangria"")),""""),""Caixa Sangria"")"),"")</f>
        <v/>
      </c>
      <c r="M447" s="185" t="str">
        <f>IFERROR(__xludf.DUMMYFUNCTION("ifna(VALUE(REGEXEXTRACT(E447,""[0-9.]+[,]+[0-9]+"")))"),"")</f>
        <v/>
      </c>
      <c r="N447" s="185"/>
      <c r="O447" s="185"/>
      <c r="P447" s="185"/>
      <c r="Q447" s="185"/>
      <c r="R447" s="185"/>
      <c r="S447" s="185"/>
      <c r="T447" s="185"/>
      <c r="U447" s="185"/>
      <c r="V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184" t="str">
        <f>IFERROR(__xludf.DUMMYFUNCTION("ifna(IF(and(D448=""Saída"",J448=""Sangria""),if(sum(QUERY(IMPORTRANGE(""https://docs.google.com/spreadsheets/d/1E4szPcLzsqlw4uyBAoJ61L1ChCgpz4wVP8tHfHW1g_c"",""BD M Sangrias!a:i""),""select Col6 where Col7 = 'Depositada' and Col9 = '""&amp;K448&amp;""' and Col6 ="&amp;" ""&amp;M448&amp;"" and Col4 = date '""&amp;YEAR(C448)&amp;""-""&amp;MONTH(C448)&amp;""-""&amp;DAY(C448)&amp;""'""))&gt;0,""Depositada"",if(sum(QUERY(IMPORTRANGE(""https://docs.google.com/spreadsheets/d/1EcLIvUgMoBC5as4ikW0wuQsGH5yVZ6cQ1y16qEfgPnk"",""BD M Sangrias!a:i""),""select Col6 whe"&amp;"re Col7 = 'Caixa Atendimento' and Col9 = '""&amp;K448&amp;""' and Col6 = ""&amp;M448&amp;"" and Col4 = date '""&amp;YEAR(C448)&amp;""-""&amp;MONTH(C448)&amp;""-""&amp;DAY(C448)&amp;""'""))&gt;0,""Caixa Atendimento"",""Caixa Sangria"")),""""),""Caixa Sangria"")"),"")</f>
        <v/>
      </c>
      <c r="M448" s="185" t="str">
        <f>IFERROR(__xludf.DUMMYFUNCTION("ifna(VALUE(REGEXEXTRACT(E448,""[0-9.]+[,]+[0-9]+"")))"),"")</f>
        <v/>
      </c>
      <c r="N448" s="185"/>
      <c r="O448" s="185"/>
      <c r="P448" s="185"/>
      <c r="Q448" s="185"/>
      <c r="R448" s="185"/>
      <c r="S448" s="185"/>
      <c r="T448" s="185"/>
      <c r="U448" s="185"/>
      <c r="V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184" t="str">
        <f>IFERROR(__xludf.DUMMYFUNCTION("ifna(IF(and(D449=""Saída"",J449=""Sangria""),if(sum(QUERY(IMPORTRANGE(""https://docs.google.com/spreadsheets/d/1E4szPcLzsqlw4uyBAoJ61L1ChCgpz4wVP8tHfHW1g_c"",""BD M Sangrias!a:i""),""select Col6 where Col7 = 'Depositada' and Col9 = '""&amp;K449&amp;""' and Col6 ="&amp;" ""&amp;M449&amp;"" and Col4 = date '""&amp;YEAR(C449)&amp;""-""&amp;MONTH(C449)&amp;""-""&amp;DAY(C449)&amp;""'""))&gt;0,""Depositada"",if(sum(QUERY(IMPORTRANGE(""https://docs.google.com/spreadsheets/d/1EcLIvUgMoBC5as4ikW0wuQsGH5yVZ6cQ1y16qEfgPnk"",""BD M Sangrias!a:i""),""select Col6 whe"&amp;"re Col7 = 'Caixa Atendimento' and Col9 = '""&amp;K449&amp;""' and Col6 = ""&amp;M449&amp;"" and Col4 = date '""&amp;YEAR(C449)&amp;""-""&amp;MONTH(C449)&amp;""-""&amp;DAY(C449)&amp;""'""))&gt;0,""Caixa Atendimento"",""Caixa Sangria"")),""""),""Caixa Sangria"")"),"")</f>
        <v/>
      </c>
      <c r="M449" s="185" t="str">
        <f>IFERROR(__xludf.DUMMYFUNCTION("ifna(VALUE(REGEXEXTRACT(E449,""[0-9.]+[,]+[0-9]+"")))"),"")</f>
        <v/>
      </c>
      <c r="N449" s="185"/>
      <c r="O449" s="185"/>
      <c r="P449" s="185"/>
      <c r="Q449" s="185"/>
      <c r="R449" s="185"/>
      <c r="S449" s="185"/>
      <c r="T449" s="185"/>
      <c r="U449" s="185"/>
      <c r="V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184" t="str">
        <f>IFERROR(__xludf.DUMMYFUNCTION("ifna(IF(and(D450=""Saída"",J450=""Sangria""),if(sum(QUERY(IMPORTRANGE(""https://docs.google.com/spreadsheets/d/1E4szPcLzsqlw4uyBAoJ61L1ChCgpz4wVP8tHfHW1g_c"",""BD M Sangrias!a:i""),""select Col6 where Col7 = 'Depositada' and Col9 = '""&amp;K450&amp;""' and Col6 ="&amp;" ""&amp;M450&amp;"" and Col4 = date '""&amp;YEAR(C450)&amp;""-""&amp;MONTH(C450)&amp;""-""&amp;DAY(C450)&amp;""'""))&gt;0,""Depositada"",if(sum(QUERY(IMPORTRANGE(""https://docs.google.com/spreadsheets/d/1EcLIvUgMoBC5as4ikW0wuQsGH5yVZ6cQ1y16qEfgPnk"",""BD M Sangrias!a:i""),""select Col6 whe"&amp;"re Col7 = 'Caixa Atendimento' and Col9 = '""&amp;K450&amp;""' and Col6 = ""&amp;M450&amp;"" and Col4 = date '""&amp;YEAR(C450)&amp;""-""&amp;MONTH(C450)&amp;""-""&amp;DAY(C450)&amp;""'""))&gt;0,""Caixa Atendimento"",""Caixa Sangria"")),""""),""Caixa Sangria"")"),"")</f>
        <v/>
      </c>
      <c r="M450" s="185" t="str">
        <f>IFERROR(__xludf.DUMMYFUNCTION("ifna(VALUE(REGEXEXTRACT(E450,""[0-9.]+[,]+[0-9]+"")))"),"")</f>
        <v/>
      </c>
      <c r="N450" s="185"/>
      <c r="O450" s="185"/>
      <c r="P450" s="185"/>
      <c r="Q450" s="185"/>
      <c r="R450" s="185"/>
      <c r="S450" s="185"/>
      <c r="T450" s="185"/>
      <c r="U450" s="185"/>
      <c r="V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184" t="str">
        <f>IFERROR(__xludf.DUMMYFUNCTION("ifna(IF(and(D451=""Saída"",J451=""Sangria""),if(sum(QUERY(IMPORTRANGE(""https://docs.google.com/spreadsheets/d/1E4szPcLzsqlw4uyBAoJ61L1ChCgpz4wVP8tHfHW1g_c"",""BD M Sangrias!a:i""),""select Col6 where Col7 = 'Depositada' and Col9 = '""&amp;K451&amp;""' and Col6 ="&amp;" ""&amp;M451&amp;"" and Col4 = date '""&amp;YEAR(C451)&amp;""-""&amp;MONTH(C451)&amp;""-""&amp;DAY(C451)&amp;""'""))&gt;0,""Depositada"",if(sum(QUERY(IMPORTRANGE(""https://docs.google.com/spreadsheets/d/1EcLIvUgMoBC5as4ikW0wuQsGH5yVZ6cQ1y16qEfgPnk"",""BD M Sangrias!a:i""),""select Col6 whe"&amp;"re Col7 = 'Caixa Atendimento' and Col9 = '""&amp;K451&amp;""' and Col6 = ""&amp;M451&amp;"" and Col4 = date '""&amp;YEAR(C451)&amp;""-""&amp;MONTH(C451)&amp;""-""&amp;DAY(C451)&amp;""'""))&gt;0,""Caixa Atendimento"",""Caixa Sangria"")),""""),""Caixa Sangria"")"),"")</f>
        <v/>
      </c>
      <c r="M451" s="185" t="str">
        <f>IFERROR(__xludf.DUMMYFUNCTION("ifna(VALUE(REGEXEXTRACT(E451,""[0-9.]+[,]+[0-9]+"")))"),"")</f>
        <v/>
      </c>
      <c r="N451" s="185"/>
      <c r="O451" s="185"/>
      <c r="P451" s="185"/>
      <c r="Q451" s="185"/>
      <c r="R451" s="185"/>
      <c r="S451" s="185"/>
      <c r="T451" s="185"/>
      <c r="U451" s="185"/>
      <c r="V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184" t="str">
        <f>IFERROR(__xludf.DUMMYFUNCTION("ifna(IF(and(D452=""Saída"",J452=""Sangria""),if(sum(QUERY(IMPORTRANGE(""https://docs.google.com/spreadsheets/d/1E4szPcLzsqlw4uyBAoJ61L1ChCgpz4wVP8tHfHW1g_c"",""BD M Sangrias!a:i""),""select Col6 where Col7 = 'Depositada' and Col9 = '""&amp;K452&amp;""' and Col6 ="&amp;" ""&amp;M452&amp;"" and Col4 = date '""&amp;YEAR(C452)&amp;""-""&amp;MONTH(C452)&amp;""-""&amp;DAY(C452)&amp;""'""))&gt;0,""Depositada"",if(sum(QUERY(IMPORTRANGE(""https://docs.google.com/spreadsheets/d/1EcLIvUgMoBC5as4ikW0wuQsGH5yVZ6cQ1y16qEfgPnk"",""BD M Sangrias!a:i""),""select Col6 whe"&amp;"re Col7 = 'Caixa Atendimento' and Col9 = '""&amp;K452&amp;""' and Col6 = ""&amp;M452&amp;"" and Col4 = date '""&amp;YEAR(C452)&amp;""-""&amp;MONTH(C452)&amp;""-""&amp;DAY(C452)&amp;""'""))&gt;0,""Caixa Atendimento"",""Caixa Sangria"")),""""),""Caixa Sangria"")"),"")</f>
        <v/>
      </c>
      <c r="M452" s="185" t="str">
        <f>IFERROR(__xludf.DUMMYFUNCTION("ifna(VALUE(REGEXEXTRACT(E452,""[0-9.]+[,]+[0-9]+"")))"),"")</f>
        <v/>
      </c>
      <c r="N452" s="185"/>
      <c r="O452" s="185"/>
      <c r="P452" s="185"/>
      <c r="Q452" s="185"/>
      <c r="R452" s="185"/>
      <c r="S452" s="185"/>
      <c r="T452" s="185"/>
      <c r="U452" s="185"/>
      <c r="V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184" t="str">
        <f>IFERROR(__xludf.DUMMYFUNCTION("ifna(IF(and(D453=""Saída"",J453=""Sangria""),if(sum(QUERY(IMPORTRANGE(""https://docs.google.com/spreadsheets/d/1E4szPcLzsqlw4uyBAoJ61L1ChCgpz4wVP8tHfHW1g_c"",""BD M Sangrias!a:i""),""select Col6 where Col7 = 'Depositada' and Col9 = '""&amp;K453&amp;""' and Col6 ="&amp;" ""&amp;M453&amp;"" and Col4 = date '""&amp;YEAR(C453)&amp;""-""&amp;MONTH(C453)&amp;""-""&amp;DAY(C453)&amp;""'""))&gt;0,""Depositada"",if(sum(QUERY(IMPORTRANGE(""https://docs.google.com/spreadsheets/d/1EcLIvUgMoBC5as4ikW0wuQsGH5yVZ6cQ1y16qEfgPnk"",""BD M Sangrias!a:i""),""select Col6 whe"&amp;"re Col7 = 'Caixa Atendimento' and Col9 = '""&amp;K453&amp;""' and Col6 = ""&amp;M453&amp;"" and Col4 = date '""&amp;YEAR(C453)&amp;""-""&amp;MONTH(C453)&amp;""-""&amp;DAY(C453)&amp;""'""))&gt;0,""Caixa Atendimento"",""Caixa Sangria"")),""""),""Caixa Sangria"")"),"")</f>
        <v/>
      </c>
      <c r="M453" s="185" t="str">
        <f>IFERROR(__xludf.DUMMYFUNCTION("ifna(VALUE(REGEXEXTRACT(E453,""[0-9.]+[,]+[0-9]+"")))"),"")</f>
        <v/>
      </c>
      <c r="N453" s="185"/>
      <c r="O453" s="185"/>
      <c r="P453" s="185"/>
      <c r="Q453" s="185"/>
      <c r="R453" s="185"/>
      <c r="S453" s="185"/>
      <c r="T453" s="185"/>
      <c r="U453" s="185"/>
      <c r="V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184" t="str">
        <f>IFERROR(__xludf.DUMMYFUNCTION("ifna(IF(and(D454=""Saída"",J454=""Sangria""),if(sum(QUERY(IMPORTRANGE(""https://docs.google.com/spreadsheets/d/1E4szPcLzsqlw4uyBAoJ61L1ChCgpz4wVP8tHfHW1g_c"",""BD M Sangrias!a:i""),""select Col6 where Col7 = 'Depositada' and Col9 = '""&amp;K454&amp;""' and Col6 ="&amp;" ""&amp;M454&amp;"" and Col4 = date '""&amp;YEAR(C454)&amp;""-""&amp;MONTH(C454)&amp;""-""&amp;DAY(C454)&amp;""'""))&gt;0,""Depositada"",if(sum(QUERY(IMPORTRANGE(""https://docs.google.com/spreadsheets/d/1EcLIvUgMoBC5as4ikW0wuQsGH5yVZ6cQ1y16qEfgPnk"",""BD M Sangrias!a:i""),""select Col6 whe"&amp;"re Col7 = 'Caixa Atendimento' and Col9 = '""&amp;K454&amp;""' and Col6 = ""&amp;M454&amp;"" and Col4 = date '""&amp;YEAR(C454)&amp;""-""&amp;MONTH(C454)&amp;""-""&amp;DAY(C454)&amp;""'""))&gt;0,""Caixa Atendimento"",""Caixa Sangria"")),""""),""Caixa Sangria"")"),"")</f>
        <v/>
      </c>
      <c r="M454" s="185" t="str">
        <f>IFERROR(__xludf.DUMMYFUNCTION("ifna(VALUE(REGEXEXTRACT(E454,""[0-9.]+[,]+[0-9]+"")))"),"")</f>
        <v/>
      </c>
      <c r="N454" s="185"/>
      <c r="O454" s="185"/>
      <c r="P454" s="185"/>
      <c r="Q454" s="185"/>
      <c r="R454" s="185"/>
      <c r="S454" s="185"/>
      <c r="T454" s="185"/>
      <c r="U454" s="185"/>
      <c r="V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184" t="str">
        <f>IFERROR(__xludf.DUMMYFUNCTION("ifna(IF(and(D455=""Saída"",J455=""Sangria""),if(sum(QUERY(IMPORTRANGE(""https://docs.google.com/spreadsheets/d/1E4szPcLzsqlw4uyBAoJ61L1ChCgpz4wVP8tHfHW1g_c"",""BD M Sangrias!a:i""),""select Col6 where Col7 = 'Depositada' and Col9 = '""&amp;K455&amp;""' and Col6 ="&amp;" ""&amp;M455&amp;"" and Col4 = date '""&amp;YEAR(C455)&amp;""-""&amp;MONTH(C455)&amp;""-""&amp;DAY(C455)&amp;""'""))&gt;0,""Depositada"",if(sum(QUERY(IMPORTRANGE(""https://docs.google.com/spreadsheets/d/1EcLIvUgMoBC5as4ikW0wuQsGH5yVZ6cQ1y16qEfgPnk"",""BD M Sangrias!a:i""),""select Col6 whe"&amp;"re Col7 = 'Caixa Atendimento' and Col9 = '""&amp;K455&amp;""' and Col6 = ""&amp;M455&amp;"" and Col4 = date '""&amp;YEAR(C455)&amp;""-""&amp;MONTH(C455)&amp;""-""&amp;DAY(C455)&amp;""'""))&gt;0,""Caixa Atendimento"",""Caixa Sangria"")),""""),""Caixa Sangria"")"),"")</f>
        <v/>
      </c>
      <c r="M455" s="185" t="str">
        <f>IFERROR(__xludf.DUMMYFUNCTION("ifna(VALUE(REGEXEXTRACT(E455,""[0-9.]+[,]+[0-9]+"")))"),"")</f>
        <v/>
      </c>
      <c r="N455" s="185"/>
      <c r="O455" s="185"/>
      <c r="P455" s="185"/>
      <c r="Q455" s="185"/>
      <c r="R455" s="185"/>
      <c r="S455" s="185"/>
      <c r="T455" s="185"/>
      <c r="U455" s="185"/>
      <c r="V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184" t="str">
        <f>IFERROR(__xludf.DUMMYFUNCTION("ifna(IF(and(D456=""Saída"",J456=""Sangria""),if(sum(QUERY(IMPORTRANGE(""https://docs.google.com/spreadsheets/d/1E4szPcLzsqlw4uyBAoJ61L1ChCgpz4wVP8tHfHW1g_c"",""BD M Sangrias!a:i""),""select Col6 where Col7 = 'Depositada' and Col9 = '""&amp;K456&amp;""' and Col6 ="&amp;" ""&amp;M456&amp;"" and Col4 = date '""&amp;YEAR(C456)&amp;""-""&amp;MONTH(C456)&amp;""-""&amp;DAY(C456)&amp;""'""))&gt;0,""Depositada"",if(sum(QUERY(IMPORTRANGE(""https://docs.google.com/spreadsheets/d/1EcLIvUgMoBC5as4ikW0wuQsGH5yVZ6cQ1y16qEfgPnk"",""BD M Sangrias!a:i""),""select Col6 whe"&amp;"re Col7 = 'Caixa Atendimento' and Col9 = '""&amp;K456&amp;""' and Col6 = ""&amp;M456&amp;"" and Col4 = date '""&amp;YEAR(C456)&amp;""-""&amp;MONTH(C456)&amp;""-""&amp;DAY(C456)&amp;""'""))&gt;0,""Caixa Atendimento"",""Caixa Sangria"")),""""),""Caixa Sangria"")"),"")</f>
        <v/>
      </c>
      <c r="M456" s="185" t="str">
        <f>IFERROR(__xludf.DUMMYFUNCTION("ifna(VALUE(REGEXEXTRACT(E456,""[0-9.]+[,]+[0-9]+"")))"),"")</f>
        <v/>
      </c>
      <c r="N456" s="185"/>
      <c r="O456" s="185"/>
      <c r="P456" s="185"/>
      <c r="Q456" s="185"/>
      <c r="R456" s="185"/>
      <c r="S456" s="185"/>
      <c r="T456" s="185"/>
      <c r="U456" s="185"/>
      <c r="V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184" t="str">
        <f>IFERROR(__xludf.DUMMYFUNCTION("ifna(IF(and(D457=""Saída"",J457=""Sangria""),if(sum(QUERY(IMPORTRANGE(""https://docs.google.com/spreadsheets/d/1E4szPcLzsqlw4uyBAoJ61L1ChCgpz4wVP8tHfHW1g_c"",""BD M Sangrias!a:i""),""select Col6 where Col7 = 'Depositada' and Col9 = '""&amp;K457&amp;""' and Col6 ="&amp;" ""&amp;M457&amp;"" and Col4 = date '""&amp;YEAR(C457)&amp;""-""&amp;MONTH(C457)&amp;""-""&amp;DAY(C457)&amp;""'""))&gt;0,""Depositada"",if(sum(QUERY(IMPORTRANGE(""https://docs.google.com/spreadsheets/d/1EcLIvUgMoBC5as4ikW0wuQsGH5yVZ6cQ1y16qEfgPnk"",""BD M Sangrias!a:i""),""select Col6 whe"&amp;"re Col7 = 'Caixa Atendimento' and Col9 = '""&amp;K457&amp;""' and Col6 = ""&amp;M457&amp;"" and Col4 = date '""&amp;YEAR(C457)&amp;""-""&amp;MONTH(C457)&amp;""-""&amp;DAY(C457)&amp;""'""))&gt;0,""Caixa Atendimento"",""Caixa Sangria"")),""""),""Caixa Sangria"")"),"")</f>
        <v/>
      </c>
      <c r="M457" s="185" t="str">
        <f>IFERROR(__xludf.DUMMYFUNCTION("ifna(VALUE(REGEXEXTRACT(E457,""[0-9.]+[,]+[0-9]+"")))"),"")</f>
        <v/>
      </c>
      <c r="N457" s="185"/>
      <c r="O457" s="185"/>
      <c r="P457" s="185"/>
      <c r="Q457" s="185"/>
      <c r="R457" s="185"/>
      <c r="S457" s="185"/>
      <c r="T457" s="185"/>
      <c r="U457" s="185"/>
      <c r="V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184" t="str">
        <f>IFERROR(__xludf.DUMMYFUNCTION("ifna(IF(and(D458=""Saída"",J458=""Sangria""),if(sum(QUERY(IMPORTRANGE(""https://docs.google.com/spreadsheets/d/1E4szPcLzsqlw4uyBAoJ61L1ChCgpz4wVP8tHfHW1g_c"",""BD M Sangrias!a:i""),""select Col6 where Col7 = 'Depositada' and Col9 = '""&amp;K458&amp;""' and Col6 ="&amp;" ""&amp;M458&amp;"" and Col4 = date '""&amp;YEAR(C458)&amp;""-""&amp;MONTH(C458)&amp;""-""&amp;DAY(C458)&amp;""'""))&gt;0,""Depositada"",if(sum(QUERY(IMPORTRANGE(""https://docs.google.com/spreadsheets/d/1EcLIvUgMoBC5as4ikW0wuQsGH5yVZ6cQ1y16qEfgPnk"",""BD M Sangrias!a:i""),""select Col6 whe"&amp;"re Col7 = 'Caixa Atendimento' and Col9 = '""&amp;K458&amp;""' and Col6 = ""&amp;M458&amp;"" and Col4 = date '""&amp;YEAR(C458)&amp;""-""&amp;MONTH(C458)&amp;""-""&amp;DAY(C458)&amp;""'""))&gt;0,""Caixa Atendimento"",""Caixa Sangria"")),""""),""Caixa Sangria"")"),"")</f>
        <v/>
      </c>
      <c r="M458" s="185" t="str">
        <f>IFERROR(__xludf.DUMMYFUNCTION("ifna(VALUE(REGEXEXTRACT(E458,""[0-9.]+[,]+[0-9]+"")))"),"")</f>
        <v/>
      </c>
      <c r="N458" s="185"/>
      <c r="O458" s="185"/>
      <c r="P458" s="185"/>
      <c r="Q458" s="185"/>
      <c r="R458" s="185"/>
      <c r="S458" s="185"/>
      <c r="T458" s="185"/>
      <c r="U458" s="185"/>
      <c r="V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184" t="str">
        <f>IFERROR(__xludf.DUMMYFUNCTION("ifna(IF(and(D459=""Saída"",J459=""Sangria""),if(sum(QUERY(IMPORTRANGE(""https://docs.google.com/spreadsheets/d/1E4szPcLzsqlw4uyBAoJ61L1ChCgpz4wVP8tHfHW1g_c"",""BD M Sangrias!a:i""),""select Col6 where Col7 = 'Depositada' and Col9 = '""&amp;K459&amp;""' and Col6 ="&amp;" ""&amp;M459&amp;"" and Col4 = date '""&amp;YEAR(C459)&amp;""-""&amp;MONTH(C459)&amp;""-""&amp;DAY(C459)&amp;""'""))&gt;0,""Depositada"",if(sum(QUERY(IMPORTRANGE(""https://docs.google.com/spreadsheets/d/1EcLIvUgMoBC5as4ikW0wuQsGH5yVZ6cQ1y16qEfgPnk"",""BD M Sangrias!a:i""),""select Col6 whe"&amp;"re Col7 = 'Caixa Atendimento' and Col9 = '""&amp;K459&amp;""' and Col6 = ""&amp;M459&amp;"" and Col4 = date '""&amp;YEAR(C459)&amp;""-""&amp;MONTH(C459)&amp;""-""&amp;DAY(C459)&amp;""'""))&gt;0,""Caixa Atendimento"",""Caixa Sangria"")),""""),""Caixa Sangria"")"),"")</f>
        <v/>
      </c>
      <c r="M459" s="185" t="str">
        <f>IFERROR(__xludf.DUMMYFUNCTION("ifna(VALUE(REGEXEXTRACT(E459,""[0-9.]+[,]+[0-9]+"")))"),"")</f>
        <v/>
      </c>
      <c r="N459" s="185"/>
      <c r="O459" s="185"/>
      <c r="P459" s="185"/>
      <c r="Q459" s="185"/>
      <c r="R459" s="185"/>
      <c r="S459" s="185"/>
      <c r="T459" s="185"/>
      <c r="U459" s="185"/>
      <c r="V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184" t="str">
        <f>IFERROR(__xludf.DUMMYFUNCTION("ifna(IF(and(D460=""Saída"",J460=""Sangria""),if(sum(QUERY(IMPORTRANGE(""https://docs.google.com/spreadsheets/d/1E4szPcLzsqlw4uyBAoJ61L1ChCgpz4wVP8tHfHW1g_c"",""BD M Sangrias!a:i""),""select Col6 where Col7 = 'Depositada' and Col9 = '""&amp;K460&amp;""' and Col6 ="&amp;" ""&amp;M460&amp;"" and Col4 = date '""&amp;YEAR(C460)&amp;""-""&amp;MONTH(C460)&amp;""-""&amp;DAY(C460)&amp;""'""))&gt;0,""Depositada"",if(sum(QUERY(IMPORTRANGE(""https://docs.google.com/spreadsheets/d/1EcLIvUgMoBC5as4ikW0wuQsGH5yVZ6cQ1y16qEfgPnk"",""BD M Sangrias!a:i""),""select Col6 whe"&amp;"re Col7 = 'Caixa Atendimento' and Col9 = '""&amp;K460&amp;""' and Col6 = ""&amp;M460&amp;"" and Col4 = date '""&amp;YEAR(C460)&amp;""-""&amp;MONTH(C460)&amp;""-""&amp;DAY(C460)&amp;""'""))&gt;0,""Caixa Atendimento"",""Caixa Sangria"")),""""),""Caixa Sangria"")"),"")</f>
        <v/>
      </c>
      <c r="M460" s="185" t="str">
        <f>IFERROR(__xludf.DUMMYFUNCTION("ifna(VALUE(REGEXEXTRACT(E460,""[0-9.]+[,]+[0-9]+"")))"),"")</f>
        <v/>
      </c>
      <c r="N460" s="185"/>
      <c r="O460" s="185"/>
      <c r="P460" s="185"/>
      <c r="Q460" s="185"/>
      <c r="R460" s="185"/>
      <c r="S460" s="185"/>
      <c r="T460" s="185"/>
      <c r="U460" s="185"/>
      <c r="V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184" t="str">
        <f>IFERROR(__xludf.DUMMYFUNCTION("ifna(IF(and(D461=""Saída"",J461=""Sangria""),if(sum(QUERY(IMPORTRANGE(""https://docs.google.com/spreadsheets/d/1E4szPcLzsqlw4uyBAoJ61L1ChCgpz4wVP8tHfHW1g_c"",""BD M Sangrias!a:i""),""select Col6 where Col7 = 'Depositada' and Col9 = '""&amp;K461&amp;""' and Col6 ="&amp;" ""&amp;M461&amp;"" and Col4 = date '""&amp;YEAR(C461)&amp;""-""&amp;MONTH(C461)&amp;""-""&amp;DAY(C461)&amp;""'""))&gt;0,""Depositada"",if(sum(QUERY(IMPORTRANGE(""https://docs.google.com/spreadsheets/d/1EcLIvUgMoBC5as4ikW0wuQsGH5yVZ6cQ1y16qEfgPnk"",""BD M Sangrias!a:i""),""select Col6 whe"&amp;"re Col7 = 'Caixa Atendimento' and Col9 = '""&amp;K461&amp;""' and Col6 = ""&amp;M461&amp;"" and Col4 = date '""&amp;YEAR(C461)&amp;""-""&amp;MONTH(C461)&amp;""-""&amp;DAY(C461)&amp;""'""))&gt;0,""Caixa Atendimento"",""Caixa Sangria"")),""""),""Caixa Sangria"")"),"")</f>
        <v/>
      </c>
      <c r="M461" s="185" t="str">
        <f>IFERROR(__xludf.DUMMYFUNCTION("ifna(VALUE(REGEXEXTRACT(E461,""[0-9.]+[,]+[0-9]+"")))"),"")</f>
        <v/>
      </c>
      <c r="N461" s="185"/>
      <c r="O461" s="185"/>
      <c r="P461" s="185"/>
      <c r="Q461" s="185"/>
      <c r="R461" s="185"/>
      <c r="S461" s="185"/>
      <c r="T461" s="185"/>
      <c r="U461" s="185"/>
      <c r="V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184" t="str">
        <f>IFERROR(__xludf.DUMMYFUNCTION("ifna(IF(and(D462=""Saída"",J462=""Sangria""),if(sum(QUERY(IMPORTRANGE(""https://docs.google.com/spreadsheets/d/1E4szPcLzsqlw4uyBAoJ61L1ChCgpz4wVP8tHfHW1g_c"",""BD M Sangrias!a:i""),""select Col6 where Col7 = 'Depositada' and Col9 = '""&amp;K462&amp;""' and Col6 ="&amp;" ""&amp;M462&amp;"" and Col4 = date '""&amp;YEAR(C462)&amp;""-""&amp;MONTH(C462)&amp;""-""&amp;DAY(C462)&amp;""'""))&gt;0,""Depositada"",if(sum(QUERY(IMPORTRANGE(""https://docs.google.com/spreadsheets/d/1EcLIvUgMoBC5as4ikW0wuQsGH5yVZ6cQ1y16qEfgPnk"",""BD M Sangrias!a:i""),""select Col6 whe"&amp;"re Col7 = 'Caixa Atendimento' and Col9 = '""&amp;K462&amp;""' and Col6 = ""&amp;M462&amp;"" and Col4 = date '""&amp;YEAR(C462)&amp;""-""&amp;MONTH(C462)&amp;""-""&amp;DAY(C462)&amp;""'""))&gt;0,""Caixa Atendimento"",""Caixa Sangria"")),""""),""Caixa Sangria"")"),"")</f>
        <v/>
      </c>
      <c r="M462" s="185" t="str">
        <f>IFERROR(__xludf.DUMMYFUNCTION("ifna(VALUE(REGEXEXTRACT(E462,""[0-9.]+[,]+[0-9]+"")))"),"")</f>
        <v/>
      </c>
      <c r="N462" s="185"/>
      <c r="O462" s="185"/>
      <c r="P462" s="185"/>
      <c r="Q462" s="185"/>
      <c r="R462" s="185"/>
      <c r="S462" s="185"/>
      <c r="T462" s="185"/>
      <c r="U462" s="185"/>
      <c r="V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184" t="str">
        <f>IFERROR(__xludf.DUMMYFUNCTION("ifna(IF(and(D463=""Saída"",J463=""Sangria""),if(sum(QUERY(IMPORTRANGE(""https://docs.google.com/spreadsheets/d/1E4szPcLzsqlw4uyBAoJ61L1ChCgpz4wVP8tHfHW1g_c"",""BD M Sangrias!a:i""),""select Col6 where Col7 = 'Depositada' and Col9 = '""&amp;K463&amp;""' and Col6 ="&amp;" ""&amp;M463&amp;"" and Col4 = date '""&amp;YEAR(C463)&amp;""-""&amp;MONTH(C463)&amp;""-""&amp;DAY(C463)&amp;""'""))&gt;0,""Depositada"",if(sum(QUERY(IMPORTRANGE(""https://docs.google.com/spreadsheets/d/1EcLIvUgMoBC5as4ikW0wuQsGH5yVZ6cQ1y16qEfgPnk"",""BD M Sangrias!a:i""),""select Col6 whe"&amp;"re Col7 = 'Caixa Atendimento' and Col9 = '""&amp;K463&amp;""' and Col6 = ""&amp;M463&amp;"" and Col4 = date '""&amp;YEAR(C463)&amp;""-""&amp;MONTH(C463)&amp;""-""&amp;DAY(C463)&amp;""'""))&gt;0,""Caixa Atendimento"",""Caixa Sangria"")),""""),""Caixa Sangria"")"),"")</f>
        <v/>
      </c>
      <c r="M463" s="185" t="str">
        <f>IFERROR(__xludf.DUMMYFUNCTION("ifna(VALUE(REGEXEXTRACT(E463,""[0-9.]+[,]+[0-9]+"")))"),"")</f>
        <v/>
      </c>
      <c r="N463" s="185"/>
      <c r="O463" s="185"/>
      <c r="P463" s="185"/>
      <c r="Q463" s="185"/>
      <c r="R463" s="185"/>
      <c r="S463" s="185"/>
      <c r="T463" s="185"/>
      <c r="U463" s="185"/>
      <c r="V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184" t="str">
        <f>IFERROR(__xludf.DUMMYFUNCTION("ifna(IF(and(D464=""Saída"",J464=""Sangria""),if(sum(QUERY(IMPORTRANGE(""https://docs.google.com/spreadsheets/d/1E4szPcLzsqlw4uyBAoJ61L1ChCgpz4wVP8tHfHW1g_c"",""BD M Sangrias!a:i""),""select Col6 where Col7 = 'Depositada' and Col9 = '""&amp;K464&amp;""' and Col6 ="&amp;" ""&amp;M464&amp;"" and Col4 = date '""&amp;YEAR(C464)&amp;""-""&amp;MONTH(C464)&amp;""-""&amp;DAY(C464)&amp;""'""))&gt;0,""Depositada"",if(sum(QUERY(IMPORTRANGE(""https://docs.google.com/spreadsheets/d/1EcLIvUgMoBC5as4ikW0wuQsGH5yVZ6cQ1y16qEfgPnk"",""BD M Sangrias!a:i""),""select Col6 whe"&amp;"re Col7 = 'Caixa Atendimento' and Col9 = '""&amp;K464&amp;""' and Col6 = ""&amp;M464&amp;"" and Col4 = date '""&amp;YEAR(C464)&amp;""-""&amp;MONTH(C464)&amp;""-""&amp;DAY(C464)&amp;""'""))&gt;0,""Caixa Atendimento"",""Caixa Sangria"")),""""),""Caixa Sangria"")"),"")</f>
        <v/>
      </c>
      <c r="M464" s="185" t="str">
        <f>IFERROR(__xludf.DUMMYFUNCTION("ifna(VALUE(REGEXEXTRACT(E464,""[0-9.]+[,]+[0-9]+"")))"),"")</f>
        <v/>
      </c>
      <c r="N464" s="185"/>
      <c r="O464" s="185"/>
      <c r="P464" s="185"/>
      <c r="Q464" s="185"/>
      <c r="R464" s="185"/>
      <c r="S464" s="185"/>
      <c r="T464" s="185"/>
      <c r="U464" s="185"/>
      <c r="V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184" t="str">
        <f>IFERROR(__xludf.DUMMYFUNCTION("ifna(IF(and(D465=""Saída"",J465=""Sangria""),if(sum(QUERY(IMPORTRANGE(""https://docs.google.com/spreadsheets/d/1E4szPcLzsqlw4uyBAoJ61L1ChCgpz4wVP8tHfHW1g_c"",""BD M Sangrias!a:i""),""select Col6 where Col7 = 'Depositada' and Col9 = '""&amp;K465&amp;""' and Col6 ="&amp;" ""&amp;M465&amp;"" and Col4 = date '""&amp;YEAR(C465)&amp;""-""&amp;MONTH(C465)&amp;""-""&amp;DAY(C465)&amp;""'""))&gt;0,""Depositada"",if(sum(QUERY(IMPORTRANGE(""https://docs.google.com/spreadsheets/d/1EcLIvUgMoBC5as4ikW0wuQsGH5yVZ6cQ1y16qEfgPnk"",""BD M Sangrias!a:i""),""select Col6 whe"&amp;"re Col7 = 'Caixa Atendimento' and Col9 = '""&amp;K465&amp;""' and Col6 = ""&amp;M465&amp;"" and Col4 = date '""&amp;YEAR(C465)&amp;""-""&amp;MONTH(C465)&amp;""-""&amp;DAY(C465)&amp;""'""))&gt;0,""Caixa Atendimento"",""Caixa Sangria"")),""""),""Caixa Sangria"")"),"")</f>
        <v/>
      </c>
      <c r="M465" s="185" t="str">
        <f>IFERROR(__xludf.DUMMYFUNCTION("ifna(VALUE(REGEXEXTRACT(E465,""[0-9.]+[,]+[0-9]+"")))"),"")</f>
        <v/>
      </c>
      <c r="N465" s="185"/>
      <c r="O465" s="185"/>
      <c r="P465" s="185"/>
      <c r="Q465" s="185"/>
      <c r="R465" s="185"/>
      <c r="S465" s="185"/>
      <c r="T465" s="185"/>
      <c r="U465" s="185"/>
      <c r="V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184" t="str">
        <f>IFERROR(__xludf.DUMMYFUNCTION("ifna(IF(and(D466=""Saída"",J466=""Sangria""),if(sum(QUERY(IMPORTRANGE(""https://docs.google.com/spreadsheets/d/1E4szPcLzsqlw4uyBAoJ61L1ChCgpz4wVP8tHfHW1g_c"",""BD M Sangrias!a:i""),""select Col6 where Col7 = 'Depositada' and Col9 = '""&amp;K466&amp;""' and Col6 ="&amp;" ""&amp;M466&amp;"" and Col4 = date '""&amp;YEAR(C466)&amp;""-""&amp;MONTH(C466)&amp;""-""&amp;DAY(C466)&amp;""'""))&gt;0,""Depositada"",if(sum(QUERY(IMPORTRANGE(""https://docs.google.com/spreadsheets/d/1EcLIvUgMoBC5as4ikW0wuQsGH5yVZ6cQ1y16qEfgPnk"",""BD M Sangrias!a:i""),""select Col6 whe"&amp;"re Col7 = 'Caixa Atendimento' and Col9 = '""&amp;K466&amp;""' and Col6 = ""&amp;M466&amp;"" and Col4 = date '""&amp;YEAR(C466)&amp;""-""&amp;MONTH(C466)&amp;""-""&amp;DAY(C466)&amp;""'""))&gt;0,""Caixa Atendimento"",""Caixa Sangria"")),""""),""Caixa Sangria"")"),"")</f>
        <v/>
      </c>
      <c r="M466" s="185" t="str">
        <f>IFERROR(__xludf.DUMMYFUNCTION("ifna(VALUE(REGEXEXTRACT(E466,""[0-9.]+[,]+[0-9]+"")))"),"")</f>
        <v/>
      </c>
      <c r="N466" s="185"/>
      <c r="O466" s="185"/>
      <c r="P466" s="185"/>
      <c r="Q466" s="185"/>
      <c r="R466" s="185"/>
      <c r="S466" s="185"/>
      <c r="T466" s="185"/>
      <c r="U466" s="185"/>
      <c r="V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184" t="str">
        <f>IFERROR(__xludf.DUMMYFUNCTION("ifna(IF(and(D467=""Saída"",J467=""Sangria""),if(sum(QUERY(IMPORTRANGE(""https://docs.google.com/spreadsheets/d/1E4szPcLzsqlw4uyBAoJ61L1ChCgpz4wVP8tHfHW1g_c"",""BD M Sangrias!a:i""),""select Col6 where Col7 = 'Depositada' and Col9 = '""&amp;K467&amp;""' and Col6 ="&amp;" ""&amp;M467&amp;"" and Col4 = date '""&amp;YEAR(C467)&amp;""-""&amp;MONTH(C467)&amp;""-""&amp;DAY(C467)&amp;""'""))&gt;0,""Depositada"",if(sum(QUERY(IMPORTRANGE(""https://docs.google.com/spreadsheets/d/1EcLIvUgMoBC5as4ikW0wuQsGH5yVZ6cQ1y16qEfgPnk"",""BD M Sangrias!a:i""),""select Col6 whe"&amp;"re Col7 = 'Caixa Atendimento' and Col9 = '""&amp;K467&amp;""' and Col6 = ""&amp;M467&amp;"" and Col4 = date '""&amp;YEAR(C467)&amp;""-""&amp;MONTH(C467)&amp;""-""&amp;DAY(C467)&amp;""'""))&gt;0,""Caixa Atendimento"",""Caixa Sangria"")),""""),""Caixa Sangria"")"),"")</f>
        <v/>
      </c>
      <c r="M467" s="185" t="str">
        <f>IFERROR(__xludf.DUMMYFUNCTION("ifna(VALUE(REGEXEXTRACT(E467,""[0-9.]+[,]+[0-9]+"")))"),"")</f>
        <v/>
      </c>
      <c r="N467" s="185"/>
      <c r="O467" s="185"/>
      <c r="P467" s="185"/>
      <c r="Q467" s="185"/>
      <c r="R467" s="185"/>
      <c r="S467" s="185"/>
      <c r="T467" s="185"/>
      <c r="U467" s="185"/>
      <c r="V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184" t="str">
        <f>IFERROR(__xludf.DUMMYFUNCTION("ifna(IF(and(D468=""Saída"",J468=""Sangria""),if(sum(QUERY(IMPORTRANGE(""https://docs.google.com/spreadsheets/d/1E4szPcLzsqlw4uyBAoJ61L1ChCgpz4wVP8tHfHW1g_c"",""BD M Sangrias!a:i""),""select Col6 where Col7 = 'Depositada' and Col9 = '""&amp;K468&amp;""' and Col6 ="&amp;" ""&amp;M468&amp;"" and Col4 = date '""&amp;YEAR(C468)&amp;""-""&amp;MONTH(C468)&amp;""-""&amp;DAY(C468)&amp;""'""))&gt;0,""Depositada"",if(sum(QUERY(IMPORTRANGE(""https://docs.google.com/spreadsheets/d/1EcLIvUgMoBC5as4ikW0wuQsGH5yVZ6cQ1y16qEfgPnk"",""BD M Sangrias!a:i""),""select Col6 whe"&amp;"re Col7 = 'Caixa Atendimento' and Col9 = '""&amp;K468&amp;""' and Col6 = ""&amp;M468&amp;"" and Col4 = date '""&amp;YEAR(C468)&amp;""-""&amp;MONTH(C468)&amp;""-""&amp;DAY(C468)&amp;""'""))&gt;0,""Caixa Atendimento"",""Caixa Sangria"")),""""),""Caixa Sangria"")"),"")</f>
        <v/>
      </c>
      <c r="M468" s="185" t="str">
        <f>IFERROR(__xludf.DUMMYFUNCTION("ifna(VALUE(REGEXEXTRACT(E468,""[0-9.]+[,]+[0-9]+"")))"),"")</f>
        <v/>
      </c>
      <c r="N468" s="185"/>
      <c r="O468" s="185"/>
      <c r="P468" s="185"/>
      <c r="Q468" s="185"/>
      <c r="R468" s="185"/>
      <c r="S468" s="185"/>
      <c r="T468" s="185"/>
      <c r="U468" s="185"/>
      <c r="V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184" t="str">
        <f>IFERROR(__xludf.DUMMYFUNCTION("ifna(IF(and(D469=""Saída"",J469=""Sangria""),if(sum(QUERY(IMPORTRANGE(""https://docs.google.com/spreadsheets/d/1E4szPcLzsqlw4uyBAoJ61L1ChCgpz4wVP8tHfHW1g_c"",""BD M Sangrias!a:i""),""select Col6 where Col7 = 'Depositada' and Col9 = '""&amp;K469&amp;""' and Col6 ="&amp;" ""&amp;M469&amp;"" and Col4 = date '""&amp;YEAR(C469)&amp;""-""&amp;MONTH(C469)&amp;""-""&amp;DAY(C469)&amp;""'""))&gt;0,""Depositada"",if(sum(QUERY(IMPORTRANGE(""https://docs.google.com/spreadsheets/d/1EcLIvUgMoBC5as4ikW0wuQsGH5yVZ6cQ1y16qEfgPnk"",""BD M Sangrias!a:i""),""select Col6 whe"&amp;"re Col7 = 'Caixa Atendimento' and Col9 = '""&amp;K469&amp;""' and Col6 = ""&amp;M469&amp;"" and Col4 = date '""&amp;YEAR(C469)&amp;""-""&amp;MONTH(C469)&amp;""-""&amp;DAY(C469)&amp;""'""))&gt;0,""Caixa Atendimento"",""Caixa Sangria"")),""""),""Caixa Sangria"")"),"")</f>
        <v/>
      </c>
      <c r="M469" s="185" t="str">
        <f>IFERROR(__xludf.DUMMYFUNCTION("ifna(VALUE(REGEXEXTRACT(E469,""[0-9.]+[,]+[0-9]+"")))"),"")</f>
        <v/>
      </c>
      <c r="N469" s="185"/>
      <c r="O469" s="185"/>
      <c r="P469" s="185"/>
      <c r="Q469" s="185"/>
      <c r="R469" s="185"/>
      <c r="S469" s="185"/>
      <c r="T469" s="185"/>
      <c r="U469" s="185"/>
      <c r="V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184" t="str">
        <f>IFERROR(__xludf.DUMMYFUNCTION("ifna(IF(and(D470=""Saída"",J470=""Sangria""),if(sum(QUERY(IMPORTRANGE(""https://docs.google.com/spreadsheets/d/1E4szPcLzsqlw4uyBAoJ61L1ChCgpz4wVP8tHfHW1g_c"",""BD M Sangrias!a:i""),""select Col6 where Col7 = 'Depositada' and Col9 = '""&amp;K470&amp;""' and Col6 ="&amp;" ""&amp;M470&amp;"" and Col4 = date '""&amp;YEAR(C470)&amp;""-""&amp;MONTH(C470)&amp;""-""&amp;DAY(C470)&amp;""'""))&gt;0,""Depositada"",if(sum(QUERY(IMPORTRANGE(""https://docs.google.com/spreadsheets/d/1EcLIvUgMoBC5as4ikW0wuQsGH5yVZ6cQ1y16qEfgPnk"",""BD M Sangrias!a:i""),""select Col6 whe"&amp;"re Col7 = 'Caixa Atendimento' and Col9 = '""&amp;K470&amp;""' and Col6 = ""&amp;M470&amp;"" and Col4 = date '""&amp;YEAR(C470)&amp;""-""&amp;MONTH(C470)&amp;""-""&amp;DAY(C470)&amp;""'""))&gt;0,""Caixa Atendimento"",""Caixa Sangria"")),""""),""Caixa Sangria"")"),"")</f>
        <v/>
      </c>
      <c r="M470" s="185" t="str">
        <f>IFERROR(__xludf.DUMMYFUNCTION("ifna(VALUE(REGEXEXTRACT(E470,""[0-9.]+[,]+[0-9]+"")))"),"")</f>
        <v/>
      </c>
      <c r="N470" s="185"/>
      <c r="O470" s="185"/>
      <c r="P470" s="185"/>
      <c r="Q470" s="185"/>
      <c r="R470" s="185"/>
      <c r="S470" s="185"/>
      <c r="T470" s="185"/>
      <c r="U470" s="185"/>
      <c r="V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184" t="str">
        <f>IFERROR(__xludf.DUMMYFUNCTION("ifna(IF(and(D471=""Saída"",J471=""Sangria""),if(sum(QUERY(IMPORTRANGE(""https://docs.google.com/spreadsheets/d/1E4szPcLzsqlw4uyBAoJ61L1ChCgpz4wVP8tHfHW1g_c"",""BD M Sangrias!a:i""),""select Col6 where Col7 = 'Depositada' and Col9 = '""&amp;K471&amp;""' and Col6 ="&amp;" ""&amp;M471&amp;"" and Col4 = date '""&amp;YEAR(C471)&amp;""-""&amp;MONTH(C471)&amp;""-""&amp;DAY(C471)&amp;""'""))&gt;0,""Depositada"",if(sum(QUERY(IMPORTRANGE(""https://docs.google.com/spreadsheets/d/1EcLIvUgMoBC5as4ikW0wuQsGH5yVZ6cQ1y16qEfgPnk"",""BD M Sangrias!a:i""),""select Col6 whe"&amp;"re Col7 = 'Caixa Atendimento' and Col9 = '""&amp;K471&amp;""' and Col6 = ""&amp;M471&amp;"" and Col4 = date '""&amp;YEAR(C471)&amp;""-""&amp;MONTH(C471)&amp;""-""&amp;DAY(C471)&amp;""'""))&gt;0,""Caixa Atendimento"",""Caixa Sangria"")),""""),""Caixa Sangria"")"),"")</f>
        <v/>
      </c>
      <c r="M471" s="185" t="str">
        <f>IFERROR(__xludf.DUMMYFUNCTION("ifna(VALUE(REGEXEXTRACT(E471,""[0-9.]+[,]+[0-9]+"")))"),"")</f>
        <v/>
      </c>
      <c r="N471" s="185"/>
      <c r="O471" s="185"/>
      <c r="P471" s="185"/>
      <c r="Q471" s="185"/>
      <c r="R471" s="185"/>
      <c r="S471" s="185"/>
      <c r="T471" s="185"/>
      <c r="U471" s="185"/>
      <c r="V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184" t="str">
        <f>IFERROR(__xludf.DUMMYFUNCTION("ifna(IF(and(D472=""Saída"",J472=""Sangria""),if(sum(QUERY(IMPORTRANGE(""https://docs.google.com/spreadsheets/d/1E4szPcLzsqlw4uyBAoJ61L1ChCgpz4wVP8tHfHW1g_c"",""BD M Sangrias!a:i""),""select Col6 where Col7 = 'Depositada' and Col9 = '""&amp;K472&amp;""' and Col6 ="&amp;" ""&amp;M472&amp;"" and Col4 = date '""&amp;YEAR(C472)&amp;""-""&amp;MONTH(C472)&amp;""-""&amp;DAY(C472)&amp;""'""))&gt;0,""Depositada"",if(sum(QUERY(IMPORTRANGE(""https://docs.google.com/spreadsheets/d/1EcLIvUgMoBC5as4ikW0wuQsGH5yVZ6cQ1y16qEfgPnk"",""BD M Sangrias!a:i""),""select Col6 whe"&amp;"re Col7 = 'Caixa Atendimento' and Col9 = '""&amp;K472&amp;""' and Col6 = ""&amp;M472&amp;"" and Col4 = date '""&amp;YEAR(C472)&amp;""-""&amp;MONTH(C472)&amp;""-""&amp;DAY(C472)&amp;""'""))&gt;0,""Caixa Atendimento"",""Caixa Sangria"")),""""),""Caixa Sangria"")"),"")</f>
        <v/>
      </c>
      <c r="M472" s="185" t="str">
        <f>IFERROR(__xludf.DUMMYFUNCTION("ifna(VALUE(REGEXEXTRACT(E472,""[0-9.]+[,]+[0-9]+"")))"),"")</f>
        <v/>
      </c>
      <c r="N472" s="185"/>
      <c r="O472" s="185"/>
      <c r="P472" s="185"/>
      <c r="Q472" s="185"/>
      <c r="R472" s="185"/>
      <c r="S472" s="185"/>
      <c r="T472" s="185"/>
      <c r="U472" s="185"/>
      <c r="V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184" t="str">
        <f>IFERROR(__xludf.DUMMYFUNCTION("ifna(IF(and(D473=""Saída"",J473=""Sangria""),if(sum(QUERY(IMPORTRANGE(""https://docs.google.com/spreadsheets/d/1E4szPcLzsqlw4uyBAoJ61L1ChCgpz4wVP8tHfHW1g_c"",""BD M Sangrias!a:i""),""select Col6 where Col7 = 'Depositada' and Col9 = '""&amp;K473&amp;""' and Col6 ="&amp;" ""&amp;M473&amp;"" and Col4 = date '""&amp;YEAR(C473)&amp;""-""&amp;MONTH(C473)&amp;""-""&amp;DAY(C473)&amp;""'""))&gt;0,""Depositada"",if(sum(QUERY(IMPORTRANGE(""https://docs.google.com/spreadsheets/d/1EcLIvUgMoBC5as4ikW0wuQsGH5yVZ6cQ1y16qEfgPnk"",""BD M Sangrias!a:i""),""select Col6 whe"&amp;"re Col7 = 'Caixa Atendimento' and Col9 = '""&amp;K473&amp;""' and Col6 = ""&amp;M473&amp;"" and Col4 = date '""&amp;YEAR(C473)&amp;""-""&amp;MONTH(C473)&amp;""-""&amp;DAY(C473)&amp;""'""))&gt;0,""Caixa Atendimento"",""Caixa Sangria"")),""""),""Caixa Sangria"")"),"")</f>
        <v/>
      </c>
      <c r="M473" s="185" t="str">
        <f>IFERROR(__xludf.DUMMYFUNCTION("ifna(VALUE(REGEXEXTRACT(E473,""[0-9.]+[,]+[0-9]+"")))"),"")</f>
        <v/>
      </c>
      <c r="N473" s="185"/>
      <c r="O473" s="185"/>
      <c r="P473" s="185"/>
      <c r="Q473" s="185"/>
      <c r="R473" s="185"/>
      <c r="S473" s="185"/>
      <c r="T473" s="185"/>
      <c r="U473" s="185"/>
      <c r="V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184" t="str">
        <f>IFERROR(__xludf.DUMMYFUNCTION("ifna(IF(and(D474=""Saída"",J474=""Sangria""),if(sum(QUERY(IMPORTRANGE(""https://docs.google.com/spreadsheets/d/1E4szPcLzsqlw4uyBAoJ61L1ChCgpz4wVP8tHfHW1g_c"",""BD M Sangrias!a:i""),""select Col6 where Col7 = 'Depositada' and Col9 = '""&amp;K474&amp;""' and Col6 ="&amp;" ""&amp;M474&amp;"" and Col4 = date '""&amp;YEAR(C474)&amp;""-""&amp;MONTH(C474)&amp;""-""&amp;DAY(C474)&amp;""'""))&gt;0,""Depositada"",if(sum(QUERY(IMPORTRANGE(""https://docs.google.com/spreadsheets/d/1EcLIvUgMoBC5as4ikW0wuQsGH5yVZ6cQ1y16qEfgPnk"",""BD M Sangrias!a:i""),""select Col6 whe"&amp;"re Col7 = 'Caixa Atendimento' and Col9 = '""&amp;K474&amp;""' and Col6 = ""&amp;M474&amp;"" and Col4 = date '""&amp;YEAR(C474)&amp;""-""&amp;MONTH(C474)&amp;""-""&amp;DAY(C474)&amp;""'""))&gt;0,""Caixa Atendimento"",""Caixa Sangria"")),""""),""Caixa Sangria"")"),"")</f>
        <v/>
      </c>
      <c r="M474" s="185" t="str">
        <f>IFERROR(__xludf.DUMMYFUNCTION("ifna(VALUE(REGEXEXTRACT(E474,""[0-9.]+[,]+[0-9]+"")))"),"")</f>
        <v/>
      </c>
      <c r="N474" s="185"/>
      <c r="O474" s="185"/>
      <c r="P474" s="185"/>
      <c r="Q474" s="185"/>
      <c r="R474" s="185"/>
      <c r="S474" s="185"/>
      <c r="T474" s="185"/>
      <c r="U474" s="185"/>
      <c r="V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184" t="str">
        <f>IFERROR(__xludf.DUMMYFUNCTION("ifna(IF(and(D475=""Saída"",J475=""Sangria""),if(sum(QUERY(IMPORTRANGE(""https://docs.google.com/spreadsheets/d/1E4szPcLzsqlw4uyBAoJ61L1ChCgpz4wVP8tHfHW1g_c"",""BD M Sangrias!a:i""),""select Col6 where Col7 = 'Depositada' and Col9 = '""&amp;K475&amp;""' and Col6 ="&amp;" ""&amp;M475&amp;"" and Col4 = date '""&amp;YEAR(C475)&amp;""-""&amp;MONTH(C475)&amp;""-""&amp;DAY(C475)&amp;""'""))&gt;0,""Depositada"",if(sum(QUERY(IMPORTRANGE(""https://docs.google.com/spreadsheets/d/1EcLIvUgMoBC5as4ikW0wuQsGH5yVZ6cQ1y16qEfgPnk"",""BD M Sangrias!a:i""),""select Col6 whe"&amp;"re Col7 = 'Caixa Atendimento' and Col9 = '""&amp;K475&amp;""' and Col6 = ""&amp;M475&amp;"" and Col4 = date '""&amp;YEAR(C475)&amp;""-""&amp;MONTH(C475)&amp;""-""&amp;DAY(C475)&amp;""'""))&gt;0,""Caixa Atendimento"",""Caixa Sangria"")),""""),""Caixa Sangria"")"),"")</f>
        <v/>
      </c>
      <c r="M475" s="185" t="str">
        <f>IFERROR(__xludf.DUMMYFUNCTION("ifna(VALUE(REGEXEXTRACT(E475,""[0-9.]+[,]+[0-9]+"")))"),"")</f>
        <v/>
      </c>
      <c r="N475" s="185"/>
      <c r="O475" s="185"/>
      <c r="P475" s="185"/>
      <c r="Q475" s="185"/>
      <c r="R475" s="185"/>
      <c r="S475" s="185"/>
      <c r="T475" s="185"/>
      <c r="U475" s="185"/>
      <c r="V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184" t="str">
        <f>IFERROR(__xludf.DUMMYFUNCTION("ifna(IF(and(D476=""Saída"",J476=""Sangria""),if(sum(QUERY(IMPORTRANGE(""https://docs.google.com/spreadsheets/d/1E4szPcLzsqlw4uyBAoJ61L1ChCgpz4wVP8tHfHW1g_c"",""BD M Sangrias!a:i""),""select Col6 where Col7 = 'Depositada' and Col9 = '""&amp;K476&amp;""' and Col6 ="&amp;" ""&amp;M476&amp;"" and Col4 = date '""&amp;YEAR(C476)&amp;""-""&amp;MONTH(C476)&amp;""-""&amp;DAY(C476)&amp;""'""))&gt;0,""Depositada"",if(sum(QUERY(IMPORTRANGE(""https://docs.google.com/spreadsheets/d/1EcLIvUgMoBC5as4ikW0wuQsGH5yVZ6cQ1y16qEfgPnk"",""BD M Sangrias!a:i""),""select Col6 whe"&amp;"re Col7 = 'Caixa Atendimento' and Col9 = '""&amp;K476&amp;""' and Col6 = ""&amp;M476&amp;"" and Col4 = date '""&amp;YEAR(C476)&amp;""-""&amp;MONTH(C476)&amp;""-""&amp;DAY(C476)&amp;""'""))&gt;0,""Caixa Atendimento"",""Caixa Sangria"")),""""),""Caixa Sangria"")"),"")</f>
        <v/>
      </c>
      <c r="M476" s="185" t="str">
        <f>IFERROR(__xludf.DUMMYFUNCTION("ifna(VALUE(REGEXEXTRACT(E476,""[0-9.]+[,]+[0-9]+"")))"),"")</f>
        <v/>
      </c>
      <c r="N476" s="185"/>
      <c r="O476" s="185"/>
      <c r="P476" s="185"/>
      <c r="Q476" s="185"/>
      <c r="R476" s="185"/>
      <c r="S476" s="185"/>
      <c r="T476" s="185"/>
      <c r="U476" s="185"/>
      <c r="V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184" t="str">
        <f>IFERROR(__xludf.DUMMYFUNCTION("ifna(IF(and(D477=""Saída"",J477=""Sangria""),if(sum(QUERY(IMPORTRANGE(""https://docs.google.com/spreadsheets/d/1E4szPcLzsqlw4uyBAoJ61L1ChCgpz4wVP8tHfHW1g_c"",""BD M Sangrias!a:i""),""select Col6 where Col7 = 'Depositada' and Col9 = '""&amp;K477&amp;""' and Col6 ="&amp;" ""&amp;M477&amp;"" and Col4 = date '""&amp;YEAR(C477)&amp;""-""&amp;MONTH(C477)&amp;""-""&amp;DAY(C477)&amp;""'""))&gt;0,""Depositada"",if(sum(QUERY(IMPORTRANGE(""https://docs.google.com/spreadsheets/d/1EcLIvUgMoBC5as4ikW0wuQsGH5yVZ6cQ1y16qEfgPnk"",""BD M Sangrias!a:i""),""select Col6 whe"&amp;"re Col7 = 'Caixa Atendimento' and Col9 = '""&amp;K477&amp;""' and Col6 = ""&amp;M477&amp;"" and Col4 = date '""&amp;YEAR(C477)&amp;""-""&amp;MONTH(C477)&amp;""-""&amp;DAY(C477)&amp;""'""))&gt;0,""Caixa Atendimento"",""Caixa Sangria"")),""""),""Caixa Sangria"")"),"")</f>
        <v/>
      </c>
      <c r="M477" s="185" t="str">
        <f>IFERROR(__xludf.DUMMYFUNCTION("ifna(VALUE(REGEXEXTRACT(E477,""[0-9.]+[,]+[0-9]+"")))"),"")</f>
        <v/>
      </c>
      <c r="N477" s="185"/>
      <c r="O477" s="185"/>
      <c r="P477" s="185"/>
      <c r="Q477" s="185"/>
      <c r="R477" s="185"/>
      <c r="S477" s="185"/>
      <c r="T477" s="185"/>
      <c r="U477" s="185"/>
      <c r="V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184" t="str">
        <f>IFERROR(__xludf.DUMMYFUNCTION("ifna(IF(and(D478=""Saída"",J478=""Sangria""),if(sum(QUERY(IMPORTRANGE(""https://docs.google.com/spreadsheets/d/1E4szPcLzsqlw4uyBAoJ61L1ChCgpz4wVP8tHfHW1g_c"",""BD M Sangrias!a:i""),""select Col6 where Col7 = 'Depositada' and Col9 = '""&amp;K478&amp;""' and Col6 ="&amp;" ""&amp;M478&amp;"" and Col4 = date '""&amp;YEAR(C478)&amp;""-""&amp;MONTH(C478)&amp;""-""&amp;DAY(C478)&amp;""'""))&gt;0,""Depositada"",if(sum(QUERY(IMPORTRANGE(""https://docs.google.com/spreadsheets/d/1EcLIvUgMoBC5as4ikW0wuQsGH5yVZ6cQ1y16qEfgPnk"",""BD M Sangrias!a:i""),""select Col6 whe"&amp;"re Col7 = 'Caixa Atendimento' and Col9 = '""&amp;K478&amp;""' and Col6 = ""&amp;M478&amp;"" and Col4 = date '""&amp;YEAR(C478)&amp;""-""&amp;MONTH(C478)&amp;""-""&amp;DAY(C478)&amp;""'""))&gt;0,""Caixa Atendimento"",""Caixa Sangria"")),""""),""Caixa Sangria"")"),"")</f>
        <v/>
      </c>
      <c r="M478" s="185" t="str">
        <f>IFERROR(__xludf.DUMMYFUNCTION("ifna(VALUE(REGEXEXTRACT(E478,""[0-9.]+[,]+[0-9]+"")))"),"")</f>
        <v/>
      </c>
      <c r="N478" s="185"/>
      <c r="O478" s="185"/>
      <c r="P478" s="185"/>
      <c r="Q478" s="185"/>
      <c r="R478" s="185"/>
      <c r="S478" s="185"/>
      <c r="T478" s="185"/>
      <c r="U478" s="185"/>
      <c r="V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184" t="str">
        <f>IFERROR(__xludf.DUMMYFUNCTION("ifna(IF(and(D479=""Saída"",J479=""Sangria""),if(sum(QUERY(IMPORTRANGE(""https://docs.google.com/spreadsheets/d/1E4szPcLzsqlw4uyBAoJ61L1ChCgpz4wVP8tHfHW1g_c"",""BD M Sangrias!a:i""),""select Col6 where Col7 = 'Depositada' and Col9 = '""&amp;K479&amp;""' and Col6 ="&amp;" ""&amp;M479&amp;"" and Col4 = date '""&amp;YEAR(C479)&amp;""-""&amp;MONTH(C479)&amp;""-""&amp;DAY(C479)&amp;""'""))&gt;0,""Depositada"",if(sum(QUERY(IMPORTRANGE(""https://docs.google.com/spreadsheets/d/1EcLIvUgMoBC5as4ikW0wuQsGH5yVZ6cQ1y16qEfgPnk"",""BD M Sangrias!a:i""),""select Col6 whe"&amp;"re Col7 = 'Caixa Atendimento' and Col9 = '""&amp;K479&amp;""' and Col6 = ""&amp;M479&amp;"" and Col4 = date '""&amp;YEAR(C479)&amp;""-""&amp;MONTH(C479)&amp;""-""&amp;DAY(C479)&amp;""'""))&gt;0,""Caixa Atendimento"",""Caixa Sangria"")),""""),""Caixa Sangria"")"),"")</f>
        <v/>
      </c>
      <c r="M479" s="185" t="str">
        <f>IFERROR(__xludf.DUMMYFUNCTION("ifna(VALUE(REGEXEXTRACT(E479,""[0-9.]+[,]+[0-9]+"")))"),"")</f>
        <v/>
      </c>
      <c r="N479" s="185"/>
      <c r="O479" s="185"/>
      <c r="P479" s="185"/>
      <c r="Q479" s="185"/>
      <c r="R479" s="185"/>
      <c r="S479" s="185"/>
      <c r="T479" s="185"/>
      <c r="U479" s="185"/>
      <c r="V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184" t="str">
        <f>IFERROR(__xludf.DUMMYFUNCTION("ifna(IF(and(D480=""Saída"",J480=""Sangria""),if(sum(QUERY(IMPORTRANGE(""https://docs.google.com/spreadsheets/d/1E4szPcLzsqlw4uyBAoJ61L1ChCgpz4wVP8tHfHW1g_c"",""BD M Sangrias!a:i""),""select Col6 where Col7 = 'Depositada' and Col9 = '""&amp;K480&amp;""' and Col6 ="&amp;" ""&amp;M480&amp;"" and Col4 = date '""&amp;YEAR(C480)&amp;""-""&amp;MONTH(C480)&amp;""-""&amp;DAY(C480)&amp;""'""))&gt;0,""Depositada"",if(sum(QUERY(IMPORTRANGE(""https://docs.google.com/spreadsheets/d/1EcLIvUgMoBC5as4ikW0wuQsGH5yVZ6cQ1y16qEfgPnk"",""BD M Sangrias!a:i""),""select Col6 whe"&amp;"re Col7 = 'Caixa Atendimento' and Col9 = '""&amp;K480&amp;""' and Col6 = ""&amp;M480&amp;"" and Col4 = date '""&amp;YEAR(C480)&amp;""-""&amp;MONTH(C480)&amp;""-""&amp;DAY(C480)&amp;""'""))&gt;0,""Caixa Atendimento"",""Caixa Sangria"")),""""),""Caixa Sangria"")"),"")</f>
        <v/>
      </c>
      <c r="M480" s="185" t="str">
        <f>IFERROR(__xludf.DUMMYFUNCTION("ifna(VALUE(REGEXEXTRACT(E480,""[0-9.]+[,]+[0-9]+"")))"),"")</f>
        <v/>
      </c>
      <c r="N480" s="185"/>
      <c r="O480" s="185"/>
      <c r="P480" s="185"/>
      <c r="Q480" s="185"/>
      <c r="R480" s="185"/>
      <c r="S480" s="185"/>
      <c r="T480" s="185"/>
      <c r="U480" s="185"/>
      <c r="V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184" t="str">
        <f>IFERROR(__xludf.DUMMYFUNCTION("ifna(IF(and(D481=""Saída"",J481=""Sangria""),if(sum(QUERY(IMPORTRANGE(""https://docs.google.com/spreadsheets/d/1E4szPcLzsqlw4uyBAoJ61L1ChCgpz4wVP8tHfHW1g_c"",""BD M Sangrias!a:i""),""select Col6 where Col7 = 'Depositada' and Col9 = '""&amp;K481&amp;""' and Col6 ="&amp;" ""&amp;M481&amp;"" and Col4 = date '""&amp;YEAR(C481)&amp;""-""&amp;MONTH(C481)&amp;""-""&amp;DAY(C481)&amp;""'""))&gt;0,""Depositada"",if(sum(QUERY(IMPORTRANGE(""https://docs.google.com/spreadsheets/d/1EcLIvUgMoBC5as4ikW0wuQsGH5yVZ6cQ1y16qEfgPnk"",""BD M Sangrias!a:i""),""select Col6 whe"&amp;"re Col7 = 'Caixa Atendimento' and Col9 = '""&amp;K481&amp;""' and Col6 = ""&amp;M481&amp;"" and Col4 = date '""&amp;YEAR(C481)&amp;""-""&amp;MONTH(C481)&amp;""-""&amp;DAY(C481)&amp;""'""))&gt;0,""Caixa Atendimento"",""Caixa Sangria"")),""""),""Caixa Sangria"")"),"")</f>
        <v/>
      </c>
      <c r="M481" s="185" t="str">
        <f>IFERROR(__xludf.DUMMYFUNCTION("ifna(VALUE(REGEXEXTRACT(E481,""[0-9.]+[,]+[0-9]+"")))"),"")</f>
        <v/>
      </c>
      <c r="N481" s="185"/>
      <c r="O481" s="185"/>
      <c r="P481" s="185"/>
      <c r="Q481" s="185"/>
      <c r="R481" s="185"/>
      <c r="S481" s="185"/>
      <c r="T481" s="185"/>
      <c r="U481" s="185"/>
      <c r="V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184" t="str">
        <f>IFERROR(__xludf.DUMMYFUNCTION("ifna(IF(and(D482=""Saída"",J482=""Sangria""),if(sum(QUERY(IMPORTRANGE(""https://docs.google.com/spreadsheets/d/1E4szPcLzsqlw4uyBAoJ61L1ChCgpz4wVP8tHfHW1g_c"",""BD M Sangrias!a:i""),""select Col6 where Col7 = 'Depositada' and Col9 = '""&amp;K482&amp;""' and Col6 ="&amp;" ""&amp;M482&amp;"" and Col4 = date '""&amp;YEAR(C482)&amp;""-""&amp;MONTH(C482)&amp;""-""&amp;DAY(C482)&amp;""'""))&gt;0,""Depositada"",if(sum(QUERY(IMPORTRANGE(""https://docs.google.com/spreadsheets/d/1EcLIvUgMoBC5as4ikW0wuQsGH5yVZ6cQ1y16qEfgPnk"",""BD M Sangrias!a:i""),""select Col6 whe"&amp;"re Col7 = 'Caixa Atendimento' and Col9 = '""&amp;K482&amp;""' and Col6 = ""&amp;M482&amp;"" and Col4 = date '""&amp;YEAR(C482)&amp;""-""&amp;MONTH(C482)&amp;""-""&amp;DAY(C482)&amp;""'""))&gt;0,""Caixa Atendimento"",""Caixa Sangria"")),""""),""Caixa Sangria"")"),"")</f>
        <v/>
      </c>
      <c r="M482" s="185" t="str">
        <f>IFERROR(__xludf.DUMMYFUNCTION("ifna(VALUE(REGEXEXTRACT(E482,""[0-9.]+[,]+[0-9]+"")))"),"")</f>
        <v/>
      </c>
      <c r="N482" s="185"/>
      <c r="O482" s="185"/>
      <c r="P482" s="185"/>
      <c r="Q482" s="185"/>
      <c r="R482" s="185"/>
      <c r="S482" s="185"/>
      <c r="T482" s="185"/>
      <c r="U482" s="185"/>
      <c r="V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184" t="str">
        <f>IFERROR(__xludf.DUMMYFUNCTION("ifna(IF(and(D483=""Saída"",J483=""Sangria""),if(sum(QUERY(IMPORTRANGE(""https://docs.google.com/spreadsheets/d/1E4szPcLzsqlw4uyBAoJ61L1ChCgpz4wVP8tHfHW1g_c"",""BD M Sangrias!a:i""),""select Col6 where Col7 = 'Depositada' and Col9 = '""&amp;K483&amp;""' and Col6 ="&amp;" ""&amp;M483&amp;"" and Col4 = date '""&amp;YEAR(C483)&amp;""-""&amp;MONTH(C483)&amp;""-""&amp;DAY(C483)&amp;""'""))&gt;0,""Depositada"",if(sum(QUERY(IMPORTRANGE(""https://docs.google.com/spreadsheets/d/1EcLIvUgMoBC5as4ikW0wuQsGH5yVZ6cQ1y16qEfgPnk"",""BD M Sangrias!a:i""),""select Col6 whe"&amp;"re Col7 = 'Caixa Atendimento' and Col9 = '""&amp;K483&amp;""' and Col6 = ""&amp;M483&amp;"" and Col4 = date '""&amp;YEAR(C483)&amp;""-""&amp;MONTH(C483)&amp;""-""&amp;DAY(C483)&amp;""'""))&gt;0,""Caixa Atendimento"",""Caixa Sangria"")),""""),""Caixa Sangria"")"),"")</f>
        <v/>
      </c>
      <c r="M483" s="185" t="str">
        <f>IFERROR(__xludf.DUMMYFUNCTION("ifna(VALUE(REGEXEXTRACT(E483,""[0-9.]+[,]+[0-9]+"")))"),"")</f>
        <v/>
      </c>
      <c r="N483" s="185"/>
      <c r="O483" s="185"/>
      <c r="P483" s="185"/>
      <c r="Q483" s="185"/>
      <c r="R483" s="185"/>
      <c r="S483" s="185"/>
      <c r="T483" s="185"/>
      <c r="U483" s="185"/>
      <c r="V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184" t="str">
        <f>IFERROR(__xludf.DUMMYFUNCTION("ifna(IF(and(D484=""Saída"",J484=""Sangria""),if(sum(QUERY(IMPORTRANGE(""https://docs.google.com/spreadsheets/d/1E4szPcLzsqlw4uyBAoJ61L1ChCgpz4wVP8tHfHW1g_c"",""BD M Sangrias!a:i""),""select Col6 where Col7 = 'Depositada' and Col9 = '""&amp;K484&amp;""' and Col6 ="&amp;" ""&amp;M484&amp;"" and Col4 = date '""&amp;YEAR(C484)&amp;""-""&amp;MONTH(C484)&amp;""-""&amp;DAY(C484)&amp;""'""))&gt;0,""Depositada"",if(sum(QUERY(IMPORTRANGE(""https://docs.google.com/spreadsheets/d/1EcLIvUgMoBC5as4ikW0wuQsGH5yVZ6cQ1y16qEfgPnk"",""BD M Sangrias!a:i""),""select Col6 whe"&amp;"re Col7 = 'Caixa Atendimento' and Col9 = '""&amp;K484&amp;""' and Col6 = ""&amp;M484&amp;"" and Col4 = date '""&amp;YEAR(C484)&amp;""-""&amp;MONTH(C484)&amp;""-""&amp;DAY(C484)&amp;""'""))&gt;0,""Caixa Atendimento"",""Caixa Sangria"")),""""),""Caixa Sangria"")"),"")</f>
        <v/>
      </c>
      <c r="M484" s="185" t="str">
        <f>IFERROR(__xludf.DUMMYFUNCTION("ifna(VALUE(REGEXEXTRACT(E484,""[0-9.]+[,]+[0-9]+"")))"),"")</f>
        <v/>
      </c>
      <c r="N484" s="185"/>
      <c r="O484" s="185"/>
      <c r="P484" s="185"/>
      <c r="Q484" s="185"/>
      <c r="R484" s="185"/>
      <c r="S484" s="185"/>
      <c r="T484" s="185"/>
      <c r="U484" s="185"/>
      <c r="V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184" t="str">
        <f>IFERROR(__xludf.DUMMYFUNCTION("ifna(IF(and(D485=""Saída"",J485=""Sangria""),if(sum(QUERY(IMPORTRANGE(""https://docs.google.com/spreadsheets/d/1E4szPcLzsqlw4uyBAoJ61L1ChCgpz4wVP8tHfHW1g_c"",""BD M Sangrias!a:i""),""select Col6 where Col7 = 'Depositada' and Col9 = '""&amp;K485&amp;""' and Col6 ="&amp;" ""&amp;M485&amp;"" and Col4 = date '""&amp;YEAR(C485)&amp;""-""&amp;MONTH(C485)&amp;""-""&amp;DAY(C485)&amp;""'""))&gt;0,""Depositada"",if(sum(QUERY(IMPORTRANGE(""https://docs.google.com/spreadsheets/d/1EcLIvUgMoBC5as4ikW0wuQsGH5yVZ6cQ1y16qEfgPnk"",""BD M Sangrias!a:i""),""select Col6 whe"&amp;"re Col7 = 'Caixa Atendimento' and Col9 = '""&amp;K485&amp;""' and Col6 = ""&amp;M485&amp;"" and Col4 = date '""&amp;YEAR(C485)&amp;""-""&amp;MONTH(C485)&amp;""-""&amp;DAY(C485)&amp;""'""))&gt;0,""Caixa Atendimento"",""Caixa Sangria"")),""""),""Caixa Sangria"")"),"")</f>
        <v/>
      </c>
      <c r="M485" s="185" t="str">
        <f>IFERROR(__xludf.DUMMYFUNCTION("ifna(VALUE(REGEXEXTRACT(E485,""[0-9.]+[,]+[0-9]+"")))"),"")</f>
        <v/>
      </c>
      <c r="N485" s="185"/>
      <c r="O485" s="185"/>
      <c r="P485" s="185"/>
      <c r="Q485" s="185"/>
      <c r="R485" s="185"/>
      <c r="S485" s="185"/>
      <c r="T485" s="185"/>
      <c r="U485" s="185"/>
      <c r="V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184" t="str">
        <f>IFERROR(__xludf.DUMMYFUNCTION("ifna(IF(and(D486=""Saída"",J486=""Sangria""),if(sum(QUERY(IMPORTRANGE(""https://docs.google.com/spreadsheets/d/1E4szPcLzsqlw4uyBAoJ61L1ChCgpz4wVP8tHfHW1g_c"",""BD M Sangrias!a:i""),""select Col6 where Col7 = 'Depositada' and Col9 = '""&amp;K486&amp;""' and Col6 ="&amp;" ""&amp;M486&amp;"" and Col4 = date '""&amp;YEAR(C486)&amp;""-""&amp;MONTH(C486)&amp;""-""&amp;DAY(C486)&amp;""'""))&gt;0,""Depositada"",if(sum(QUERY(IMPORTRANGE(""https://docs.google.com/spreadsheets/d/1EcLIvUgMoBC5as4ikW0wuQsGH5yVZ6cQ1y16qEfgPnk"",""BD M Sangrias!a:i""),""select Col6 whe"&amp;"re Col7 = 'Caixa Atendimento' and Col9 = '""&amp;K486&amp;""' and Col6 = ""&amp;M486&amp;"" and Col4 = date '""&amp;YEAR(C486)&amp;""-""&amp;MONTH(C486)&amp;""-""&amp;DAY(C486)&amp;""'""))&gt;0,""Caixa Atendimento"",""Caixa Sangria"")),""""),""Caixa Sangria"")"),"")</f>
        <v/>
      </c>
      <c r="M486" s="185" t="str">
        <f>IFERROR(__xludf.DUMMYFUNCTION("ifna(VALUE(REGEXEXTRACT(E486,""[0-9.]+[,]+[0-9]+"")))"),"")</f>
        <v/>
      </c>
      <c r="N486" s="185"/>
      <c r="O486" s="185"/>
      <c r="P486" s="185"/>
      <c r="Q486" s="185"/>
      <c r="R486" s="185"/>
      <c r="S486" s="185"/>
      <c r="T486" s="185"/>
      <c r="U486" s="185"/>
      <c r="V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184" t="str">
        <f>IFERROR(__xludf.DUMMYFUNCTION("ifna(IF(and(D487=""Saída"",J487=""Sangria""),if(sum(QUERY(IMPORTRANGE(""https://docs.google.com/spreadsheets/d/1E4szPcLzsqlw4uyBAoJ61L1ChCgpz4wVP8tHfHW1g_c"",""BD M Sangrias!a:i""),""select Col6 where Col7 = 'Depositada' and Col9 = '""&amp;K487&amp;""' and Col6 ="&amp;" ""&amp;M487&amp;"" and Col4 = date '""&amp;YEAR(C487)&amp;""-""&amp;MONTH(C487)&amp;""-""&amp;DAY(C487)&amp;""'""))&gt;0,""Depositada"",if(sum(QUERY(IMPORTRANGE(""https://docs.google.com/spreadsheets/d/1EcLIvUgMoBC5as4ikW0wuQsGH5yVZ6cQ1y16qEfgPnk"",""BD M Sangrias!a:i""),""select Col6 whe"&amp;"re Col7 = 'Caixa Atendimento' and Col9 = '""&amp;K487&amp;""' and Col6 = ""&amp;M487&amp;"" and Col4 = date '""&amp;YEAR(C487)&amp;""-""&amp;MONTH(C487)&amp;""-""&amp;DAY(C487)&amp;""'""))&gt;0,""Caixa Atendimento"",""Caixa Sangria"")),""""),""Caixa Sangria"")"),"")</f>
        <v/>
      </c>
      <c r="M487" s="185" t="str">
        <f>IFERROR(__xludf.DUMMYFUNCTION("ifna(VALUE(REGEXEXTRACT(E487,""[0-9.]+[,]+[0-9]+"")))"),"")</f>
        <v/>
      </c>
      <c r="N487" s="185"/>
      <c r="O487" s="185"/>
      <c r="P487" s="185"/>
      <c r="Q487" s="185"/>
      <c r="R487" s="185"/>
      <c r="S487" s="185"/>
      <c r="T487" s="185"/>
      <c r="U487" s="185"/>
      <c r="V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184" t="str">
        <f>IFERROR(__xludf.DUMMYFUNCTION("ifna(IF(and(D488=""Saída"",J488=""Sangria""),if(sum(QUERY(IMPORTRANGE(""https://docs.google.com/spreadsheets/d/1E4szPcLzsqlw4uyBAoJ61L1ChCgpz4wVP8tHfHW1g_c"",""BD M Sangrias!a:i""),""select Col6 where Col7 = 'Depositada' and Col9 = '""&amp;K488&amp;""' and Col6 ="&amp;" ""&amp;M488&amp;"" and Col4 = date '""&amp;YEAR(C488)&amp;""-""&amp;MONTH(C488)&amp;""-""&amp;DAY(C488)&amp;""'""))&gt;0,""Depositada"",if(sum(QUERY(IMPORTRANGE(""https://docs.google.com/spreadsheets/d/1EcLIvUgMoBC5as4ikW0wuQsGH5yVZ6cQ1y16qEfgPnk"",""BD M Sangrias!a:i""),""select Col6 whe"&amp;"re Col7 = 'Caixa Atendimento' and Col9 = '""&amp;K488&amp;""' and Col6 = ""&amp;M488&amp;"" and Col4 = date '""&amp;YEAR(C488)&amp;""-""&amp;MONTH(C488)&amp;""-""&amp;DAY(C488)&amp;""'""))&gt;0,""Caixa Atendimento"",""Caixa Sangria"")),""""),""Caixa Sangria"")"),"")</f>
        <v/>
      </c>
      <c r="M488" s="185" t="str">
        <f>IFERROR(__xludf.DUMMYFUNCTION("ifna(VALUE(REGEXEXTRACT(E488,""[0-9.]+[,]+[0-9]+"")))"),"")</f>
        <v/>
      </c>
      <c r="N488" s="185"/>
      <c r="O488" s="185"/>
      <c r="P488" s="185"/>
      <c r="Q488" s="185"/>
      <c r="R488" s="185"/>
      <c r="S488" s="185"/>
      <c r="T488" s="185"/>
      <c r="U488" s="185"/>
      <c r="V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184" t="str">
        <f>IFERROR(__xludf.DUMMYFUNCTION("ifna(IF(and(D489=""Saída"",J489=""Sangria""),if(sum(QUERY(IMPORTRANGE(""https://docs.google.com/spreadsheets/d/1E4szPcLzsqlw4uyBAoJ61L1ChCgpz4wVP8tHfHW1g_c"",""BD M Sangrias!a:i""),""select Col6 where Col7 = 'Depositada' and Col9 = '""&amp;K489&amp;""' and Col6 ="&amp;" ""&amp;M489&amp;"" and Col4 = date '""&amp;YEAR(C489)&amp;""-""&amp;MONTH(C489)&amp;""-""&amp;DAY(C489)&amp;""'""))&gt;0,""Depositada"",if(sum(QUERY(IMPORTRANGE(""https://docs.google.com/spreadsheets/d/1EcLIvUgMoBC5as4ikW0wuQsGH5yVZ6cQ1y16qEfgPnk"",""BD M Sangrias!a:i""),""select Col6 whe"&amp;"re Col7 = 'Caixa Atendimento' and Col9 = '""&amp;K489&amp;""' and Col6 = ""&amp;M489&amp;"" and Col4 = date '""&amp;YEAR(C489)&amp;""-""&amp;MONTH(C489)&amp;""-""&amp;DAY(C489)&amp;""'""))&gt;0,""Caixa Atendimento"",""Caixa Sangria"")),""""),""Caixa Sangria"")"),"")</f>
        <v/>
      </c>
      <c r="M489" s="185" t="str">
        <f>IFERROR(__xludf.DUMMYFUNCTION("ifna(VALUE(REGEXEXTRACT(E489,""[0-9.]+[,]+[0-9]+"")))"),"")</f>
        <v/>
      </c>
      <c r="N489" s="185"/>
      <c r="O489" s="185"/>
      <c r="P489" s="185"/>
      <c r="Q489" s="185"/>
      <c r="R489" s="185"/>
      <c r="S489" s="185"/>
      <c r="T489" s="185"/>
      <c r="U489" s="185"/>
      <c r="V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184" t="str">
        <f>IFERROR(__xludf.DUMMYFUNCTION("ifna(IF(and(D490=""Saída"",J490=""Sangria""),if(sum(QUERY(IMPORTRANGE(""https://docs.google.com/spreadsheets/d/1E4szPcLzsqlw4uyBAoJ61L1ChCgpz4wVP8tHfHW1g_c"",""BD M Sangrias!a:i""),""select Col6 where Col7 = 'Depositada' and Col9 = '""&amp;K490&amp;""' and Col6 ="&amp;" ""&amp;M490&amp;"" and Col4 = date '""&amp;YEAR(C490)&amp;""-""&amp;MONTH(C490)&amp;""-""&amp;DAY(C490)&amp;""'""))&gt;0,""Depositada"",if(sum(QUERY(IMPORTRANGE(""https://docs.google.com/spreadsheets/d/1EcLIvUgMoBC5as4ikW0wuQsGH5yVZ6cQ1y16qEfgPnk"",""BD M Sangrias!a:i""),""select Col6 whe"&amp;"re Col7 = 'Caixa Atendimento' and Col9 = '""&amp;K490&amp;""' and Col6 = ""&amp;M490&amp;"" and Col4 = date '""&amp;YEAR(C490)&amp;""-""&amp;MONTH(C490)&amp;""-""&amp;DAY(C490)&amp;""'""))&gt;0,""Caixa Atendimento"",""Caixa Sangria"")),""""),""Caixa Sangria"")"),"")</f>
        <v/>
      </c>
      <c r="M490" s="185" t="str">
        <f>IFERROR(__xludf.DUMMYFUNCTION("ifna(VALUE(REGEXEXTRACT(E490,""[0-9.]+[,]+[0-9]+"")))"),"")</f>
        <v/>
      </c>
      <c r="N490" s="185"/>
      <c r="O490" s="185"/>
      <c r="P490" s="185"/>
      <c r="Q490" s="185"/>
      <c r="R490" s="185"/>
      <c r="S490" s="185"/>
      <c r="T490" s="185"/>
      <c r="U490" s="185"/>
      <c r="V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184" t="str">
        <f>IFERROR(__xludf.DUMMYFUNCTION("ifna(IF(and(D491=""Saída"",J491=""Sangria""),if(sum(QUERY(IMPORTRANGE(""https://docs.google.com/spreadsheets/d/1E4szPcLzsqlw4uyBAoJ61L1ChCgpz4wVP8tHfHW1g_c"",""BD M Sangrias!a:i""),""select Col6 where Col7 = 'Depositada' and Col9 = '""&amp;K491&amp;""' and Col6 ="&amp;" ""&amp;M491&amp;"" and Col4 = date '""&amp;YEAR(C491)&amp;""-""&amp;MONTH(C491)&amp;""-""&amp;DAY(C491)&amp;""'""))&gt;0,""Depositada"",if(sum(QUERY(IMPORTRANGE(""https://docs.google.com/spreadsheets/d/1EcLIvUgMoBC5as4ikW0wuQsGH5yVZ6cQ1y16qEfgPnk"",""BD M Sangrias!a:i""),""select Col6 whe"&amp;"re Col7 = 'Caixa Atendimento' and Col9 = '""&amp;K491&amp;""' and Col6 = ""&amp;M491&amp;"" and Col4 = date '""&amp;YEAR(C491)&amp;""-""&amp;MONTH(C491)&amp;""-""&amp;DAY(C491)&amp;""'""))&gt;0,""Caixa Atendimento"",""Caixa Sangria"")),""""),""Caixa Sangria"")"),"")</f>
        <v/>
      </c>
      <c r="M491" s="185" t="str">
        <f>IFERROR(__xludf.DUMMYFUNCTION("ifna(VALUE(REGEXEXTRACT(E491,""[0-9.]+[,]+[0-9]+"")))"),"")</f>
        <v/>
      </c>
      <c r="N491" s="185"/>
      <c r="O491" s="185"/>
      <c r="P491" s="185"/>
      <c r="Q491" s="185"/>
      <c r="R491" s="185"/>
      <c r="S491" s="185"/>
      <c r="T491" s="185"/>
      <c r="U491" s="185"/>
      <c r="V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184" t="str">
        <f>IFERROR(__xludf.DUMMYFUNCTION("ifna(IF(and(D492=""Saída"",J492=""Sangria""),if(sum(QUERY(IMPORTRANGE(""https://docs.google.com/spreadsheets/d/1E4szPcLzsqlw4uyBAoJ61L1ChCgpz4wVP8tHfHW1g_c"",""BD M Sangrias!a:i""),""select Col6 where Col7 = 'Depositada' and Col9 = '""&amp;K492&amp;""' and Col6 ="&amp;" ""&amp;M492&amp;"" and Col4 = date '""&amp;YEAR(C492)&amp;""-""&amp;MONTH(C492)&amp;""-""&amp;DAY(C492)&amp;""'""))&gt;0,""Depositada"",if(sum(QUERY(IMPORTRANGE(""https://docs.google.com/spreadsheets/d/1EcLIvUgMoBC5as4ikW0wuQsGH5yVZ6cQ1y16qEfgPnk"",""BD M Sangrias!a:i""),""select Col6 whe"&amp;"re Col7 = 'Caixa Atendimento' and Col9 = '""&amp;K492&amp;""' and Col6 = ""&amp;M492&amp;"" and Col4 = date '""&amp;YEAR(C492)&amp;""-""&amp;MONTH(C492)&amp;""-""&amp;DAY(C492)&amp;""'""))&gt;0,""Caixa Atendimento"",""Caixa Sangria"")),""""),""Caixa Sangria"")"),"")</f>
        <v/>
      </c>
      <c r="M492" s="185" t="str">
        <f>IFERROR(__xludf.DUMMYFUNCTION("ifna(VALUE(REGEXEXTRACT(E492,""[0-9.]+[,]+[0-9]+"")))"),"")</f>
        <v/>
      </c>
      <c r="N492" s="185"/>
      <c r="O492" s="185"/>
      <c r="P492" s="185"/>
      <c r="Q492" s="185"/>
      <c r="R492" s="185"/>
      <c r="S492" s="185"/>
      <c r="T492" s="185"/>
      <c r="U492" s="185"/>
      <c r="V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184" t="str">
        <f>IFERROR(__xludf.DUMMYFUNCTION("ifna(IF(and(D493=""Saída"",J493=""Sangria""),if(sum(QUERY(IMPORTRANGE(""https://docs.google.com/spreadsheets/d/1E4szPcLzsqlw4uyBAoJ61L1ChCgpz4wVP8tHfHW1g_c"",""BD M Sangrias!a:i""),""select Col6 where Col7 = 'Depositada' and Col9 = '""&amp;K493&amp;""' and Col6 ="&amp;" ""&amp;M493&amp;"" and Col4 = date '""&amp;YEAR(C493)&amp;""-""&amp;MONTH(C493)&amp;""-""&amp;DAY(C493)&amp;""'""))&gt;0,""Depositada"",if(sum(QUERY(IMPORTRANGE(""https://docs.google.com/spreadsheets/d/1EcLIvUgMoBC5as4ikW0wuQsGH5yVZ6cQ1y16qEfgPnk"",""BD M Sangrias!a:i""),""select Col6 whe"&amp;"re Col7 = 'Caixa Atendimento' and Col9 = '""&amp;K493&amp;""' and Col6 = ""&amp;M493&amp;"" and Col4 = date '""&amp;YEAR(C493)&amp;""-""&amp;MONTH(C493)&amp;""-""&amp;DAY(C493)&amp;""'""))&gt;0,""Caixa Atendimento"",""Caixa Sangria"")),""""),""Caixa Sangria"")"),"")</f>
        <v/>
      </c>
      <c r="M493" s="185" t="str">
        <f>IFERROR(__xludf.DUMMYFUNCTION("ifna(VALUE(REGEXEXTRACT(E493,""[0-9.]+[,]+[0-9]+"")))"),"")</f>
        <v/>
      </c>
      <c r="N493" s="185"/>
      <c r="O493" s="185"/>
      <c r="P493" s="185"/>
      <c r="Q493" s="185"/>
      <c r="R493" s="185"/>
      <c r="S493" s="185"/>
      <c r="T493" s="185"/>
      <c r="U493" s="185"/>
      <c r="V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184" t="str">
        <f>IFERROR(__xludf.DUMMYFUNCTION("ifna(IF(and(D494=""Saída"",J494=""Sangria""),if(sum(QUERY(IMPORTRANGE(""https://docs.google.com/spreadsheets/d/1E4szPcLzsqlw4uyBAoJ61L1ChCgpz4wVP8tHfHW1g_c"",""BD M Sangrias!a:i""),""select Col6 where Col7 = 'Depositada' and Col9 = '""&amp;K494&amp;""' and Col6 ="&amp;" ""&amp;M494&amp;"" and Col4 = date '""&amp;YEAR(C494)&amp;""-""&amp;MONTH(C494)&amp;""-""&amp;DAY(C494)&amp;""'""))&gt;0,""Depositada"",if(sum(QUERY(IMPORTRANGE(""https://docs.google.com/spreadsheets/d/1EcLIvUgMoBC5as4ikW0wuQsGH5yVZ6cQ1y16qEfgPnk"",""BD M Sangrias!a:i""),""select Col6 whe"&amp;"re Col7 = 'Caixa Atendimento' and Col9 = '""&amp;K494&amp;""' and Col6 = ""&amp;M494&amp;"" and Col4 = date '""&amp;YEAR(C494)&amp;""-""&amp;MONTH(C494)&amp;""-""&amp;DAY(C494)&amp;""'""))&gt;0,""Caixa Atendimento"",""Caixa Sangria"")),""""),""Caixa Sangria"")"),"")</f>
        <v/>
      </c>
      <c r="M494" s="185" t="str">
        <f>IFERROR(__xludf.DUMMYFUNCTION("ifna(VALUE(REGEXEXTRACT(E494,""[0-9.]+[,]+[0-9]+"")))"),"")</f>
        <v/>
      </c>
      <c r="N494" s="185"/>
      <c r="O494" s="185"/>
      <c r="P494" s="185"/>
      <c r="Q494" s="185"/>
      <c r="R494" s="185"/>
      <c r="S494" s="185"/>
      <c r="T494" s="185"/>
      <c r="U494" s="185"/>
      <c r="V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184" t="str">
        <f>IFERROR(__xludf.DUMMYFUNCTION("ifna(IF(and(D495=""Saída"",J495=""Sangria""),if(sum(QUERY(IMPORTRANGE(""https://docs.google.com/spreadsheets/d/1E4szPcLzsqlw4uyBAoJ61L1ChCgpz4wVP8tHfHW1g_c"",""BD M Sangrias!a:i""),""select Col6 where Col7 = 'Depositada' and Col9 = '""&amp;K495&amp;""' and Col6 ="&amp;" ""&amp;M495&amp;"" and Col4 = date '""&amp;YEAR(C495)&amp;""-""&amp;MONTH(C495)&amp;""-""&amp;DAY(C495)&amp;""'""))&gt;0,""Depositada"",if(sum(QUERY(IMPORTRANGE(""https://docs.google.com/spreadsheets/d/1EcLIvUgMoBC5as4ikW0wuQsGH5yVZ6cQ1y16qEfgPnk"",""BD M Sangrias!a:i""),""select Col6 whe"&amp;"re Col7 = 'Caixa Atendimento' and Col9 = '""&amp;K495&amp;""' and Col6 = ""&amp;M495&amp;"" and Col4 = date '""&amp;YEAR(C495)&amp;""-""&amp;MONTH(C495)&amp;""-""&amp;DAY(C495)&amp;""'""))&gt;0,""Caixa Atendimento"",""Caixa Sangria"")),""""),""Caixa Sangria"")"),"")</f>
        <v/>
      </c>
      <c r="M495" s="185" t="str">
        <f>IFERROR(__xludf.DUMMYFUNCTION("ifna(VALUE(REGEXEXTRACT(E495,""[0-9.]+[,]+[0-9]+"")))"),"")</f>
        <v/>
      </c>
      <c r="N495" s="185"/>
      <c r="O495" s="185"/>
      <c r="P495" s="185"/>
      <c r="Q495" s="185"/>
      <c r="R495" s="185"/>
      <c r="S495" s="185"/>
      <c r="T495" s="185"/>
      <c r="U495" s="185"/>
      <c r="V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184" t="str">
        <f>IFERROR(__xludf.DUMMYFUNCTION("ifna(IF(and(D496=""Saída"",J496=""Sangria""),if(sum(QUERY(IMPORTRANGE(""https://docs.google.com/spreadsheets/d/1E4szPcLzsqlw4uyBAoJ61L1ChCgpz4wVP8tHfHW1g_c"",""BD M Sangrias!a:i""),""select Col6 where Col7 = 'Depositada' and Col9 = '""&amp;K496&amp;""' and Col6 ="&amp;" ""&amp;M496&amp;"" and Col4 = date '""&amp;YEAR(C496)&amp;""-""&amp;MONTH(C496)&amp;""-""&amp;DAY(C496)&amp;""'""))&gt;0,""Depositada"",if(sum(QUERY(IMPORTRANGE(""https://docs.google.com/spreadsheets/d/1EcLIvUgMoBC5as4ikW0wuQsGH5yVZ6cQ1y16qEfgPnk"",""BD M Sangrias!a:i""),""select Col6 whe"&amp;"re Col7 = 'Caixa Atendimento' and Col9 = '""&amp;K496&amp;""' and Col6 = ""&amp;M496&amp;"" and Col4 = date '""&amp;YEAR(C496)&amp;""-""&amp;MONTH(C496)&amp;""-""&amp;DAY(C496)&amp;""'""))&gt;0,""Caixa Atendimento"",""Caixa Sangria"")),""""),""Caixa Sangria"")"),"")</f>
        <v/>
      </c>
      <c r="M496" s="185" t="str">
        <f>IFERROR(__xludf.DUMMYFUNCTION("ifna(VALUE(REGEXEXTRACT(E496,""[0-9.]+[,]+[0-9]+"")))"),"")</f>
        <v/>
      </c>
      <c r="N496" s="185"/>
      <c r="O496" s="185"/>
      <c r="P496" s="185"/>
      <c r="Q496" s="185"/>
      <c r="R496" s="185"/>
      <c r="S496" s="185"/>
      <c r="T496" s="185"/>
      <c r="U496" s="185"/>
      <c r="V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184" t="str">
        <f>IFERROR(__xludf.DUMMYFUNCTION("ifna(IF(and(D497=""Saída"",J497=""Sangria""),if(sum(QUERY(IMPORTRANGE(""https://docs.google.com/spreadsheets/d/1E4szPcLzsqlw4uyBAoJ61L1ChCgpz4wVP8tHfHW1g_c"",""BD M Sangrias!a:i""),""select Col6 where Col7 = 'Depositada' and Col9 = '""&amp;K497&amp;""' and Col6 ="&amp;" ""&amp;M497&amp;"" and Col4 = date '""&amp;YEAR(C497)&amp;""-""&amp;MONTH(C497)&amp;""-""&amp;DAY(C497)&amp;""'""))&gt;0,""Depositada"",if(sum(QUERY(IMPORTRANGE(""https://docs.google.com/spreadsheets/d/1EcLIvUgMoBC5as4ikW0wuQsGH5yVZ6cQ1y16qEfgPnk"",""BD M Sangrias!a:i""),""select Col6 whe"&amp;"re Col7 = 'Caixa Atendimento' and Col9 = '""&amp;K497&amp;""' and Col6 = ""&amp;M497&amp;"" and Col4 = date '""&amp;YEAR(C497)&amp;""-""&amp;MONTH(C497)&amp;""-""&amp;DAY(C497)&amp;""'""))&gt;0,""Caixa Atendimento"",""Caixa Sangria"")),""""),""Caixa Sangria"")"),"")</f>
        <v/>
      </c>
      <c r="M497" s="185" t="str">
        <f>IFERROR(__xludf.DUMMYFUNCTION("ifna(VALUE(REGEXEXTRACT(E497,""[0-9.]+[,]+[0-9]+"")))"),"")</f>
        <v/>
      </c>
      <c r="N497" s="185"/>
      <c r="O497" s="185"/>
      <c r="P497" s="185"/>
      <c r="Q497" s="185"/>
      <c r="R497" s="185"/>
      <c r="S497" s="185"/>
      <c r="T497" s="185"/>
      <c r="U497" s="185"/>
      <c r="V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184" t="str">
        <f>IFERROR(__xludf.DUMMYFUNCTION("ifna(IF(and(D498=""Saída"",J498=""Sangria""),if(sum(QUERY(IMPORTRANGE(""https://docs.google.com/spreadsheets/d/1E4szPcLzsqlw4uyBAoJ61L1ChCgpz4wVP8tHfHW1g_c"",""BD M Sangrias!a:i""),""select Col6 where Col7 = 'Depositada' and Col9 = '""&amp;K498&amp;""' and Col6 ="&amp;" ""&amp;M498&amp;"" and Col4 = date '""&amp;YEAR(C498)&amp;""-""&amp;MONTH(C498)&amp;""-""&amp;DAY(C498)&amp;""'""))&gt;0,""Depositada"",if(sum(QUERY(IMPORTRANGE(""https://docs.google.com/spreadsheets/d/1EcLIvUgMoBC5as4ikW0wuQsGH5yVZ6cQ1y16qEfgPnk"",""BD M Sangrias!a:i""),""select Col6 whe"&amp;"re Col7 = 'Caixa Atendimento' and Col9 = '""&amp;K498&amp;""' and Col6 = ""&amp;M498&amp;"" and Col4 = date '""&amp;YEAR(C498)&amp;""-""&amp;MONTH(C498)&amp;""-""&amp;DAY(C498)&amp;""'""))&gt;0,""Caixa Atendimento"",""Caixa Sangria"")),""""),""Caixa Sangria"")"),"")</f>
        <v/>
      </c>
      <c r="M498" s="185" t="str">
        <f>IFERROR(__xludf.DUMMYFUNCTION("ifna(VALUE(REGEXEXTRACT(E498,""[0-9.]+[,]+[0-9]+"")))"),"")</f>
        <v/>
      </c>
      <c r="N498" s="185"/>
      <c r="O498" s="185"/>
      <c r="P498" s="185"/>
      <c r="Q498" s="185"/>
      <c r="R498" s="185"/>
      <c r="S498" s="185"/>
      <c r="T498" s="185"/>
      <c r="U498" s="185"/>
      <c r="V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184" t="str">
        <f>IFERROR(__xludf.DUMMYFUNCTION("ifna(IF(and(D499=""Saída"",J499=""Sangria""),if(sum(QUERY(IMPORTRANGE(""https://docs.google.com/spreadsheets/d/1E4szPcLzsqlw4uyBAoJ61L1ChCgpz4wVP8tHfHW1g_c"",""BD M Sangrias!a:i""),""select Col6 where Col7 = 'Depositada' and Col9 = '""&amp;K499&amp;""' and Col6 ="&amp;" ""&amp;M499&amp;"" and Col4 = date '""&amp;YEAR(C499)&amp;""-""&amp;MONTH(C499)&amp;""-""&amp;DAY(C499)&amp;""'""))&gt;0,""Depositada"",if(sum(QUERY(IMPORTRANGE(""https://docs.google.com/spreadsheets/d/1EcLIvUgMoBC5as4ikW0wuQsGH5yVZ6cQ1y16qEfgPnk"",""BD M Sangrias!a:i""),""select Col6 whe"&amp;"re Col7 = 'Caixa Atendimento' and Col9 = '""&amp;K499&amp;""' and Col6 = ""&amp;M499&amp;"" and Col4 = date '""&amp;YEAR(C499)&amp;""-""&amp;MONTH(C499)&amp;""-""&amp;DAY(C499)&amp;""'""))&gt;0,""Caixa Atendimento"",""Caixa Sangria"")),""""),""Caixa Sangria"")"),"")</f>
        <v/>
      </c>
      <c r="M499" s="185" t="str">
        <f>IFERROR(__xludf.DUMMYFUNCTION("ifna(VALUE(REGEXEXTRACT(E499,""[0-9.]+[,]+[0-9]+"")))"),"")</f>
        <v/>
      </c>
      <c r="N499" s="185"/>
      <c r="O499" s="185"/>
      <c r="P499" s="185"/>
      <c r="Q499" s="185"/>
      <c r="R499" s="185"/>
      <c r="S499" s="185"/>
      <c r="T499" s="185"/>
      <c r="U499" s="185"/>
      <c r="V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184" t="str">
        <f>IFERROR(__xludf.DUMMYFUNCTION("ifna(IF(and(D500=""Saída"",J500=""Sangria""),if(sum(QUERY(IMPORTRANGE(""https://docs.google.com/spreadsheets/d/1E4szPcLzsqlw4uyBAoJ61L1ChCgpz4wVP8tHfHW1g_c"",""BD M Sangrias!a:i""),""select Col6 where Col7 = 'Depositada' and Col9 = '""&amp;K500&amp;""' and Col6 ="&amp;" ""&amp;M500&amp;"" and Col4 = date '""&amp;YEAR(C500)&amp;""-""&amp;MONTH(C500)&amp;""-""&amp;DAY(C500)&amp;""'""))&gt;0,""Depositada"",if(sum(QUERY(IMPORTRANGE(""https://docs.google.com/spreadsheets/d/1EcLIvUgMoBC5as4ikW0wuQsGH5yVZ6cQ1y16qEfgPnk"",""BD M Sangrias!a:i""),""select Col6 whe"&amp;"re Col7 = 'Caixa Atendimento' and Col9 = '""&amp;K500&amp;""' and Col6 = ""&amp;M500&amp;"" and Col4 = date '""&amp;YEAR(C500)&amp;""-""&amp;MONTH(C500)&amp;""-""&amp;DAY(C500)&amp;""'""))&gt;0,""Caixa Atendimento"",""Caixa Sangria"")),""""),""Caixa Sangria"")"),"")</f>
        <v/>
      </c>
      <c r="M500" s="185" t="str">
        <f>IFERROR(__xludf.DUMMYFUNCTION("ifna(VALUE(REGEXEXTRACT(E500,""[0-9.]+[,]+[0-9]+"")))"),"")</f>
        <v/>
      </c>
      <c r="N500" s="185"/>
      <c r="O500" s="185"/>
      <c r="P500" s="185"/>
      <c r="Q500" s="185"/>
      <c r="R500" s="185"/>
      <c r="S500" s="185"/>
      <c r="T500" s="185"/>
      <c r="U500" s="185"/>
      <c r="V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184" t="str">
        <f>IFERROR(__xludf.DUMMYFUNCTION("ifna(IF(and(D501=""Saída"",J501=""Sangria""),if(sum(QUERY(IMPORTRANGE(""https://docs.google.com/spreadsheets/d/1E4szPcLzsqlw4uyBAoJ61L1ChCgpz4wVP8tHfHW1g_c"",""BD M Sangrias!a:i""),""select Col6 where Col7 = 'Depositada' and Col9 = '""&amp;K501&amp;""' and Col6 ="&amp;" ""&amp;M501&amp;"" and Col4 = date '""&amp;YEAR(C501)&amp;""-""&amp;MONTH(C501)&amp;""-""&amp;DAY(C501)&amp;""'""))&gt;0,""Depositada"",if(sum(QUERY(IMPORTRANGE(""https://docs.google.com/spreadsheets/d/1EcLIvUgMoBC5as4ikW0wuQsGH5yVZ6cQ1y16qEfgPnk"",""BD M Sangrias!a:i""),""select Col6 whe"&amp;"re Col7 = 'Caixa Atendimento' and Col9 = '""&amp;K501&amp;""' and Col6 = ""&amp;M501&amp;"" and Col4 = date '""&amp;YEAR(C501)&amp;""-""&amp;MONTH(C501)&amp;""-""&amp;DAY(C501)&amp;""'""))&gt;0,""Caixa Atendimento"",""Caixa Sangria"")),""""),""Caixa Sangria"")"),"")</f>
        <v/>
      </c>
      <c r="M501" s="185" t="str">
        <f>IFERROR(__xludf.DUMMYFUNCTION("ifna(VALUE(REGEXEXTRACT(E501,""[0-9.]+[,]+[0-9]+"")))"),"")</f>
        <v/>
      </c>
      <c r="N501" s="185"/>
      <c r="O501" s="185"/>
      <c r="P501" s="185"/>
      <c r="Q501" s="185"/>
      <c r="R501" s="185"/>
      <c r="S501" s="185"/>
      <c r="T501" s="185"/>
      <c r="U501" s="185"/>
      <c r="V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184" t="str">
        <f>IFERROR(__xludf.DUMMYFUNCTION("ifna(IF(and(D502=""Saída"",J502=""Sangria""),if(sum(QUERY(IMPORTRANGE(""https://docs.google.com/spreadsheets/d/1E4szPcLzsqlw4uyBAoJ61L1ChCgpz4wVP8tHfHW1g_c"",""BD M Sangrias!a:i""),""select Col6 where Col7 = 'Depositada' and Col9 = '""&amp;K502&amp;""' and Col6 ="&amp;" ""&amp;M502&amp;"" and Col4 = date '""&amp;YEAR(C502)&amp;""-""&amp;MONTH(C502)&amp;""-""&amp;DAY(C502)&amp;""'""))&gt;0,""Depositada"",if(sum(QUERY(IMPORTRANGE(""https://docs.google.com/spreadsheets/d/1EcLIvUgMoBC5as4ikW0wuQsGH5yVZ6cQ1y16qEfgPnk"",""BD M Sangrias!a:i""),""select Col6 whe"&amp;"re Col7 = 'Caixa Atendimento' and Col9 = '""&amp;K502&amp;""' and Col6 = ""&amp;M502&amp;"" and Col4 = date '""&amp;YEAR(C502)&amp;""-""&amp;MONTH(C502)&amp;""-""&amp;DAY(C502)&amp;""'""))&gt;0,""Caixa Atendimento"",""Caixa Sangria"")),""""),""Caixa Sangria"")"),"")</f>
        <v/>
      </c>
      <c r="M502" s="185" t="str">
        <f>IFERROR(__xludf.DUMMYFUNCTION("ifna(VALUE(REGEXEXTRACT(E502,""[0-9.]+[,]+[0-9]+"")))"),"")</f>
        <v/>
      </c>
      <c r="N502" s="185"/>
      <c r="O502" s="185"/>
      <c r="P502" s="185"/>
      <c r="Q502" s="185"/>
      <c r="R502" s="185"/>
      <c r="S502" s="185"/>
      <c r="T502" s="185"/>
      <c r="U502" s="185"/>
      <c r="V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184" t="str">
        <f>IFERROR(__xludf.DUMMYFUNCTION("ifna(IF(and(D503=""Saída"",J503=""Sangria""),if(sum(QUERY(IMPORTRANGE(""https://docs.google.com/spreadsheets/d/1E4szPcLzsqlw4uyBAoJ61L1ChCgpz4wVP8tHfHW1g_c"",""BD M Sangrias!a:i""),""select Col6 where Col7 = 'Depositada' and Col9 = '""&amp;K503&amp;""' and Col6 ="&amp;" ""&amp;M503&amp;"" and Col4 = date '""&amp;YEAR(C503)&amp;""-""&amp;MONTH(C503)&amp;""-""&amp;DAY(C503)&amp;""'""))&gt;0,""Depositada"",if(sum(QUERY(IMPORTRANGE(""https://docs.google.com/spreadsheets/d/1EcLIvUgMoBC5as4ikW0wuQsGH5yVZ6cQ1y16qEfgPnk"",""BD M Sangrias!a:i""),""select Col6 whe"&amp;"re Col7 = 'Caixa Atendimento' and Col9 = '""&amp;K503&amp;""' and Col6 = ""&amp;M503&amp;"" and Col4 = date '""&amp;YEAR(C503)&amp;""-""&amp;MONTH(C503)&amp;""-""&amp;DAY(C503)&amp;""'""))&gt;0,""Caixa Atendimento"",""Caixa Sangria"")),""""),""Caixa Sangria"")"),"")</f>
        <v/>
      </c>
      <c r="M503" s="185" t="str">
        <f>IFERROR(__xludf.DUMMYFUNCTION("ifna(VALUE(REGEXEXTRACT(E503,""[0-9.]+[,]+[0-9]+"")))"),"")</f>
        <v/>
      </c>
      <c r="N503" s="185"/>
      <c r="O503" s="185"/>
      <c r="P503" s="185"/>
      <c r="Q503" s="185"/>
      <c r="R503" s="185"/>
      <c r="S503" s="185"/>
      <c r="T503" s="185"/>
      <c r="U503" s="185"/>
      <c r="V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184" t="str">
        <f>IFERROR(__xludf.DUMMYFUNCTION("ifna(IF(and(D504=""Saída"",J504=""Sangria""),if(sum(QUERY(IMPORTRANGE(""https://docs.google.com/spreadsheets/d/1E4szPcLzsqlw4uyBAoJ61L1ChCgpz4wVP8tHfHW1g_c"",""BD M Sangrias!a:i""),""select Col6 where Col7 = 'Depositada' and Col9 = '""&amp;K504&amp;""' and Col6 ="&amp;" ""&amp;M504&amp;"" and Col4 = date '""&amp;YEAR(C504)&amp;""-""&amp;MONTH(C504)&amp;""-""&amp;DAY(C504)&amp;""'""))&gt;0,""Depositada"",if(sum(QUERY(IMPORTRANGE(""https://docs.google.com/spreadsheets/d/1EcLIvUgMoBC5as4ikW0wuQsGH5yVZ6cQ1y16qEfgPnk"",""BD M Sangrias!a:i""),""select Col6 whe"&amp;"re Col7 = 'Caixa Atendimento' and Col9 = '""&amp;K504&amp;""' and Col6 = ""&amp;M504&amp;"" and Col4 = date '""&amp;YEAR(C504)&amp;""-""&amp;MONTH(C504)&amp;""-""&amp;DAY(C504)&amp;""'""))&gt;0,""Caixa Atendimento"",""Caixa Sangria"")),""""),""Caixa Sangria"")"),"")</f>
        <v/>
      </c>
      <c r="M504" s="185" t="str">
        <f>IFERROR(__xludf.DUMMYFUNCTION("ifna(VALUE(REGEXEXTRACT(E504,""[0-9.]+[,]+[0-9]+"")))"),"")</f>
        <v/>
      </c>
      <c r="N504" s="185"/>
      <c r="O504" s="185"/>
      <c r="P504" s="185"/>
      <c r="Q504" s="185"/>
      <c r="R504" s="185"/>
      <c r="S504" s="185"/>
      <c r="T504" s="185"/>
      <c r="U504" s="185"/>
      <c r="V504" s="185"/>
    </row>
  </sheetData>
  <mergeCells count="47">
    <mergeCell ref="A2:L2"/>
    <mergeCell ref="N2:V2"/>
    <mergeCell ref="A3:B3"/>
    <mergeCell ref="C3:D3"/>
    <mergeCell ref="E3:F3"/>
    <mergeCell ref="G3:H3"/>
    <mergeCell ref="I3:J3"/>
    <mergeCell ref="S3:V3"/>
    <mergeCell ref="K3:L3"/>
    <mergeCell ref="N3:Q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L27"/>
    <mergeCell ref="G14:H14"/>
    <mergeCell ref="I14:J14"/>
    <mergeCell ref="C18:D18"/>
    <mergeCell ref="E18:H18"/>
    <mergeCell ref="I18:J18"/>
    <mergeCell ref="E19:F19"/>
    <mergeCell ref="I22:J22"/>
    <mergeCell ref="N93:S94"/>
    <mergeCell ref="R95:S95"/>
    <mergeCell ref="K18:L18"/>
    <mergeCell ref="K19:L19"/>
    <mergeCell ref="S19:V19"/>
    <mergeCell ref="N48:Q48"/>
    <mergeCell ref="S48:V48"/>
    <mergeCell ref="N68:Q68"/>
    <mergeCell ref="S68:V68"/>
  </mergeCells>
  <conditionalFormatting sqref="E29:E30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V4 L11 D20 R20:V20 N49:V49 N69:V69">
    <cfRule type="cellIs" dxfId="6" priority="10" operator="greaterThanOrEqual">
      <formula>500</formula>
    </cfRule>
  </conditionalFormatting>
  <conditionalFormatting sqref="L4:V4 L11 D20 R20:V20 N49:V49 N69:V69">
    <cfRule type="cellIs" dxfId="7" priority="11" operator="between">
      <formula>400</formula>
      <formula>500</formula>
    </cfRule>
  </conditionalFormatting>
  <conditionalFormatting sqref="E29:E504">
    <cfRule type="containsText" dxfId="9" priority="12" operator="containsText" text="R$">
      <formula>NOT(ISERROR(SEARCH(("R$"),(E29))))</formula>
    </cfRule>
  </conditionalFormatting>
  <conditionalFormatting sqref="B29:L504">
    <cfRule type="expression" dxfId="5" priority="13">
      <formula>and($J$29:$J$504="Sangria",$D$29:$D$504="Saída")</formula>
    </cfRule>
  </conditionalFormatting>
  <conditionalFormatting sqref="K29:K504">
    <cfRule type="expression" dxfId="10" priority="14">
      <formula>or($J$29:$J$218="Compra Moedas",$J$29:$J$218="Cortesias",$J$29:$J$218="Troco")</formula>
    </cfRule>
  </conditionalFormatting>
  <conditionalFormatting sqref="K29:K504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4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4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4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4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4">
    <cfRule type="expression" dxfId="11" priority="21">
      <formula>and($C$29:$C$218="",or($D$29:$D$218="Entrada",$D$29:$D$218="Saída"))</formula>
    </cfRule>
  </conditionalFormatting>
  <conditionalFormatting sqref="I29:I504">
    <cfRule type="expression" dxfId="8" priority="22">
      <formula>and(K29 = "",or(J29="Consumo",J29="Adiantamento"))</formula>
    </cfRule>
  </conditionalFormatting>
  <dataValidations>
    <dataValidation type="list" allowBlank="1" showErrorMessage="1" sqref="K29:K46 K48:K504">
      <formula1>'JUNHO 2025'!$B$4:$B$16</formula1>
    </dataValidation>
    <dataValidation type="list" allowBlank="1" showErrorMessage="1" sqref="J29:J77 J79:J130 J132 J134:J176 J178:J179 J181:J190 J192:J195 J197:J208 J210:J267 J269:J286 J288:J303 J306:J308 J310:J376 J378:J388 J390:J504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.13"/>
    <col customWidth="1" min="14" max="14" width="10.13"/>
    <col customWidth="1" min="15" max="15" width="12.0"/>
    <col customWidth="1" min="16" max="16" width="12.75"/>
    <col customWidth="1" min="17" max="17" width="12.38"/>
    <col customWidth="1" min="18" max="18" width="0.63"/>
    <col customWidth="1" min="19" max="19" width="10.13"/>
    <col customWidth="1" min="20" max="20" width="9.88"/>
    <col customWidth="1" min="21" max="21" width="12.5"/>
    <col customWidth="1" min="22" max="22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30" t="s">
        <v>1840</v>
      </c>
      <c r="O2" s="28"/>
      <c r="P2" s="28"/>
      <c r="Q2" s="28"/>
      <c r="R2" s="28"/>
      <c r="S2" s="28"/>
      <c r="T2" s="28"/>
      <c r="U2" s="28"/>
      <c r="V2" s="29"/>
    </row>
    <row r="3">
      <c r="A3" s="31" t="s">
        <v>1847</v>
      </c>
      <c r="B3" s="32"/>
      <c r="C3" s="33" t="str">
        <f>B4</f>
        <v>Marcelo 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>Helena Cardoso</v>
      </c>
      <c r="J3" s="32"/>
      <c r="K3" s="34" t="str">
        <f>B8</f>
        <v/>
      </c>
      <c r="L3" s="35"/>
      <c r="M3" s="36"/>
      <c r="N3" s="37" t="str">
        <f>B4</f>
        <v>Marcelo </v>
      </c>
      <c r="O3" s="28"/>
      <c r="P3" s="28"/>
      <c r="Q3" s="29"/>
      <c r="R3" s="38"/>
      <c r="S3" s="39" t="str">
        <f>B5</f>
        <v>Mariane</v>
      </c>
      <c r="T3" s="28"/>
      <c r="U3" s="28"/>
      <c r="V3" s="29"/>
    </row>
    <row r="4" ht="15.75" customHeight="1">
      <c r="A4" s="40" t="s">
        <v>132</v>
      </c>
      <c r="B4" s="41" t="s">
        <v>1894</v>
      </c>
      <c r="C4" s="42" t="s">
        <v>1900</v>
      </c>
      <c r="D4" s="43">
        <f>SUMIFS(M29:M504,J29:J504,C4,K29:K504,C3)+SUMIF(P96:P138,A4,Q96:Q138)+D9</f>
        <v>0</v>
      </c>
      <c r="E4" s="44" t="s">
        <v>1900</v>
      </c>
      <c r="F4" s="43">
        <f>SUMIFS(M29:M504,J29:J504,E4,K29:K504,E3)+SUMIF(P96:P138,A5,Q96:Q138)+F9</f>
        <v>0</v>
      </c>
      <c r="G4" s="44" t="s">
        <v>1900</v>
      </c>
      <c r="H4" s="43">
        <f>SUMIFS(M29:M504,J29:J504,C4,K29:K504,G3)+SUMIF(P96:P138,A6,Q96:Q138)+H9</f>
        <v>0</v>
      </c>
      <c r="I4" s="44" t="s">
        <v>1900</v>
      </c>
      <c r="J4" s="43">
        <f>SUMIFS(M29:M504,J29:J504,C4,K29:K504,I3)+SUMIF(P96:P138,A7,Q96:Q138)+J9</f>
        <v>0</v>
      </c>
      <c r="K4" s="44" t="s">
        <v>1900</v>
      </c>
      <c r="L4" s="45">
        <f>SUMIFS(M29:M504,J29:J504,C4,K29:K504,K3)+SUMIF(P96:P138,A8,Q96:Q138)+L9</f>
        <v>0</v>
      </c>
      <c r="M4" s="26"/>
      <c r="N4" s="46" t="str">
        <f>IFERROR(__xludf.DUMMYFUNCTION("query(C28:L504,""select Col1,Col3,Col8,Col9 where (Col8 = 'Adiantamento' or Col8 = 'Consumo') and Col9 = '""&amp;B4&amp;""'"",1)"),"Data")</f>
        <v>Data</v>
      </c>
      <c r="O4" s="47" t="str">
        <f>IFERROR(__xludf.DUMMYFUNCTION("""COMPUTED_VALUE"""),"Valor ")</f>
        <v>Valor </v>
      </c>
      <c r="P4" s="47" t="str">
        <f>IFERROR(__xludf.DUMMYFUNCTION("""COMPUTED_VALUE"""),"Tipo")</f>
        <v>Tipo</v>
      </c>
      <c r="Q4" s="48" t="str">
        <f>IFERROR(__xludf.DUMMYFUNCTION("""COMPUTED_VALUE"""),"Funcionário")</f>
        <v>Funcionário</v>
      </c>
      <c r="R4" s="49"/>
      <c r="S4" s="50" t="str">
        <f>IFERROR(__xludf.DUMMYFUNCTION("query(C28:L504,""select Col1,Col3,Col8,Col9 where (Col8 = 'Adiantamento' or Col8 = 'Consumo') and Col9 = '""&amp;B5&amp;""'"",1)"),"Data")</f>
        <v>Data</v>
      </c>
      <c r="T4" s="50" t="str">
        <f>IFERROR(__xludf.DUMMYFUNCTION("""COMPUTED_VALUE"""),"Valor ")</f>
        <v>Valor </v>
      </c>
      <c r="U4" s="50" t="str">
        <f>IFERROR(__xludf.DUMMYFUNCTION("""COMPUTED_VALUE"""),"Tipo")</f>
        <v>Tipo</v>
      </c>
      <c r="V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SUMIFS(M29:M504,J29:J504,C5,K29:K504,C3)</f>
        <v>0</v>
      </c>
      <c r="E5" s="44" t="s">
        <v>2019</v>
      </c>
      <c r="F5" s="43">
        <f>SUMIFS(M29:M504,J29:J504,C5,K29:K504,E3)</f>
        <v>0</v>
      </c>
      <c r="G5" s="44" t="s">
        <v>2019</v>
      </c>
      <c r="H5" s="43">
        <f>SUMIFS(M29:M504,J29:J504,C5,K29:K504,G3)</f>
        <v>40.38</v>
      </c>
      <c r="I5" s="44" t="s">
        <v>2019</v>
      </c>
      <c r="J5" s="43">
        <f>SUMIFS(M29:M504,J29:J504,C5,K29:K504,I3)</f>
        <v>56.51</v>
      </c>
      <c r="K5" s="44" t="s">
        <v>2019</v>
      </c>
      <c r="L5" s="45">
        <f>SUMIFS(M29:M504,J29:J504,C5,K29:K504,K3)</f>
        <v>0</v>
      </c>
      <c r="M5" s="26"/>
      <c r="N5" s="52"/>
      <c r="O5" s="53"/>
      <c r="P5" s="53"/>
      <c r="Q5" s="54"/>
      <c r="R5" s="55"/>
      <c r="S5" s="53"/>
      <c r="T5" s="53"/>
      <c r="U5" s="53"/>
      <c r="V5" s="54"/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0</v>
      </c>
      <c r="G6" s="44" t="s">
        <v>2079</v>
      </c>
      <c r="H6" s="43">
        <f>H5*0.8</f>
        <v>32.304</v>
      </c>
      <c r="I6" s="44" t="s">
        <v>2079</v>
      </c>
      <c r="J6" s="43">
        <f>J5*0.8</f>
        <v>45.208</v>
      </c>
      <c r="K6" s="57" t="s">
        <v>2079</v>
      </c>
      <c r="L6" s="45">
        <f>L5*0.8</f>
        <v>0</v>
      </c>
      <c r="M6" s="26"/>
      <c r="N6" s="52"/>
      <c r="O6" s="53"/>
      <c r="P6" s="53"/>
      <c r="Q6" s="54"/>
      <c r="R6" s="55"/>
      <c r="S6" s="53"/>
      <c r="T6" s="53"/>
      <c r="U6" s="53"/>
      <c r="V6" s="54"/>
    </row>
    <row r="7" ht="14.25" customHeight="1">
      <c r="A7" s="40" t="s">
        <v>754</v>
      </c>
      <c r="B7" s="41" t="s">
        <v>2117</v>
      </c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52"/>
      <c r="O7" s="53"/>
      <c r="P7" s="53"/>
      <c r="Q7" s="54"/>
      <c r="R7" s="55"/>
      <c r="S7" s="53"/>
      <c r="T7" s="53"/>
      <c r="U7" s="53"/>
      <c r="V7" s="54"/>
    </row>
    <row r="8" ht="14.25" customHeight="1">
      <c r="B8" s="41"/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52"/>
      <c r="O8" s="53"/>
      <c r="P8" s="53"/>
      <c r="Q8" s="54"/>
      <c r="R8" s="55"/>
      <c r="S8" s="53"/>
      <c r="T8" s="53"/>
      <c r="U8" s="53"/>
      <c r="V8" s="54"/>
    </row>
    <row r="9">
      <c r="A9" s="40"/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52"/>
      <c r="O9" s="53"/>
      <c r="P9" s="53"/>
      <c r="Q9" s="54"/>
      <c r="R9" s="55"/>
      <c r="S9" s="53"/>
      <c r="T9" s="53"/>
      <c r="U9" s="53"/>
      <c r="V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52"/>
      <c r="O10" s="79"/>
      <c r="P10" s="79"/>
      <c r="Q10" s="80"/>
      <c r="R10" s="81"/>
      <c r="S10" s="79"/>
      <c r="T10" s="79"/>
      <c r="U10" s="79"/>
      <c r="V10" s="80"/>
    </row>
    <row r="11">
      <c r="A11" s="82"/>
      <c r="B11" s="83"/>
      <c r="C11" s="84" t="s">
        <v>1900</v>
      </c>
      <c r="D11" s="85">
        <f>SUMIFS(M29:M511,J29:J511,C11,K29:K511,C10)+SUMIF(P96:P138,A9,Q96:Q138)+D16</f>
        <v>0</v>
      </c>
      <c r="E11" s="86" t="s">
        <v>1900</v>
      </c>
      <c r="F11" s="85">
        <f>SUMIFS(M29:M511,J29:J511,E11,K29:K511,E10)+SUMIF(P96:P138,A10,Q96:Q138)+F16</f>
        <v>0</v>
      </c>
      <c r="G11" s="86" t="s">
        <v>1900</v>
      </c>
      <c r="H11" s="85">
        <f>SUMIFS(M29:M511,J29:J511,C11,K29:K511,G10)+SUMIF(P96:P138,A11,Q96:Q138)+H16</f>
        <v>0</v>
      </c>
      <c r="I11" s="86" t="s">
        <v>1900</v>
      </c>
      <c r="J11" s="85">
        <f>SUMIFS(M29:M511,J29:J511,C11,K29:K511,I10)+SUMIF(P96:P138,A11,Q96:Q138)+J16</f>
        <v>0</v>
      </c>
      <c r="K11" s="86" t="s">
        <v>1900</v>
      </c>
      <c r="L11" s="87">
        <f>SUMIFS(M29:M511,J29:J511,C11,K29:K511,K10)+SUMIF(P96:P138,A13,Q96:Q138)+L16</f>
        <v>0</v>
      </c>
      <c r="M11" s="25"/>
      <c r="N11" s="88"/>
      <c r="O11" s="89"/>
      <c r="P11" s="89"/>
      <c r="Q11" s="90"/>
      <c r="R11" s="91"/>
      <c r="S11" s="89"/>
      <c r="T11" s="89"/>
      <c r="U11" s="89"/>
      <c r="V11" s="90"/>
    </row>
    <row r="12">
      <c r="A12" s="82"/>
      <c r="B12" s="83"/>
      <c r="C12" s="84" t="s">
        <v>2019</v>
      </c>
      <c r="D12" s="85">
        <f>SUMIFS(M36:M511,J36:J511,C12,K36:K511,C10)</f>
        <v>0</v>
      </c>
      <c r="E12" s="86" t="s">
        <v>2019</v>
      </c>
      <c r="F12" s="85">
        <f>SUMIFS(M29:M511,J29:J511,C12,K29:K511,E10)</f>
        <v>0</v>
      </c>
      <c r="G12" s="86" t="s">
        <v>2019</v>
      </c>
      <c r="H12" s="85">
        <f>SUMIFS(M36:M511,J36:J511,C12,K36:K511,G10)</f>
        <v>0</v>
      </c>
      <c r="I12" s="86" t="s">
        <v>2019</v>
      </c>
      <c r="J12" s="85">
        <f>SUMIFS(M29:M511,J29:J511,C12,K29:K511,I10)</f>
        <v>0</v>
      </c>
      <c r="K12" s="86" t="s">
        <v>2019</v>
      </c>
      <c r="L12" s="87">
        <f>SUMIFS(M29:M511,J29:J511,C12,K29:K511,K10)</f>
        <v>0</v>
      </c>
      <c r="M12" s="25"/>
      <c r="N12" s="88"/>
      <c r="O12" s="89"/>
      <c r="P12" s="89"/>
      <c r="Q12" s="90"/>
      <c r="R12" s="91"/>
      <c r="S12" s="89"/>
      <c r="T12" s="89"/>
      <c r="U12" s="89"/>
      <c r="V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88"/>
      <c r="O13" s="89"/>
      <c r="P13" s="89"/>
      <c r="Q13" s="90"/>
      <c r="R13" s="91"/>
      <c r="S13" s="89"/>
      <c r="T13" s="89"/>
      <c r="U13" s="89"/>
      <c r="V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88"/>
      <c r="O14" s="89"/>
      <c r="P14" s="89"/>
      <c r="Q14" s="90"/>
      <c r="R14" s="91"/>
      <c r="S14" s="89"/>
      <c r="T14" s="89"/>
      <c r="U14" s="89"/>
      <c r="V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88"/>
      <c r="O15" s="89"/>
      <c r="P15" s="89"/>
      <c r="Q15" s="90"/>
      <c r="R15" s="91"/>
      <c r="S15" s="89"/>
      <c r="T15" s="89"/>
      <c r="U15" s="89"/>
      <c r="V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88"/>
      <c r="O16" s="89"/>
      <c r="P16" s="89"/>
      <c r="Q16" s="90"/>
      <c r="R16" s="91"/>
      <c r="S16" s="89"/>
      <c r="T16" s="89"/>
      <c r="U16" s="89"/>
      <c r="V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88"/>
      <c r="O17" s="89"/>
      <c r="P17" s="89"/>
      <c r="Q17" s="90"/>
      <c r="R17" s="91"/>
      <c r="S17" s="89"/>
      <c r="T17" s="89"/>
      <c r="U17" s="89"/>
      <c r="V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108"/>
      <c r="O18" s="109"/>
      <c r="P18" s="109"/>
      <c r="Q18" s="109"/>
      <c r="R18" s="110"/>
      <c r="S18" s="109"/>
      <c r="T18" s="109"/>
      <c r="U18" s="109"/>
      <c r="V18" s="111"/>
    </row>
    <row r="19">
      <c r="A19" s="24"/>
      <c r="B19" s="24"/>
      <c r="C19" s="112"/>
      <c r="D19" s="113"/>
      <c r="E19" s="112"/>
      <c r="F19" s="114"/>
      <c r="G19" s="115" t="s">
        <v>2425</v>
      </c>
      <c r="H19" s="116">
        <f>((H20+H21)-H22)-H25</f>
        <v>24200</v>
      </c>
      <c r="I19" s="117" t="s">
        <v>2436</v>
      </c>
      <c r="J19" s="118" t="s">
        <v>2438</v>
      </c>
      <c r="K19" s="119" t="s">
        <v>2440</v>
      </c>
      <c r="L19" s="113"/>
      <c r="M19" s="25"/>
      <c r="N19" s="120"/>
      <c r="O19" s="121"/>
      <c r="P19" s="121"/>
      <c r="Q19" s="121"/>
      <c r="R19" s="122"/>
      <c r="S19" s="123" t="str">
        <f>B7</f>
        <v>Helena Cardoso</v>
      </c>
      <c r="T19" s="106"/>
      <c r="U19" s="106"/>
      <c r="V19" s="124"/>
    </row>
    <row r="20">
      <c r="A20" s="125"/>
      <c r="B20" s="125"/>
      <c r="C20" s="126" t="s">
        <v>1900</v>
      </c>
      <c r="D20" s="127">
        <f>SUMIFS(M29:M504,J29:J504,C20,K29:K504,C19)+SUMIF(P102:P138,A9,Q102:Q138)+D25</f>
        <v>0</v>
      </c>
      <c r="E20" s="126" t="s">
        <v>1900</v>
      </c>
      <c r="F20" s="128">
        <f>SUMIFS(M29:M504,J29:J504,C20,K29:K504,E19)+SUMIF(P102:P138,A10,Q102:Q138)+F25</f>
        <v>0</v>
      </c>
      <c r="G20" s="129" t="s">
        <v>2473</v>
      </c>
      <c r="H20" s="130">
        <v>0.0</v>
      </c>
      <c r="I20" s="131">
        <f>SUMIF(J29:J504,I19,M29:M504)</f>
        <v>0</v>
      </c>
      <c r="J20" s="132">
        <f>SUMIF(J29:J504,J19,M29:M504)</f>
        <v>450.36</v>
      </c>
      <c r="K20" s="133" t="s">
        <v>2491</v>
      </c>
      <c r="L20" s="134"/>
      <c r="M20" s="25"/>
      <c r="N20" s="135"/>
      <c r="O20" s="136"/>
      <c r="P20" s="136"/>
      <c r="Q20" s="136"/>
      <c r="R20" s="49"/>
      <c r="S20" s="50" t="str">
        <f>IFERROR(__xludf.DUMMYFUNCTION("query(C28:L504,""select Col1,Col3,Col8,Col9 where (Col8 = 'Adiantamento' or Col8 = 'Consumo') and Col9 = '""&amp;B7&amp;""'"",1)"),"Data")</f>
        <v>Data</v>
      </c>
      <c r="T20" s="50" t="str">
        <f>IFERROR(__xludf.DUMMYFUNCTION("""COMPUTED_VALUE"""),"Valor ")</f>
        <v>Valor </v>
      </c>
      <c r="U20" s="50" t="str">
        <f>IFERROR(__xludf.DUMMYFUNCTION("""COMPUTED_VALUE"""),"Tipo")</f>
        <v>Tipo</v>
      </c>
      <c r="V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SUMIFS(M29:M504,J29:J504,C21,K29:K504,C19)</f>
        <v>0</v>
      </c>
      <c r="E21" s="126" t="s">
        <v>2019</v>
      </c>
      <c r="F21" s="128">
        <f>SUMIFS(M29:M504,J29:J504,E21,K29:K504,E19)</f>
        <v>0</v>
      </c>
      <c r="G21" s="86" t="s">
        <v>2522</v>
      </c>
      <c r="H21" s="127">
        <f>SUMIFS(M29:M504,D29:D504,"Saída",J29:J504,"Sangria")</f>
        <v>24200</v>
      </c>
      <c r="I21" s="138"/>
      <c r="J21" s="139"/>
      <c r="K21" s="133" t="s">
        <v>2530</v>
      </c>
      <c r="L21" s="134"/>
      <c r="M21" s="25"/>
      <c r="N21" s="108"/>
      <c r="O21" s="53"/>
      <c r="P21" s="53"/>
      <c r="Q21" s="54"/>
      <c r="R21" s="55"/>
      <c r="S21" s="238">
        <f>IFERROR(__xludf.DUMMYFUNCTION("""COMPUTED_VALUE"""),45838.8767824074)</f>
        <v>45838.87678</v>
      </c>
      <c r="T21" s="53" t="str">
        <f>IFERROR(__xludf.DUMMYFUNCTION("""COMPUTED_VALUE"""),"R$ 22,77")</f>
        <v>R$ 22,77</v>
      </c>
      <c r="U21" s="53" t="str">
        <f>IFERROR(__xludf.DUMMYFUNCTION("""COMPUTED_VALUE"""),"Consumo")</f>
        <v>Consumo</v>
      </c>
      <c r="V21" s="54" t="str">
        <f>IFERROR(__xludf.DUMMYFUNCTION("""COMPUTED_VALUE"""),"Helena Cardoso")</f>
        <v>Helena Cardoso</v>
      </c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SUMIFS(M29:M504,D29:D504,"Entrada",J29:J504,"Sangria")</f>
        <v>0</v>
      </c>
      <c r="I22" s="144" t="s">
        <v>2556</v>
      </c>
      <c r="J22" s="145"/>
      <c r="K22" s="133" t="s">
        <v>2559</v>
      </c>
      <c r="L22" s="134"/>
      <c r="M22" s="25"/>
      <c r="N22" s="52"/>
      <c r="O22" s="53"/>
      <c r="P22" s="53"/>
      <c r="Q22" s="54"/>
      <c r="R22" s="55"/>
      <c r="S22" s="238">
        <f>IFERROR(__xludf.DUMMYFUNCTION("""COMPUTED_VALUE"""),45839.76231481481)</f>
        <v>45839.76231</v>
      </c>
      <c r="T22" s="53" t="str">
        <f>IFERROR(__xludf.DUMMYFUNCTION("""COMPUTED_VALUE"""),"R$ 20,76")</f>
        <v>R$ 20,76</v>
      </c>
      <c r="U22" s="53" t="str">
        <f>IFERROR(__xludf.DUMMYFUNCTION("""COMPUTED_VALUE"""),"Consumo")</f>
        <v>Consumo</v>
      </c>
      <c r="V22" s="54" t="str">
        <f>IFERROR(__xludf.DUMMYFUNCTION("""COMPUTED_VALUE"""),"Helena Cardoso")</f>
        <v>Helena Cardoso</v>
      </c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SUMIF(J29:J504,I22,M29:M504)</f>
        <v>0</v>
      </c>
      <c r="J23" s="152"/>
      <c r="K23" s="133" t="s">
        <v>2578</v>
      </c>
      <c r="L23" s="134"/>
      <c r="M23" s="25"/>
      <c r="N23" s="52"/>
      <c r="O23" s="53"/>
      <c r="P23" s="53"/>
      <c r="Q23" s="54"/>
      <c r="R23" s="55"/>
      <c r="S23" s="238">
        <f>IFERROR(__xludf.DUMMYFUNCTION("""COMPUTED_VALUE"""),45856.89828703704)</f>
        <v>45856.89829</v>
      </c>
      <c r="T23" s="53" t="str">
        <f>IFERROR(__xludf.DUMMYFUNCTION("""COMPUTED_VALUE"""),"R$ 12,98")</f>
        <v>R$ 12,98</v>
      </c>
      <c r="U23" s="53" t="str">
        <f>IFERROR(__xludf.DUMMYFUNCTION("""COMPUTED_VALUE"""),"Consumo")</f>
        <v>Consumo</v>
      </c>
      <c r="V23" s="54" t="str">
        <f>IFERROR(__xludf.DUMMYFUNCTION("""COMPUTED_VALUE"""),"Helena Cardoso")</f>
        <v>Helena Cardoso</v>
      </c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SUMIF(L29:L504,G24,M29:M504)</f>
        <v>0</v>
      </c>
      <c r="I24" s="157" t="s">
        <v>2593</v>
      </c>
      <c r="J24" s="150"/>
      <c r="K24" s="133" t="s">
        <v>2594</v>
      </c>
      <c r="L24" s="134"/>
      <c r="M24" s="25"/>
      <c r="N24" s="52"/>
      <c r="O24" s="53"/>
      <c r="P24" s="53"/>
      <c r="Q24" s="54"/>
      <c r="R24" s="55"/>
      <c r="S24" s="53"/>
      <c r="T24" s="53"/>
      <c r="U24" s="53"/>
      <c r="V24" s="54"/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SUMIF(L29:L504,G25,M29:M504)</f>
        <v>0</v>
      </c>
      <c r="I25" s="151">
        <f>SUMIF(J29:J504,I24,M29:M504)</f>
        <v>0</v>
      </c>
      <c r="J25" s="152"/>
      <c r="K25" s="162"/>
      <c r="L25" s="163"/>
      <c r="M25" s="26"/>
      <c r="N25" s="52"/>
      <c r="O25" s="53"/>
      <c r="P25" s="53"/>
      <c r="Q25" s="54"/>
      <c r="R25" s="55"/>
      <c r="S25" s="53"/>
      <c r="T25" s="53"/>
      <c r="U25" s="53"/>
      <c r="V25" s="54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52"/>
      <c r="O26" s="79"/>
      <c r="P26" s="79"/>
      <c r="Q26" s="80"/>
      <c r="R26" s="81"/>
      <c r="S26" s="79"/>
      <c r="T26" s="79"/>
      <c r="U26" s="79"/>
      <c r="V26" s="80"/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04"/>
      <c r="M27" s="167"/>
      <c r="N27" s="88"/>
      <c r="O27" s="89"/>
      <c r="P27" s="89"/>
      <c r="Q27" s="90"/>
      <c r="R27" s="91"/>
      <c r="S27" s="89"/>
      <c r="T27" s="89"/>
      <c r="U27" s="89"/>
      <c r="V27" s="90"/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177" t="s">
        <v>2647</v>
      </c>
      <c r="M28" s="167"/>
      <c r="N28" s="88"/>
      <c r="O28" s="89"/>
      <c r="P28" s="89"/>
      <c r="Q28" s="90"/>
      <c r="R28" s="91"/>
      <c r="S28" s="89"/>
      <c r="T28" s="89"/>
      <c r="U28" s="89"/>
      <c r="V28" s="90"/>
    </row>
    <row r="29" ht="14.25" customHeight="1">
      <c r="A29" s="178"/>
      <c r="B29" s="12">
        <v>1544615.0</v>
      </c>
      <c r="C29" s="13">
        <v>45834.62672453704</v>
      </c>
      <c r="D29" s="179" t="s">
        <v>81</v>
      </c>
      <c r="E29" s="180" t="s">
        <v>4728</v>
      </c>
      <c r="F29" s="181"/>
      <c r="G29" s="179" t="s">
        <v>4733</v>
      </c>
      <c r="H29" s="182"/>
      <c r="I29" s="182"/>
      <c r="J29" s="183" t="s">
        <v>3151</v>
      </c>
      <c r="K29" s="183"/>
      <c r="L29" s="184" t="str">
        <f>IFERROR(__xludf.DUMMYFUNCTION("ifna(IF(and(D29=""Saída"",J29=""Sangria""),if(sum(QUERY(IMPORTRANGE(""https://docs.google.com/spreadsheets/d/1E4szPcLzsqlw4uyBAoJ61L1ChCgpz4wVP8tHfHW1g_c"",""BD M Sangrias!a:i""),""select Col6 where Col7 = 'Depositada' and Col9 = '""&amp;K29&amp;""' and Col6 = """&amp;"&amp;M29&amp;"" and Col4 = date '""&amp;YEAR(C29)&amp;""-""&amp;MONTH(C29)&amp;""-""&amp;DAY(C29)&amp;""'""))&gt;0,""Depositada"",if(sum(QUERY(IMPORTRANGE(""https://docs.google.com/spreadsheets/d/1EcLIvUgMoBC5as4ikW0wuQsGH5yVZ6cQ1y16qEfgPnk"",""BD M Sangrias!a:i""),""select Col6 where Col7"&amp;" = 'Caixa Atendimento' and Col9 = '""&amp;K29&amp;""' and Col6 = ""&amp;M29&amp;"" and Col4 = date '""&amp;YEAR(C29)&amp;""-""&amp;MONTH(C29)&amp;""-""&amp;DAY(C29)&amp;""'""))&gt;0,""Caixa Atendimento"",""Caixa Sangria"")),""""),""Caixa Sangria"")"),"")</f>
        <v/>
      </c>
      <c r="M29" s="185">
        <f>IFERROR(__xludf.DUMMYFUNCTION("ifna(VALUE(REGEXEXTRACT(E29,""[0-9.]+[,]+[0-9]+"")))"),57.12)</f>
        <v>57.12</v>
      </c>
      <c r="N29" s="88"/>
      <c r="O29" s="89"/>
      <c r="P29" s="89"/>
      <c r="Q29" s="90"/>
      <c r="R29" s="91"/>
      <c r="S29" s="89"/>
      <c r="T29" s="89"/>
      <c r="U29" s="89"/>
      <c r="V29" s="90"/>
    </row>
    <row r="30" ht="14.25" customHeight="1">
      <c r="A30" s="178"/>
      <c r="B30" s="12">
        <v>1545082.0</v>
      </c>
      <c r="C30" s="13">
        <v>45834.86258101852</v>
      </c>
      <c r="D30" s="179" t="s">
        <v>81</v>
      </c>
      <c r="E30" s="180" t="s">
        <v>855</v>
      </c>
      <c r="F30" s="181"/>
      <c r="G30" s="179" t="s">
        <v>4041</v>
      </c>
      <c r="H30" s="186"/>
      <c r="I30" s="186"/>
      <c r="J30" s="187" t="s">
        <v>3151</v>
      </c>
      <c r="K30" s="187"/>
      <c r="L30" s="184" t="str">
        <f>IFERROR(__xludf.DUMMYFUNCTION("ifna(IF(and(D30=""Saída"",J30=""Sangria""),if(sum(QUERY(IMPORTRANGE(""https://docs.google.com/spreadsheets/d/1E4szPcLzsqlw4uyBAoJ61L1ChCgpz4wVP8tHfHW1g_c"",""BD M Sangrias!a:i""),""select Col6 where Col7 = 'Depositada' and Col9 = '""&amp;K30&amp;""' and Col6 = """&amp;"&amp;M30&amp;"" and Col4 = date '""&amp;YEAR(C30)&amp;""-""&amp;MONTH(C30)&amp;""-""&amp;DAY(C30)&amp;""'""))&gt;0,""Depositada"",if(sum(QUERY(IMPORTRANGE(""https://docs.google.com/spreadsheets/d/1EcLIvUgMoBC5as4ikW0wuQsGH5yVZ6cQ1y16qEfgPnk"",""BD M Sangrias!a:i""),""select Col6 where Col7"&amp;" = 'Caixa Atendimento' and Col9 = '""&amp;K30&amp;""' and Col6 = ""&amp;M30&amp;"" and Col4 = date '""&amp;YEAR(C30)&amp;""-""&amp;MONTH(C30)&amp;""-""&amp;DAY(C30)&amp;""'""))&gt;0,""Caixa Atendimento"",""Caixa Sangria"")),""""),""Caixa Sangria"")"),"")</f>
        <v/>
      </c>
      <c r="M30" s="185">
        <f>IFERROR(__xludf.DUMMYFUNCTION("ifna(VALUE(REGEXEXTRACT(E30,""[0-9.]+[,]+[0-9]+"")))"),8.0)</f>
        <v>8</v>
      </c>
      <c r="N30" s="88"/>
      <c r="O30" s="89"/>
      <c r="P30" s="89"/>
      <c r="Q30" s="90"/>
      <c r="R30" s="91"/>
      <c r="S30" s="89"/>
      <c r="T30" s="89"/>
      <c r="U30" s="89"/>
      <c r="V30" s="90"/>
    </row>
    <row r="31" ht="14.25" customHeight="1">
      <c r="A31" s="178"/>
      <c r="B31" s="12">
        <v>1545084.0</v>
      </c>
      <c r="C31" s="13">
        <v>45834.86405092593</v>
      </c>
      <c r="D31" s="179" t="s">
        <v>81</v>
      </c>
      <c r="E31" s="180" t="s">
        <v>4812</v>
      </c>
      <c r="F31" s="181"/>
      <c r="G31" s="179" t="s">
        <v>4041</v>
      </c>
      <c r="H31" s="186"/>
      <c r="I31" s="186"/>
      <c r="J31" s="187" t="s">
        <v>3151</v>
      </c>
      <c r="K31" s="187"/>
      <c r="L31" s="184" t="str">
        <f>IFERROR(__xludf.DUMMYFUNCTION("ifna(IF(and(D31=""Saída"",J31=""Sangria""),if(sum(QUERY(IMPORTRANGE(""https://docs.google.com/spreadsheets/d/1E4szPcLzsqlw4uyBAoJ61L1ChCgpz4wVP8tHfHW1g_c"",""BD M Sangrias!a:i""),""select Col6 where Col7 = 'Depositada' and Col9 = '""&amp;K31&amp;""' and Col6 = """&amp;"&amp;M31&amp;"" and Col4 = date '""&amp;YEAR(C31)&amp;""-""&amp;MONTH(C31)&amp;""-""&amp;DAY(C31)&amp;""'""))&gt;0,""Depositada"",if(sum(QUERY(IMPORTRANGE(""https://docs.google.com/spreadsheets/d/1EcLIvUgMoBC5as4ikW0wuQsGH5yVZ6cQ1y16qEfgPnk"",""BD M Sangrias!a:i""),""select Col6 where Col7"&amp;" = 'Caixa Atendimento' and Col9 = '""&amp;K31&amp;""' and Col6 = ""&amp;M31&amp;"" and Col4 = date '""&amp;YEAR(C31)&amp;""-""&amp;MONTH(C31)&amp;""-""&amp;DAY(C31)&amp;""'""))&gt;0,""Caixa Atendimento"",""Caixa Sangria"")),""""),""Caixa Sangria"")"),"")</f>
        <v/>
      </c>
      <c r="M31" s="185">
        <f>IFERROR(__xludf.DUMMYFUNCTION("ifna(VALUE(REGEXEXTRACT(E31,""[0-9.]+[,]+[0-9]+"")))"),13.98)</f>
        <v>13.98</v>
      </c>
      <c r="N31" s="88"/>
      <c r="O31" s="89"/>
      <c r="P31" s="89"/>
      <c r="Q31" s="90"/>
      <c r="R31" s="91"/>
      <c r="S31" s="89"/>
      <c r="T31" s="89"/>
      <c r="U31" s="89"/>
      <c r="V31" s="90"/>
    </row>
    <row r="32" ht="14.25" customHeight="1">
      <c r="A32" s="178"/>
      <c r="B32" s="12">
        <v>1545533.0</v>
      </c>
      <c r="C32" s="13">
        <v>45835.51409722222</v>
      </c>
      <c r="D32" s="179" t="s">
        <v>152</v>
      </c>
      <c r="E32" s="180" t="s">
        <v>4833</v>
      </c>
      <c r="F32" s="181"/>
      <c r="G32" s="179" t="s">
        <v>4836</v>
      </c>
      <c r="H32" s="186"/>
      <c r="I32" s="186"/>
      <c r="J32" s="187" t="s">
        <v>2669</v>
      </c>
      <c r="K32" s="187"/>
      <c r="L32" s="184" t="str">
        <f>IFERROR(__xludf.DUMMYFUNCTION("ifna(IF(and(D32=""Saída"",J32=""Sangria""),if(sum(QUERY(IMPORTRANGE(""https://docs.google.com/spreadsheets/d/1E4szPcLzsqlw4uyBAoJ61L1ChCgpz4wVP8tHfHW1g_c"",""BD M Sangrias!a:i""),""select Col6 where Col7 = 'Depositada' and Col9 = '""&amp;K32&amp;""' and Col6 = """&amp;"&amp;M32&amp;"" and Col4 = date '""&amp;YEAR(C32)&amp;""-""&amp;MONTH(C32)&amp;""-""&amp;DAY(C32)&amp;""'""))&gt;0,""Depositada"",if(sum(QUERY(IMPORTRANGE(""https://docs.google.com/spreadsheets/d/1EcLIvUgMoBC5as4ikW0wuQsGH5yVZ6cQ1y16qEfgPnk"",""BD M Sangrias!a:i""),""select Col6 where Col7"&amp;" = 'Caixa Atendimento' and Col9 = '""&amp;K32&amp;""' and Col6 = ""&amp;M32&amp;"" and Col4 = date '""&amp;YEAR(C32)&amp;""-""&amp;MONTH(C32)&amp;""-""&amp;DAY(C32)&amp;""'""))&gt;0,""Caixa Atendimento"",""Caixa Sangria"")),""""),""Caixa Sangria"")"),"")</f>
        <v/>
      </c>
      <c r="M32" s="185">
        <f>IFERROR(__xludf.DUMMYFUNCTION("ifna(VALUE(REGEXEXTRACT(E32,""[0-9.]+[,]+[0-9]+"")))"),26.25)</f>
        <v>26.25</v>
      </c>
      <c r="N32" s="88"/>
      <c r="O32" s="89"/>
      <c r="P32" s="89"/>
      <c r="Q32" s="90"/>
      <c r="R32" s="91"/>
      <c r="S32" s="89"/>
      <c r="T32" s="89"/>
      <c r="U32" s="89"/>
      <c r="V32" s="90"/>
    </row>
    <row r="33" ht="14.25" customHeight="1">
      <c r="A33" s="178"/>
      <c r="B33" s="12">
        <v>1545989.0</v>
      </c>
      <c r="C33" s="13">
        <v>45835.72488425926</v>
      </c>
      <c r="D33" s="179" t="s">
        <v>81</v>
      </c>
      <c r="E33" s="180" t="s">
        <v>4855</v>
      </c>
      <c r="F33" s="181"/>
      <c r="G33" s="179" t="s">
        <v>193</v>
      </c>
      <c r="H33" s="186"/>
      <c r="I33" s="186"/>
      <c r="J33" s="187" t="s">
        <v>3151</v>
      </c>
      <c r="K33" s="187"/>
      <c r="L33" s="184" t="str">
        <f>IFERROR(__xludf.DUMMYFUNCTION("ifna(IF(and(D33=""Saída"",J33=""Sangria""),if(sum(QUERY(IMPORTRANGE(""https://docs.google.com/spreadsheets/d/1E4szPcLzsqlw4uyBAoJ61L1ChCgpz4wVP8tHfHW1g_c"",""BD M Sangrias!a:i""),""select Col6 where Col7 = 'Depositada' and Col9 = '""&amp;K33&amp;""' and Col6 = """&amp;"&amp;M33&amp;"" and Col4 = date '""&amp;YEAR(C33)&amp;""-""&amp;MONTH(C33)&amp;""-""&amp;DAY(C33)&amp;""'""))&gt;0,""Depositada"",if(sum(QUERY(IMPORTRANGE(""https://docs.google.com/spreadsheets/d/1EcLIvUgMoBC5as4ikW0wuQsGH5yVZ6cQ1y16qEfgPnk"",""BD M Sangrias!a:i""),""select Col6 where Col7"&amp;" = 'Caixa Atendimento' and Col9 = '""&amp;K33&amp;""' and Col6 = ""&amp;M33&amp;"" and Col4 = date '""&amp;YEAR(C33)&amp;""-""&amp;MONTH(C33)&amp;""-""&amp;DAY(C33)&amp;""'""))&gt;0,""Caixa Atendimento"",""Caixa Sangria"")),""""),""Caixa Sangria"")"),"")</f>
        <v/>
      </c>
      <c r="M33" s="185">
        <f>IFERROR(__xludf.DUMMYFUNCTION("ifna(VALUE(REGEXEXTRACT(E33,""[0-9.]+[,]+[0-9]+"")))"),87.14)</f>
        <v>87.14</v>
      </c>
      <c r="N33" s="88"/>
      <c r="O33" s="89"/>
      <c r="P33" s="89"/>
      <c r="Q33" s="90"/>
      <c r="R33" s="91"/>
      <c r="S33" s="89"/>
      <c r="T33" s="89"/>
      <c r="U33" s="89"/>
      <c r="V33" s="90"/>
    </row>
    <row r="34" ht="14.25" customHeight="1">
      <c r="A34" s="178"/>
      <c r="B34" s="12">
        <v>1546026.0</v>
      </c>
      <c r="C34" s="13">
        <v>45835.735659722224</v>
      </c>
      <c r="D34" s="179" t="s">
        <v>81</v>
      </c>
      <c r="E34" s="180" t="s">
        <v>4884</v>
      </c>
      <c r="F34" s="181"/>
      <c r="G34" s="179" t="s">
        <v>4886</v>
      </c>
      <c r="H34" s="186"/>
      <c r="I34" s="186"/>
      <c r="J34" s="187" t="s">
        <v>2438</v>
      </c>
      <c r="K34" s="187"/>
      <c r="L34" s="184" t="str">
        <f>IFERROR(__xludf.DUMMYFUNCTION("ifna(IF(and(D34=""Saída"",J34=""Sangria""),if(sum(QUERY(IMPORTRANGE(""https://docs.google.com/spreadsheets/d/1E4szPcLzsqlw4uyBAoJ61L1ChCgpz4wVP8tHfHW1g_c"",""BD M Sangrias!a:i""),""select Col6 where Col7 = 'Depositada' and Col9 = '""&amp;K34&amp;""' and Col6 = """&amp;"&amp;M34&amp;"" and Col4 = date '""&amp;YEAR(C34)&amp;""-""&amp;MONTH(C34)&amp;""-""&amp;DAY(C34)&amp;""'""))&gt;0,""Depositada"",if(sum(QUERY(IMPORTRANGE(""https://docs.google.com/spreadsheets/d/1EcLIvUgMoBC5as4ikW0wuQsGH5yVZ6cQ1y16qEfgPnk"",""BD M Sangrias!a:i""),""select Col6 where Col7"&amp;" = 'Caixa Atendimento' and Col9 = '""&amp;K34&amp;""' and Col6 = ""&amp;M34&amp;"" and Col4 = date '""&amp;YEAR(C34)&amp;""-""&amp;MONTH(C34)&amp;""-""&amp;DAY(C34)&amp;""'""))&gt;0,""Caixa Atendimento"",""Caixa Sangria"")),""""),""Caixa Sangria"")"),"")</f>
        <v/>
      </c>
      <c r="M34" s="185">
        <f>IFERROR(__xludf.DUMMYFUNCTION("ifna(VALUE(REGEXEXTRACT(E34,""[0-9.]+[,]+[0-9]+"")))"),28.05)</f>
        <v>28.05</v>
      </c>
      <c r="N34" s="108"/>
      <c r="O34" s="109"/>
      <c r="P34" s="109"/>
      <c r="Q34" s="109"/>
      <c r="R34" s="110"/>
      <c r="S34" s="109"/>
      <c r="T34" s="109"/>
      <c r="U34" s="109"/>
      <c r="V34" s="111"/>
    </row>
    <row r="35" ht="18.75" customHeight="1">
      <c r="A35" s="178"/>
      <c r="B35" s="12">
        <v>1546037.0</v>
      </c>
      <c r="C35" s="13">
        <v>45835.73862268519</v>
      </c>
      <c r="D35" s="179" t="s">
        <v>81</v>
      </c>
      <c r="E35" s="180" t="s">
        <v>4913</v>
      </c>
      <c r="F35" s="181"/>
      <c r="G35" s="179" t="s">
        <v>4917</v>
      </c>
      <c r="H35" s="186"/>
      <c r="I35" s="186"/>
      <c r="J35" s="187" t="s">
        <v>2438</v>
      </c>
      <c r="K35" s="187"/>
      <c r="L35" s="184" t="str">
        <f>IFERROR(__xludf.DUMMYFUNCTION("ifna(IF(and(D35=""Saída"",J35=""Sangria""),if(sum(QUERY(IMPORTRANGE(""https://docs.google.com/spreadsheets/d/1E4szPcLzsqlw4uyBAoJ61L1ChCgpz4wVP8tHfHW1g_c"",""BD M Sangrias!a:i""),""select Col6 where Col7 = 'Depositada' and Col9 = '""&amp;K35&amp;""' and Col6 = """&amp;"&amp;M35&amp;"" and Col4 = date '""&amp;YEAR(C35)&amp;""-""&amp;MONTH(C35)&amp;""-""&amp;DAY(C35)&amp;""'""))&gt;0,""Depositada"",if(sum(QUERY(IMPORTRANGE(""https://docs.google.com/spreadsheets/d/1EcLIvUgMoBC5as4ikW0wuQsGH5yVZ6cQ1y16qEfgPnk"",""BD M Sangrias!a:i""),""select Col6 where Col7"&amp;" = 'Caixa Atendimento' and Col9 = '""&amp;K35&amp;""' and Col6 = ""&amp;M35&amp;"" and Col4 = date '""&amp;YEAR(C35)&amp;""-""&amp;MONTH(C35)&amp;""-""&amp;DAY(C35)&amp;""'""))&gt;0,""Caixa Atendimento"",""Caixa Sangria"")),""""),""Caixa Sangria"")"),"")</f>
        <v/>
      </c>
      <c r="M35" s="185">
        <f>IFERROR(__xludf.DUMMYFUNCTION("ifna(VALUE(REGEXEXTRACT(E35,""[0-9.]+[,]+[0-9]+"")))"),18.62)</f>
        <v>18.62</v>
      </c>
      <c r="N35" s="108"/>
      <c r="R35" s="110"/>
    </row>
    <row r="36" ht="14.25" customHeight="1">
      <c r="A36" s="178"/>
      <c r="B36" s="12">
        <v>1546048.0</v>
      </c>
      <c r="C36" s="13">
        <v>45835.74232638889</v>
      </c>
      <c r="D36" s="179" t="s">
        <v>81</v>
      </c>
      <c r="E36" s="180" t="s">
        <v>200</v>
      </c>
      <c r="F36" s="181"/>
      <c r="G36" s="179" t="s">
        <v>4071</v>
      </c>
      <c r="H36" s="186"/>
      <c r="I36" s="186"/>
      <c r="J36" s="187" t="s">
        <v>2735</v>
      </c>
      <c r="K36" s="187" t="s">
        <v>2018</v>
      </c>
      <c r="L36" s="184" t="str">
        <f>IFERROR(__xludf.DUMMYFUNCTION("ifna(IF(and(D36=""Saída"",J36=""Sangria""),if(sum(QUERY(IMPORTRANGE(""https://docs.google.com/spreadsheets/d/1E4szPcLzsqlw4uyBAoJ61L1ChCgpz4wVP8tHfHW1g_c"",""BD M Sangrias!a:i""),""select Col6 where Col7 = 'Depositada' and Col9 = '""&amp;K36&amp;""' and Col6 = """&amp;"&amp;M36&amp;"" and Col4 = date '""&amp;YEAR(C36)&amp;""-""&amp;MONTH(C36)&amp;""-""&amp;DAY(C36)&amp;""'""))&gt;0,""Depositada"",if(sum(QUERY(IMPORTRANGE(""https://docs.google.com/spreadsheets/d/1EcLIvUgMoBC5as4ikW0wuQsGH5yVZ6cQ1y16qEfgPnk"",""BD M Sangrias!a:i""),""select Col6 where Col7"&amp;" = 'Caixa Atendimento' and Col9 = '""&amp;K36&amp;""' and Col6 = ""&amp;M36&amp;"" and Col4 = date '""&amp;YEAR(C36)&amp;""-""&amp;MONTH(C36)&amp;""-""&amp;DAY(C36)&amp;""'""))&gt;0,""Caixa Atendimento"",""Caixa Sangria"")),""""),""Caixa Sangria"")"),"#REF!")</f>
        <v>#REF!</v>
      </c>
      <c r="M36" s="185">
        <f>IFERROR(__xludf.DUMMYFUNCTION("ifna(VALUE(REGEXEXTRACT(E36,""[0-9.]+[,]+[0-9]+"")))"),300.0)</f>
        <v>300</v>
      </c>
      <c r="N36" s="108"/>
      <c r="R36" s="110"/>
    </row>
    <row r="37" ht="14.25" customHeight="1">
      <c r="A37" s="178"/>
      <c r="B37" s="12">
        <v>1546463.0</v>
      </c>
      <c r="C37" s="13">
        <v>45835.907800925925</v>
      </c>
      <c r="D37" s="179" t="s">
        <v>152</v>
      </c>
      <c r="E37" s="180" t="s">
        <v>659</v>
      </c>
      <c r="F37" s="181"/>
      <c r="G37" s="179" t="s">
        <v>158</v>
      </c>
      <c r="H37" s="186"/>
      <c r="I37" s="186"/>
      <c r="J37" s="187" t="s">
        <v>2669</v>
      </c>
      <c r="K37" s="187"/>
      <c r="L37" s="184" t="str">
        <f>IFERROR(__xludf.DUMMYFUNCTION("ifna(IF(and(D37=""Saída"",J37=""Sangria""),if(sum(QUERY(IMPORTRANGE(""https://docs.google.com/spreadsheets/d/1E4szPcLzsqlw4uyBAoJ61L1ChCgpz4wVP8tHfHW1g_c"",""BD M Sangrias!a:i""),""select Col6 where Col7 = 'Depositada' and Col9 = '""&amp;K37&amp;""' and Col6 = """&amp;"&amp;M37&amp;"" and Col4 = date '""&amp;YEAR(C37)&amp;""-""&amp;MONTH(C37)&amp;""-""&amp;DAY(C37)&amp;""'""))&gt;0,""Depositada"",if(sum(QUERY(IMPORTRANGE(""https://docs.google.com/spreadsheets/d/1EcLIvUgMoBC5as4ikW0wuQsGH5yVZ6cQ1y16qEfgPnk"",""BD M Sangrias!a:i""),""select Col6 where Col7"&amp;" = 'Caixa Atendimento' and Col9 = '""&amp;K37&amp;""' and Col6 = ""&amp;M37&amp;"" and Col4 = date '""&amp;YEAR(C37)&amp;""-""&amp;MONTH(C37)&amp;""-""&amp;DAY(C37)&amp;""'""))&gt;0,""Caixa Atendimento"",""Caixa Sangria"")),""""),""Caixa Sangria"")"),"")</f>
        <v/>
      </c>
      <c r="M37" s="185">
        <f>IFERROR(__xludf.DUMMYFUNCTION("ifna(VALUE(REGEXEXTRACT(E37,""[0-9.]+[,]+[0-9]+"")))"),5.0)</f>
        <v>5</v>
      </c>
      <c r="N37" s="108"/>
      <c r="R37" s="110"/>
    </row>
    <row r="38" ht="14.25" customHeight="1">
      <c r="A38" s="178"/>
      <c r="B38" s="12">
        <v>1546481.0</v>
      </c>
      <c r="C38" s="13">
        <v>45835.91368055555</v>
      </c>
      <c r="D38" s="179" t="s">
        <v>81</v>
      </c>
      <c r="E38" s="180" t="s">
        <v>127</v>
      </c>
      <c r="F38" s="188"/>
      <c r="G38" s="179" t="s">
        <v>128</v>
      </c>
      <c r="H38" s="186"/>
      <c r="I38" s="186"/>
      <c r="J38" s="187" t="s">
        <v>2735</v>
      </c>
      <c r="K38" s="187" t="s">
        <v>1894</v>
      </c>
      <c r="L38" s="184" t="str">
        <f>IFERROR(__xludf.DUMMYFUNCTION("ifna(IF(and(D38=""Saída"",J38=""Sangria""),if(sum(QUERY(IMPORTRANGE(""https://docs.google.com/spreadsheets/d/1E4szPcLzsqlw4uyBAoJ61L1ChCgpz4wVP8tHfHW1g_c"",""BD M Sangrias!a:i""),""select Col6 where Col7 = 'Depositada' and Col9 = '""&amp;K38&amp;""' and Col6 = """&amp;"&amp;M38&amp;"" and Col4 = date '""&amp;YEAR(C38)&amp;""-""&amp;MONTH(C38)&amp;""-""&amp;DAY(C38)&amp;""'""))&gt;0,""Depositada"",if(sum(QUERY(IMPORTRANGE(""https://docs.google.com/spreadsheets/d/1EcLIvUgMoBC5as4ikW0wuQsGH5yVZ6cQ1y16qEfgPnk"",""BD M Sangrias!a:i""),""select Col6 where Col7"&amp;" = 'Caixa Atendimento' and Col9 = '""&amp;K38&amp;""' and Col6 = ""&amp;M38&amp;"" and Col4 = date '""&amp;YEAR(C38)&amp;""-""&amp;MONTH(C38)&amp;""-""&amp;DAY(C38)&amp;""'""))&gt;0,""Caixa Atendimento"",""Caixa Sangria"")),""""),""Caixa Sangria"")"),"#REF!")</f>
        <v>#REF!</v>
      </c>
      <c r="M38" s="185">
        <f>IFERROR(__xludf.DUMMYFUNCTION("ifna(VALUE(REGEXEXTRACT(E38,""[0-9.]+[,]+[0-9]+"")))"),250.0)</f>
        <v>250</v>
      </c>
      <c r="N38" s="108"/>
      <c r="R38" s="110"/>
    </row>
    <row r="39" ht="21.75" customHeight="1">
      <c r="A39" s="178"/>
      <c r="B39" s="12">
        <v>1548100.0</v>
      </c>
      <c r="C39" s="13">
        <v>45836.93219907407</v>
      </c>
      <c r="D39" s="179" t="s">
        <v>81</v>
      </c>
      <c r="E39" s="180" t="s">
        <v>127</v>
      </c>
      <c r="F39" s="181"/>
      <c r="G39" s="179" t="s">
        <v>3104</v>
      </c>
      <c r="H39" s="186"/>
      <c r="I39" s="186"/>
      <c r="J39" s="187" t="s">
        <v>2735</v>
      </c>
      <c r="K39" s="187" t="s">
        <v>1894</v>
      </c>
      <c r="L39" s="184" t="str">
        <f>IFERROR(__xludf.DUMMYFUNCTION("ifna(IF(and(D39=""Saída"",J39=""Sangria""),if(sum(QUERY(IMPORTRANGE(""https://docs.google.com/spreadsheets/d/1E4szPcLzsqlw4uyBAoJ61L1ChCgpz4wVP8tHfHW1g_c"",""BD M Sangrias!a:i""),""select Col6 where Col7 = 'Depositada' and Col9 = '""&amp;K39&amp;""' and Col6 = """&amp;"&amp;M39&amp;"" and Col4 = date '""&amp;YEAR(C39)&amp;""-""&amp;MONTH(C39)&amp;""-""&amp;DAY(C39)&amp;""'""))&gt;0,""Depositada"",if(sum(QUERY(IMPORTRANGE(""https://docs.google.com/spreadsheets/d/1EcLIvUgMoBC5as4ikW0wuQsGH5yVZ6cQ1y16qEfgPnk"",""BD M Sangrias!a:i""),""select Col6 where Col7"&amp;" = 'Caixa Atendimento' and Col9 = '""&amp;K39&amp;""' and Col6 = ""&amp;M39&amp;"" and Col4 = date '""&amp;YEAR(C39)&amp;""-""&amp;MONTH(C39)&amp;""-""&amp;DAY(C39)&amp;""'""))&gt;0,""Caixa Atendimento"",""Caixa Sangria"")),""""),""Caixa Sangria"")"),"#REF!")</f>
        <v>#REF!</v>
      </c>
      <c r="M39" s="185">
        <f>IFERROR(__xludf.DUMMYFUNCTION("ifna(VALUE(REGEXEXTRACT(E39,""[0-9.]+[,]+[0-9]+"")))"),250.0)</f>
        <v>250</v>
      </c>
      <c r="N39" s="108"/>
      <c r="R39" s="110"/>
    </row>
    <row r="40" ht="14.25" customHeight="1">
      <c r="A40" s="178"/>
      <c r="B40" s="12">
        <v>1549274.0</v>
      </c>
      <c r="C40" s="13">
        <v>45837.788506944446</v>
      </c>
      <c r="D40" s="179" t="s">
        <v>81</v>
      </c>
      <c r="E40" s="180" t="s">
        <v>402</v>
      </c>
      <c r="F40" s="181"/>
      <c r="G40" s="179" t="s">
        <v>5036</v>
      </c>
      <c r="H40" s="186"/>
      <c r="I40" s="186"/>
      <c r="J40" s="187" t="s">
        <v>2438</v>
      </c>
      <c r="K40" s="187"/>
      <c r="L40" s="184" t="str">
        <f>IFERROR(__xludf.DUMMYFUNCTION("ifna(IF(and(D40=""Saída"",J40=""Sangria""),if(sum(QUERY(IMPORTRANGE(""https://docs.google.com/spreadsheets/d/1E4szPcLzsqlw4uyBAoJ61L1ChCgpz4wVP8tHfHW1g_c"",""BD M Sangrias!a:i""),""select Col6 where Col7 = 'Depositada' and Col9 = '""&amp;K40&amp;""' and Col6 = """&amp;"&amp;M40&amp;"" and Col4 = date '""&amp;YEAR(C40)&amp;""-""&amp;MONTH(C40)&amp;""-""&amp;DAY(C40)&amp;""'""))&gt;0,""Depositada"",if(sum(QUERY(IMPORTRANGE(""https://docs.google.com/spreadsheets/d/1EcLIvUgMoBC5as4ikW0wuQsGH5yVZ6cQ1y16qEfgPnk"",""BD M Sangrias!a:i""),""select Col6 where Col7"&amp;" = 'Caixa Atendimento' and Col9 = '""&amp;K40&amp;""' and Col6 = ""&amp;M40&amp;"" and Col4 = date '""&amp;YEAR(C40)&amp;""-""&amp;MONTH(C40)&amp;""-""&amp;DAY(C40)&amp;""'""))&gt;0,""Caixa Atendimento"",""Caixa Sangria"")),""""),""Caixa Sangria"")"),"")</f>
        <v/>
      </c>
      <c r="M40" s="185">
        <f>IFERROR(__xludf.DUMMYFUNCTION("ifna(VALUE(REGEXEXTRACT(E40,""[0-9.]+[,]+[0-9]+"")))"),20.0)</f>
        <v>20</v>
      </c>
      <c r="N40" s="108"/>
      <c r="R40" s="110"/>
    </row>
    <row r="41" ht="14.25" customHeight="1">
      <c r="A41" s="178"/>
      <c r="B41" s="12">
        <v>1549969.0</v>
      </c>
      <c r="C41" s="13">
        <v>45837.92177083333</v>
      </c>
      <c r="D41" s="179" t="s">
        <v>81</v>
      </c>
      <c r="E41" s="180" t="s">
        <v>5046</v>
      </c>
      <c r="F41" s="181"/>
      <c r="G41" s="179" t="s">
        <v>3166</v>
      </c>
      <c r="H41" s="186"/>
      <c r="I41" s="186"/>
      <c r="J41" s="187" t="s">
        <v>3151</v>
      </c>
      <c r="K41" s="187"/>
      <c r="L41" s="184" t="str">
        <f>IFERROR(__xludf.DUMMYFUNCTION("ifna(IF(and(D41=""Saída"",J41=""Sangria""),if(sum(QUERY(IMPORTRANGE(""https://docs.google.com/spreadsheets/d/1E4szPcLzsqlw4uyBAoJ61L1ChCgpz4wVP8tHfHW1g_c"",""BD M Sangrias!a:i""),""select Col6 where Col7 = 'Depositada' and Col9 = '""&amp;K41&amp;""' and Col6 = """&amp;"&amp;M41&amp;"" and Col4 = date '""&amp;YEAR(C41)&amp;""-""&amp;MONTH(C41)&amp;""-""&amp;DAY(C41)&amp;""'""))&gt;0,""Depositada"",if(sum(QUERY(IMPORTRANGE(""https://docs.google.com/spreadsheets/d/1EcLIvUgMoBC5as4ikW0wuQsGH5yVZ6cQ1y16qEfgPnk"",""BD M Sangrias!a:i""),""select Col6 where Col7"&amp;" = 'Caixa Atendimento' and Col9 = '""&amp;K41&amp;""' and Col6 = ""&amp;M41&amp;"" and Col4 = date '""&amp;YEAR(C41)&amp;""-""&amp;MONTH(C41)&amp;""-""&amp;DAY(C41)&amp;""'""))&gt;0,""Caixa Atendimento"",""Caixa Sangria"")),""""),""Caixa Sangria"")"),"")</f>
        <v/>
      </c>
      <c r="M41" s="185">
        <f>IFERROR(__xludf.DUMMYFUNCTION("ifna(VALUE(REGEXEXTRACT(E41,""[0-9.]+[,]+[0-9]+"")))"),121.88)</f>
        <v>121.88</v>
      </c>
      <c r="N41" s="108"/>
      <c r="R41" s="110"/>
    </row>
    <row r="42" ht="14.25" customHeight="1">
      <c r="A42" s="178"/>
      <c r="B42" s="12">
        <v>1550009.0</v>
      </c>
      <c r="C42" s="13">
        <v>45837.924375</v>
      </c>
      <c r="D42" s="179" t="s">
        <v>81</v>
      </c>
      <c r="E42" s="180" t="s">
        <v>200</v>
      </c>
      <c r="F42" s="181"/>
      <c r="G42" s="179" t="s">
        <v>5055</v>
      </c>
      <c r="H42" s="186"/>
      <c r="I42" s="186"/>
      <c r="J42" s="187" t="s">
        <v>2735</v>
      </c>
      <c r="K42" s="187" t="s">
        <v>2018</v>
      </c>
      <c r="L42" s="184" t="str">
        <f>IFERROR(__xludf.DUMMYFUNCTION("ifna(IF(and(D42=""Saída"",J42=""Sangria""),if(sum(QUERY(IMPORTRANGE(""https://docs.google.com/spreadsheets/d/1E4szPcLzsqlw4uyBAoJ61L1ChCgpz4wVP8tHfHW1g_c"",""BD M Sangrias!a:i""),""select Col6 where Col7 = 'Depositada' and Col9 = '""&amp;K42&amp;""' and Col6 = """&amp;"&amp;M42&amp;"" and Col4 = date '""&amp;YEAR(C42)&amp;""-""&amp;MONTH(C42)&amp;""-""&amp;DAY(C42)&amp;""'""))&gt;0,""Depositada"",if(sum(QUERY(IMPORTRANGE(""https://docs.google.com/spreadsheets/d/1EcLIvUgMoBC5as4ikW0wuQsGH5yVZ6cQ1y16qEfgPnk"",""BD M Sangrias!a:i""),""select Col6 where Col7"&amp;" = 'Caixa Atendimento' and Col9 = '""&amp;K42&amp;""' and Col6 = ""&amp;M42&amp;"" and Col4 = date '""&amp;YEAR(C42)&amp;""-""&amp;MONTH(C42)&amp;""-""&amp;DAY(C42)&amp;""'""))&gt;0,""Caixa Atendimento"",""Caixa Sangria"")),""""),""Caixa Sangria"")"),"#REF!")</f>
        <v>#REF!</v>
      </c>
      <c r="M42" s="185">
        <f>IFERROR(__xludf.DUMMYFUNCTION("ifna(VALUE(REGEXEXTRACT(E42,""[0-9.]+[,]+[0-9]+"")))"),300.0)</f>
        <v>300</v>
      </c>
      <c r="N42" s="108"/>
      <c r="R42" s="110"/>
    </row>
    <row r="43" ht="14.25" customHeight="1">
      <c r="A43" s="178"/>
      <c r="B43" s="12">
        <v>1551264.0</v>
      </c>
      <c r="C43" s="13">
        <v>45838.87678240741</v>
      </c>
      <c r="D43" s="179" t="s">
        <v>81</v>
      </c>
      <c r="E43" s="180" t="s">
        <v>5061</v>
      </c>
      <c r="F43" s="181"/>
      <c r="G43" s="179" t="s">
        <v>5063</v>
      </c>
      <c r="H43" s="189"/>
      <c r="I43" s="189"/>
      <c r="J43" s="187" t="s">
        <v>2019</v>
      </c>
      <c r="K43" s="187" t="s">
        <v>2117</v>
      </c>
      <c r="L43" s="184" t="str">
        <f>IFERROR(__xludf.DUMMYFUNCTION("ifna(IF(and(D43=""Saída"",J43=""Sangria""),if(sum(QUERY(IMPORTRANGE(""https://docs.google.com/spreadsheets/d/1E4szPcLzsqlw4uyBAoJ61L1ChCgpz4wVP8tHfHW1g_c"",""BD M Sangrias!a:i""),""select Col6 where Col7 = 'Depositada' and Col9 = '""&amp;K43&amp;""' and Col6 = """&amp;"&amp;M43&amp;"" and Col4 = date '""&amp;YEAR(C43)&amp;""-""&amp;MONTH(C43)&amp;""-""&amp;DAY(C43)&amp;""'""))&gt;0,""Depositada"",if(sum(QUERY(IMPORTRANGE(""https://docs.google.com/spreadsheets/d/1EcLIvUgMoBC5as4ikW0wuQsGH5yVZ6cQ1y16qEfgPnk"",""BD M Sangrias!a:i""),""select Col6 where Col7"&amp;" = 'Caixa Atendimento' and Col9 = '""&amp;K43&amp;""' and Col6 = ""&amp;M43&amp;"" and Col4 = date '""&amp;YEAR(C43)&amp;""-""&amp;MONTH(C43)&amp;""-""&amp;DAY(C43)&amp;""'""))&gt;0,""Caixa Atendimento"",""Caixa Sangria"")),""""),""Caixa Sangria"")"),"")</f>
        <v/>
      </c>
      <c r="M43" s="185">
        <f>IFERROR(__xludf.DUMMYFUNCTION("ifna(VALUE(REGEXEXTRACT(E43,""[0-9.]+[,]+[0-9]+"")))"),22.77)</f>
        <v>22.77</v>
      </c>
      <c r="N43" s="108"/>
      <c r="R43" s="110"/>
    </row>
    <row r="44" ht="14.25" customHeight="1">
      <c r="A44" s="178"/>
      <c r="B44" s="12">
        <v>1551267.0</v>
      </c>
      <c r="C44" s="13">
        <v>45838.8771875</v>
      </c>
      <c r="D44" s="179" t="s">
        <v>81</v>
      </c>
      <c r="E44" s="180" t="s">
        <v>5070</v>
      </c>
      <c r="F44" s="181"/>
      <c r="G44" s="179" t="s">
        <v>5071</v>
      </c>
      <c r="H44" s="189"/>
      <c r="I44" s="189"/>
      <c r="J44" s="187" t="s">
        <v>2019</v>
      </c>
      <c r="K44" s="187" t="s">
        <v>2078</v>
      </c>
      <c r="L44" s="184" t="str">
        <f>IFERROR(__xludf.DUMMYFUNCTION("ifna(IF(and(D44=""Saída"",J44=""Sangria""),if(sum(QUERY(IMPORTRANGE(""https://docs.google.com/spreadsheets/d/1E4szPcLzsqlw4uyBAoJ61L1ChCgpz4wVP8tHfHW1g_c"",""BD M Sangrias!a:i""),""select Col6 where Col7 = 'Depositada' and Col9 = '""&amp;K44&amp;""' and Col6 = """&amp;"&amp;M44&amp;"" and Col4 = date '""&amp;YEAR(C44)&amp;""-""&amp;MONTH(C44)&amp;""-""&amp;DAY(C44)&amp;""'""))&gt;0,""Depositada"",if(sum(QUERY(IMPORTRANGE(""https://docs.google.com/spreadsheets/d/1EcLIvUgMoBC5as4ikW0wuQsGH5yVZ6cQ1y16qEfgPnk"",""BD M Sangrias!a:i""),""select Col6 where Col7"&amp;" = 'Caixa Atendimento' and Col9 = '""&amp;K44&amp;""' and Col6 = ""&amp;M44&amp;"" and Col4 = date '""&amp;YEAR(C44)&amp;""-""&amp;MONTH(C44)&amp;""-""&amp;DAY(C44)&amp;""'""))&gt;0,""Caixa Atendimento"",""Caixa Sangria"")),""""),""Caixa Sangria"")"),"")</f>
        <v/>
      </c>
      <c r="M44" s="185">
        <f>IFERROR(__xludf.DUMMYFUNCTION("ifna(VALUE(REGEXEXTRACT(E44,""[0-9.]+[,]+[0-9]+"")))"),16.98)</f>
        <v>16.98</v>
      </c>
      <c r="N44" s="108"/>
      <c r="R44" s="110"/>
    </row>
    <row r="45" ht="14.25" customHeight="1">
      <c r="A45" s="178"/>
      <c r="B45" s="12">
        <v>1551451.0</v>
      </c>
      <c r="C45" s="13">
        <v>45838.92594907407</v>
      </c>
      <c r="D45" s="179" t="s">
        <v>81</v>
      </c>
      <c r="E45" s="180" t="s">
        <v>127</v>
      </c>
      <c r="F45" s="181"/>
      <c r="G45" s="179" t="s">
        <v>4071</v>
      </c>
      <c r="H45" s="190"/>
      <c r="I45" s="190"/>
      <c r="J45" s="187" t="s">
        <v>2735</v>
      </c>
      <c r="K45" s="187" t="s">
        <v>2018</v>
      </c>
      <c r="L45" s="184" t="str">
        <f>IFERROR(__xludf.DUMMYFUNCTION("ifna(IF(and(D45=""Saída"",J45=""Sangria""),if(sum(QUERY(IMPORTRANGE(""https://docs.google.com/spreadsheets/d/1E4szPcLzsqlw4uyBAoJ61L1ChCgpz4wVP8tHfHW1g_c"",""BD M Sangrias!a:i""),""select Col6 where Col7 = 'Depositada' and Col9 = '""&amp;K45&amp;""' and Col6 = """&amp;"&amp;M45&amp;"" and Col4 = date '""&amp;YEAR(C45)&amp;""-""&amp;MONTH(C45)&amp;""-""&amp;DAY(C45)&amp;""'""))&gt;0,""Depositada"",if(sum(QUERY(IMPORTRANGE(""https://docs.google.com/spreadsheets/d/1EcLIvUgMoBC5as4ikW0wuQsGH5yVZ6cQ1y16qEfgPnk"",""BD M Sangrias!a:i""),""select Col6 where Col7"&amp;" = 'Caixa Atendimento' and Col9 = '""&amp;K45&amp;""' and Col6 = ""&amp;M45&amp;"" and Col4 = date '""&amp;YEAR(C45)&amp;""-""&amp;MONTH(C45)&amp;""-""&amp;DAY(C45)&amp;""'""))&gt;0,""Caixa Atendimento"",""Caixa Sangria"")),""""),""Caixa Sangria"")"),"#REF!")</f>
        <v>#REF!</v>
      </c>
      <c r="M45" s="185">
        <f>IFERROR(__xludf.DUMMYFUNCTION("ifna(VALUE(REGEXEXTRACT(E45,""[0-9.]+[,]+[0-9]+"")))"),250.0)</f>
        <v>250</v>
      </c>
      <c r="N45" s="108"/>
      <c r="R45" s="110"/>
    </row>
    <row r="46" ht="18.75" customHeight="1">
      <c r="A46" s="178"/>
      <c r="B46" s="12">
        <v>1551753.0</v>
      </c>
      <c r="C46" s="13">
        <v>45839.59315972222</v>
      </c>
      <c r="D46" s="179" t="s">
        <v>152</v>
      </c>
      <c r="E46" s="180" t="s">
        <v>5087</v>
      </c>
      <c r="F46" s="181"/>
      <c r="G46" s="179" t="s">
        <v>158</v>
      </c>
      <c r="H46" s="190"/>
      <c r="I46" s="190"/>
      <c r="J46" s="187" t="s">
        <v>2669</v>
      </c>
      <c r="K46" s="187"/>
      <c r="L46" s="184" t="str">
        <f>IFERROR(__xludf.DUMMYFUNCTION("ifna(IF(and(D46=""Saída"",J46=""Sangria""),if(sum(QUERY(IMPORTRANGE(""https://docs.google.com/spreadsheets/d/1E4szPcLzsqlw4uyBAoJ61L1ChCgpz4wVP8tHfHW1g_c"",""BD M Sangrias!a:i""),""select Col6 where Col7 = 'Depositada' and Col9 = '""&amp;K46&amp;""' and Col6 = """&amp;"&amp;M46&amp;"" and Col4 = date '""&amp;YEAR(C46)&amp;""-""&amp;MONTH(C46)&amp;""-""&amp;DAY(C46)&amp;""'""))&gt;0,""Depositada"",if(sum(QUERY(IMPORTRANGE(""https://docs.google.com/spreadsheets/d/1EcLIvUgMoBC5as4ikW0wuQsGH5yVZ6cQ1y16qEfgPnk"",""BD M Sangrias!a:i""),""select Col6 where Col7"&amp;" = 'Caixa Atendimento' and Col9 = '""&amp;K46&amp;""' and Col6 = ""&amp;M46&amp;"" and Col4 = date '""&amp;YEAR(C46)&amp;""-""&amp;MONTH(C46)&amp;""-""&amp;DAY(C46)&amp;""'""))&gt;0,""Caixa Atendimento"",""Caixa Sangria"")),""""),""Caixa Sangria"")"),"")</f>
        <v/>
      </c>
      <c r="M46" s="185">
        <f>IFERROR(__xludf.DUMMYFUNCTION("ifna(VALUE(REGEXEXTRACT(E46,""[0-9.]+[,]+[0-9]+"")))"),35.0)</f>
        <v>35</v>
      </c>
      <c r="N46" s="108"/>
      <c r="R46" s="110"/>
    </row>
    <row r="47" ht="14.25" customHeight="1">
      <c r="A47" s="178"/>
      <c r="B47" s="12">
        <v>1552093.0</v>
      </c>
      <c r="C47" s="13">
        <v>45839.753530092596</v>
      </c>
      <c r="D47" s="179" t="s">
        <v>81</v>
      </c>
      <c r="E47" s="180" t="s">
        <v>590</v>
      </c>
      <c r="F47" s="181"/>
      <c r="G47" s="179" t="s">
        <v>5055</v>
      </c>
      <c r="H47" s="190"/>
      <c r="I47" s="190"/>
      <c r="J47" s="187" t="s">
        <v>2735</v>
      </c>
      <c r="K47" s="187" t="s">
        <v>2018</v>
      </c>
      <c r="L47" s="184" t="str">
        <f>IFERROR(__xludf.DUMMYFUNCTION("ifna(IF(and(D47=""Saída"",J47=""Sangria""),if(sum(QUERY(IMPORTRANGE(""https://docs.google.com/spreadsheets/d/1E4szPcLzsqlw4uyBAoJ61L1ChCgpz4wVP8tHfHW1g_c"",""BD M Sangrias!a:i""),""select Col6 where Col7 = 'Depositada' and Col9 = '""&amp;K48&amp;""' and Col6 = """&amp;"&amp;M47&amp;"" and Col4 = date '""&amp;YEAR(C47)&amp;""-""&amp;MONTH(C47)&amp;""-""&amp;DAY(C47)&amp;""'""))&gt;0,""Depositada"",if(sum(QUERY(IMPORTRANGE(""https://docs.google.com/spreadsheets/d/1EcLIvUgMoBC5as4ikW0wuQsGH5yVZ6cQ1y16qEfgPnk"",""BD M Sangrias!a:i""),""select Col6 where Col7"&amp;" = 'Caixa Atendimento' and Col9 = '""&amp;K48&amp;""' and Col6 = ""&amp;M47&amp;"" and Col4 = date '""&amp;YEAR(C47)&amp;""-""&amp;MONTH(C47)&amp;""-""&amp;DAY(C47)&amp;""'""))&gt;0,""Caixa Atendimento"",""Caixa Sangria"")),""""),""Caixa Sangria"")"),"#REF!")</f>
        <v>#REF!</v>
      </c>
      <c r="M47" s="185">
        <f>IFERROR(__xludf.DUMMYFUNCTION("ifna(VALUE(REGEXEXTRACT(E47,""[0-9.]+[,]+[0-9]+"")))"),350.0)</f>
        <v>350</v>
      </c>
      <c r="R47" s="110"/>
    </row>
    <row r="48">
      <c r="A48" s="178"/>
      <c r="B48" s="12">
        <v>1552112.0</v>
      </c>
      <c r="C48" s="13">
        <v>45839.76231481481</v>
      </c>
      <c r="D48" s="179" t="s">
        <v>81</v>
      </c>
      <c r="E48" s="180" t="s">
        <v>5100</v>
      </c>
      <c r="F48" s="188"/>
      <c r="G48" s="179" t="s">
        <v>5063</v>
      </c>
      <c r="H48" s="190"/>
      <c r="I48" s="190"/>
      <c r="J48" s="187" t="s">
        <v>2019</v>
      </c>
      <c r="K48" s="187" t="s">
        <v>2117</v>
      </c>
      <c r="L48" s="184" t="str">
        <f>IFERROR(__xludf.DUMMYFUNCTION("ifna(IF(and(D48=""Saída"",J48=""Sangria""),if(sum(QUERY(IMPORTRANGE(""https://docs.google.com/spreadsheets/d/1E4szPcLzsqlw4uyBAoJ61L1ChCgpz4wVP8tHfHW1g_c"",""BD M Sangrias!a:i""),""select Col6 where Col7 = 'Depositada' and Col9 = '""&amp;#REF!&amp;""' and Col6 = "&amp;"""&amp;M48&amp;"" and Col4 = date '""&amp;YEAR(C48)&amp;""-""&amp;MONTH(C48)&amp;""-""&amp;DAY(C48)&amp;""'""))&gt;0,""Depositada"",if(sum(QUERY(IMPORTRANGE(""https://docs.google.com/spreadsheets/d/1EcLIvUgMoBC5as4ikW0wuQsGH5yVZ6cQ1y16qEfgPnk"",""BD M Sangrias!a:i""),""select Col6 where Co"&amp;"l7 = 'Caixa Atendimento' and Col9 = '""&amp;#REF!&amp;""' and Col6 = ""&amp;M48&amp;"" and Col4 = date '""&amp;YEAR(C48)&amp;""-""&amp;MONTH(C48)&amp;""-""&amp;DAY(C48)&amp;""'""))&gt;0,""Caixa Atendimento"",""Caixa Sangria"")),""""),""Caixa Sangria"")"),"")</f>
        <v/>
      </c>
      <c r="M48" s="185">
        <f>IFERROR(__xludf.DUMMYFUNCTION("ifna(VALUE(REGEXEXTRACT(E48,""[0-9.]+[,]+[0-9]+"")))"),20.76)</f>
        <v>20.76</v>
      </c>
      <c r="N48" s="193" t="str">
        <f>B8</f>
        <v/>
      </c>
      <c r="O48" s="106"/>
      <c r="P48" s="106"/>
      <c r="Q48" s="106"/>
      <c r="R48" s="110"/>
      <c r="S48" s="123" t="str">
        <f>B9</f>
        <v/>
      </c>
      <c r="T48" s="106"/>
      <c r="U48" s="106"/>
      <c r="V48" s="124"/>
    </row>
    <row r="49" ht="14.25" customHeight="1">
      <c r="A49" s="178"/>
      <c r="B49" s="12">
        <v>1552113.0</v>
      </c>
      <c r="C49" s="13">
        <v>45839.762511574074</v>
      </c>
      <c r="D49" s="179" t="s">
        <v>81</v>
      </c>
      <c r="E49" s="180" t="s">
        <v>5108</v>
      </c>
      <c r="F49" s="181"/>
      <c r="G49" s="179" t="s">
        <v>585</v>
      </c>
      <c r="H49" s="190"/>
      <c r="I49" s="190"/>
      <c r="J49" s="187" t="s">
        <v>2019</v>
      </c>
      <c r="K49" s="187" t="s">
        <v>2078</v>
      </c>
      <c r="L49" s="184" t="str">
        <f>IFERROR(__xludf.DUMMYFUNCTION("ifna(IF(and(D49=""Saída"",J49=""Sangria""),if(sum(QUERY(IMPORTRANGE(""https://docs.google.com/spreadsheets/d/1E4szPcLzsqlw4uyBAoJ61L1ChCgpz4wVP8tHfHW1g_c"",""BD M Sangrias!a:i""),""select Col6 where Col7 = 'Depositada' and Col9 = '""&amp;K49&amp;""' and Col6 = """&amp;"&amp;M49&amp;"" and Col4 = date '""&amp;YEAR(C49)&amp;""-""&amp;MONTH(C49)&amp;""-""&amp;DAY(C49)&amp;""'""))&gt;0,""Depositada"",if(sum(QUERY(IMPORTRANGE(""https://docs.google.com/spreadsheets/d/1EcLIvUgMoBC5as4ikW0wuQsGH5yVZ6cQ1y16qEfgPnk"",""BD M Sangrias!a:i""),""select Col6 where Col7"&amp;" = 'Caixa Atendimento' and Col9 = '""&amp;K49&amp;""' and Col6 = ""&amp;M49&amp;"" and Col4 = date '""&amp;YEAR(C49)&amp;""-""&amp;MONTH(C49)&amp;""-""&amp;DAY(C49)&amp;""'""))&gt;0,""Caixa Atendimento"",""Caixa Sangria"")),""""),""Caixa Sangria"")"),"")</f>
        <v/>
      </c>
      <c r="M49" s="185">
        <f>IFERROR(__xludf.DUMMYFUNCTION("ifna(VALUE(REGEXEXTRACT(E49,""[0-9.]+[,]+[0-9]+"")))"),23.4)</f>
        <v>23.4</v>
      </c>
      <c r="N49" s="46" t="str">
        <f>IFERROR(__xludf.DUMMYFUNCTION("query(C28:L504,""select Col1,Col3,Col8,Col9 where (Col8 = 'Adiantamento' or Col8 = 'Consumo') and Col9 = '""&amp;B8&amp;""'"",1)"),"Data")</f>
        <v>Data</v>
      </c>
      <c r="O49" s="47" t="str">
        <f>IFERROR(__xludf.DUMMYFUNCTION("""COMPUTED_VALUE"""),"Valor ")</f>
        <v>Valor </v>
      </c>
      <c r="P49" s="47" t="str">
        <f>IFERROR(__xludf.DUMMYFUNCTION("""COMPUTED_VALUE"""),"Tipo")</f>
        <v>Tipo</v>
      </c>
      <c r="Q49" s="47" t="str">
        <f>IFERROR(__xludf.DUMMYFUNCTION("""COMPUTED_VALUE"""),"Funcionário")</f>
        <v>Funcionário</v>
      </c>
      <c r="R49" s="49"/>
      <c r="S49" s="50" t="str">
        <f>IFERROR(__xludf.DUMMYFUNCTION("query(C28:L504,""select Col1,Col3,Col8,Col9 where (Col8 = 'Adiantamento' or Col8 = 'Consumo') and Col9 = '""&amp;B9&amp;""'"",1)"),"Data")</f>
        <v>Data</v>
      </c>
      <c r="T49" s="50" t="str">
        <f>IFERROR(__xludf.DUMMYFUNCTION("""COMPUTED_VALUE"""),"Valor ")</f>
        <v>Valor </v>
      </c>
      <c r="U49" s="50" t="str">
        <f>IFERROR(__xludf.DUMMYFUNCTION("""COMPUTED_VALUE"""),"Tipo")</f>
        <v>Tipo</v>
      </c>
      <c r="V49" s="51" t="str">
        <f>IFERROR(__xludf.DUMMYFUNCTION("""COMPUTED_VALUE"""),"Funcionário")</f>
        <v>Funcionário</v>
      </c>
    </row>
    <row r="50" ht="14.25" customHeight="1">
      <c r="A50" s="178"/>
      <c r="B50" s="12">
        <v>1552729.0</v>
      </c>
      <c r="C50" s="13">
        <v>45840.522685185184</v>
      </c>
      <c r="D50" s="179" t="s">
        <v>152</v>
      </c>
      <c r="E50" s="180" t="s">
        <v>5120</v>
      </c>
      <c r="F50" s="181"/>
      <c r="G50" s="179" t="s">
        <v>158</v>
      </c>
      <c r="H50" s="190"/>
      <c r="I50" s="190"/>
      <c r="J50" s="187" t="s">
        <v>2669</v>
      </c>
      <c r="K50" s="187"/>
      <c r="L50" s="184" t="str">
        <f>IFERROR(__xludf.DUMMYFUNCTION("ifna(IF(and(D50=""Saída"",J50=""Sangria""),if(sum(QUERY(IMPORTRANGE(""https://docs.google.com/spreadsheets/d/1E4szPcLzsqlw4uyBAoJ61L1ChCgpz4wVP8tHfHW1g_c"",""BD M Sangrias!a:i""),""select Col6 where Col7 = 'Depositada' and Col9 = '""&amp;K50&amp;""' and Col6 = """&amp;"&amp;M50&amp;"" and Col4 = date '""&amp;YEAR(C50)&amp;""-""&amp;MONTH(C50)&amp;""-""&amp;DAY(C50)&amp;""'""))&gt;0,""Depositada"",if(sum(QUERY(IMPORTRANGE(""https://docs.google.com/spreadsheets/d/1EcLIvUgMoBC5as4ikW0wuQsGH5yVZ6cQ1y16qEfgPnk"",""BD M Sangrias!a:i""),""select Col6 where Col7"&amp;" = 'Caixa Atendimento' and Col9 = '""&amp;K50&amp;""' and Col6 = ""&amp;M50&amp;"" and Col4 = date '""&amp;YEAR(C50)&amp;""-""&amp;MONTH(C50)&amp;""-""&amp;DAY(C50)&amp;""'""))&gt;0,""Caixa Atendimento"",""Caixa Sangria"")),""""),""Caixa Sangria"")"),"")</f>
        <v/>
      </c>
      <c r="M50" s="185">
        <f>IFERROR(__xludf.DUMMYFUNCTION("ifna(VALUE(REGEXEXTRACT(E50,""[0-9.]+[,]+[0-9]+"")))"),38.0)</f>
        <v>38</v>
      </c>
      <c r="N50" s="52"/>
      <c r="O50" s="53"/>
      <c r="P50" s="53"/>
      <c r="Q50" s="53"/>
      <c r="R50" s="55"/>
      <c r="S50" s="53"/>
      <c r="T50" s="53"/>
      <c r="U50" s="53"/>
      <c r="V50" s="54"/>
    </row>
    <row r="51" ht="19.5" customHeight="1">
      <c r="A51" s="178"/>
      <c r="B51" s="12">
        <v>1552784.0</v>
      </c>
      <c r="C51" s="13">
        <v>45840.57202546296</v>
      </c>
      <c r="D51" s="179" t="s">
        <v>81</v>
      </c>
      <c r="E51" s="180" t="s">
        <v>5130</v>
      </c>
      <c r="F51" s="181"/>
      <c r="G51" s="179" t="s">
        <v>193</v>
      </c>
      <c r="H51" s="190"/>
      <c r="I51" s="190"/>
      <c r="J51" s="187" t="s">
        <v>3151</v>
      </c>
      <c r="K51" s="187"/>
      <c r="L51" s="184" t="str">
        <f>IFERROR(__xludf.DUMMYFUNCTION("ifna(IF(and(D51=""Saída"",J51=""Sangria""),if(sum(QUERY(IMPORTRANGE(""https://docs.google.com/spreadsheets/d/1E4szPcLzsqlw4uyBAoJ61L1ChCgpz4wVP8tHfHW1g_c"",""BD M Sangrias!a:i""),""select Col6 where Col7 = 'Depositada' and Col9 = '""&amp;K51&amp;""' and Col6 = """&amp;"&amp;M51&amp;"" and Col4 = date '""&amp;YEAR(C51)&amp;""-""&amp;MONTH(C51)&amp;""-""&amp;DAY(C51)&amp;""'""))&gt;0,""Depositada"",if(sum(QUERY(IMPORTRANGE(""https://docs.google.com/spreadsheets/d/1EcLIvUgMoBC5as4ikW0wuQsGH5yVZ6cQ1y16qEfgPnk"",""BD M Sangrias!a:i""),""select Col6 where Col7"&amp;" = 'Caixa Atendimento' and Col9 = '""&amp;K51&amp;""' and Col6 = ""&amp;M51&amp;"" and Col4 = date '""&amp;YEAR(C51)&amp;""-""&amp;MONTH(C51)&amp;""-""&amp;DAY(C51)&amp;""'""))&gt;0,""Caixa Atendimento"",""Caixa Sangria"")),""""),""Caixa Sangria"")"),"")</f>
        <v/>
      </c>
      <c r="M51" s="185">
        <f>IFERROR(__xludf.DUMMYFUNCTION("ifna(VALUE(REGEXEXTRACT(E51,""[0-9.]+[,]+[0-9]+"")))"),60.23)</f>
        <v>60.23</v>
      </c>
      <c r="N51" s="52"/>
      <c r="O51" s="53"/>
      <c r="P51" s="53"/>
      <c r="Q51" s="53"/>
      <c r="R51" s="55"/>
      <c r="S51" s="53"/>
      <c r="T51" s="53"/>
      <c r="U51" s="53"/>
      <c r="V51" s="54"/>
    </row>
    <row r="52" ht="14.25" customHeight="1">
      <c r="A52" s="178"/>
      <c r="B52" s="12">
        <v>1553158.0</v>
      </c>
      <c r="C52" s="13">
        <v>45840.768159722225</v>
      </c>
      <c r="D52" s="179" t="s">
        <v>81</v>
      </c>
      <c r="E52" s="180" t="s">
        <v>5140</v>
      </c>
      <c r="F52" s="181"/>
      <c r="G52" s="179" t="s">
        <v>5141</v>
      </c>
      <c r="H52" s="190"/>
      <c r="I52" s="190"/>
      <c r="J52" s="187" t="s">
        <v>2438</v>
      </c>
      <c r="K52" s="187"/>
      <c r="L52" s="184" t="str">
        <f>IFERROR(__xludf.DUMMYFUNCTION("ifna(IF(and(D52=""Saída"",J52=""Sangria""),if(sum(QUERY(IMPORTRANGE(""https://docs.google.com/spreadsheets/d/1E4szPcLzsqlw4uyBAoJ61L1ChCgpz4wVP8tHfHW1g_c"",""BD M Sangrias!a:i""),""select Col6 where Col7 = 'Depositada' and Col9 = '""&amp;K52&amp;""' and Col6 = """&amp;"&amp;M52&amp;"" and Col4 = date '""&amp;YEAR(C52)&amp;""-""&amp;MONTH(C52)&amp;""-""&amp;DAY(C52)&amp;""'""))&gt;0,""Depositada"",if(sum(QUERY(IMPORTRANGE(""https://docs.google.com/spreadsheets/d/1EcLIvUgMoBC5as4ikW0wuQsGH5yVZ6cQ1y16qEfgPnk"",""BD M Sangrias!a:i""),""select Col6 where Col7"&amp;" = 'Caixa Atendimento' and Col9 = '""&amp;K52&amp;""' and Col6 = ""&amp;M52&amp;"" and Col4 = date '""&amp;YEAR(C52)&amp;""-""&amp;MONTH(C52)&amp;""-""&amp;DAY(C52)&amp;""'""))&gt;0,""Caixa Atendimento"",""Caixa Sangria"")),""""),""Caixa Sangria"")"),"")</f>
        <v/>
      </c>
      <c r="M52" s="185">
        <f>IFERROR(__xludf.DUMMYFUNCTION("ifna(VALUE(REGEXEXTRACT(E52,""[0-9.]+[,]+[0-9]+"")))"),31.07)</f>
        <v>31.07</v>
      </c>
      <c r="N52" s="52"/>
      <c r="O52" s="53"/>
      <c r="P52" s="53"/>
      <c r="Q52" s="53"/>
      <c r="R52" s="55"/>
      <c r="S52" s="53"/>
      <c r="T52" s="53"/>
      <c r="U52" s="53"/>
      <c r="V52" s="54"/>
    </row>
    <row r="53" ht="14.25" customHeight="1">
      <c r="A53" s="178"/>
      <c r="B53" s="12">
        <v>1553159.0</v>
      </c>
      <c r="C53" s="13">
        <v>45840.76871527778</v>
      </c>
      <c r="D53" s="179" t="s">
        <v>81</v>
      </c>
      <c r="E53" s="180" t="s">
        <v>5149</v>
      </c>
      <c r="F53" s="181"/>
      <c r="G53" s="179" t="s">
        <v>5151</v>
      </c>
      <c r="H53" s="190"/>
      <c r="I53" s="190"/>
      <c r="J53" s="187" t="s">
        <v>2438</v>
      </c>
      <c r="K53" s="187"/>
      <c r="L53" s="184" t="str">
        <f>IFERROR(__xludf.DUMMYFUNCTION("ifna(IF(and(D53=""Saída"",J53=""Sangria""),if(sum(QUERY(IMPORTRANGE(""https://docs.google.com/spreadsheets/d/1E4szPcLzsqlw4uyBAoJ61L1ChCgpz4wVP8tHfHW1g_c"",""BD M Sangrias!a:i""),""select Col6 where Col7 = 'Depositada' and Col9 = '""&amp;K53&amp;""' and Col6 = """&amp;"&amp;M53&amp;"" and Col4 = date '""&amp;YEAR(C53)&amp;""-""&amp;MONTH(C53)&amp;""-""&amp;DAY(C53)&amp;""'""))&gt;0,""Depositada"",if(sum(QUERY(IMPORTRANGE(""https://docs.google.com/spreadsheets/d/1EcLIvUgMoBC5as4ikW0wuQsGH5yVZ6cQ1y16qEfgPnk"",""BD M Sangrias!a:i""),""select Col6 where Col7"&amp;" = 'Caixa Atendimento' and Col9 = '""&amp;K53&amp;""' and Col6 = ""&amp;M53&amp;"" and Col4 = date '""&amp;YEAR(C53)&amp;""-""&amp;MONTH(C53)&amp;""-""&amp;DAY(C53)&amp;""'""))&gt;0,""Caixa Atendimento"",""Caixa Sangria"")),""""),""Caixa Sangria"")"),"")</f>
        <v/>
      </c>
      <c r="M53" s="185">
        <f>IFERROR(__xludf.DUMMYFUNCTION("ifna(VALUE(REGEXEXTRACT(E53,""[0-9.]+[,]+[0-9]+"")))"),39.75)</f>
        <v>39.75</v>
      </c>
      <c r="N53" s="52"/>
      <c r="O53" s="53"/>
      <c r="P53" s="53"/>
      <c r="Q53" s="53"/>
      <c r="R53" s="55"/>
      <c r="S53" s="53"/>
      <c r="T53" s="53"/>
      <c r="U53" s="53"/>
      <c r="V53" s="54"/>
    </row>
    <row r="54" ht="14.25" customHeight="1">
      <c r="A54" s="178"/>
      <c r="B54" s="12">
        <v>1553171.0</v>
      </c>
      <c r="C54" s="13">
        <v>45840.774189814816</v>
      </c>
      <c r="D54" s="179" t="s">
        <v>81</v>
      </c>
      <c r="E54" s="180" t="s">
        <v>200</v>
      </c>
      <c r="F54" s="181"/>
      <c r="G54" s="179" t="s">
        <v>5055</v>
      </c>
      <c r="H54" s="190"/>
      <c r="I54" s="190"/>
      <c r="J54" s="187" t="s">
        <v>2735</v>
      </c>
      <c r="K54" s="187" t="s">
        <v>2018</v>
      </c>
      <c r="L54" s="184" t="str">
        <f>IFERROR(__xludf.DUMMYFUNCTION("ifna(IF(and(D54=""Saída"",J54=""Sangria""),if(sum(QUERY(IMPORTRANGE(""https://docs.google.com/spreadsheets/d/1E4szPcLzsqlw4uyBAoJ61L1ChCgpz4wVP8tHfHW1g_c"",""BD M Sangrias!a:i""),""select Col6 where Col7 = 'Depositada' and Col9 = '""&amp;K54&amp;""' and Col6 = """&amp;"&amp;M54&amp;"" and Col4 = date '""&amp;YEAR(C54)&amp;""-""&amp;MONTH(C54)&amp;""-""&amp;DAY(C54)&amp;""'""))&gt;0,""Depositada"",if(sum(QUERY(IMPORTRANGE(""https://docs.google.com/spreadsheets/d/1EcLIvUgMoBC5as4ikW0wuQsGH5yVZ6cQ1y16qEfgPnk"",""BD M Sangrias!a:i""),""select Col6 where Col7"&amp;" = 'Caixa Atendimento' and Col9 = '""&amp;K54&amp;""' and Col6 = ""&amp;M54&amp;"" and Col4 = date '""&amp;YEAR(C54)&amp;""-""&amp;MONTH(C54)&amp;""-""&amp;DAY(C54)&amp;""'""))&gt;0,""Caixa Atendimento"",""Caixa Sangria"")),""""),""Caixa Sangria"")"),"#REF!")</f>
        <v>#REF!</v>
      </c>
      <c r="M54" s="185">
        <f>IFERROR(__xludf.DUMMYFUNCTION("ifna(VALUE(REGEXEXTRACT(E54,""[0-9.]+[,]+[0-9]+"")))"),300.0)</f>
        <v>300</v>
      </c>
      <c r="N54" s="52"/>
      <c r="O54" s="53"/>
      <c r="P54" s="53"/>
      <c r="Q54" s="53"/>
      <c r="R54" s="55"/>
      <c r="S54" s="53"/>
      <c r="T54" s="53"/>
      <c r="U54" s="53"/>
      <c r="V54" s="54"/>
    </row>
    <row r="55" ht="14.25" customHeight="1">
      <c r="A55" s="178"/>
      <c r="B55" s="12">
        <v>1554099.0</v>
      </c>
      <c r="C55" s="13">
        <v>45841.71675925926</v>
      </c>
      <c r="D55" s="179" t="s">
        <v>81</v>
      </c>
      <c r="E55" s="180" t="s">
        <v>5171</v>
      </c>
      <c r="F55" s="181"/>
      <c r="G55" s="179" t="s">
        <v>4071</v>
      </c>
      <c r="H55" s="190"/>
      <c r="I55" s="190"/>
      <c r="J55" s="187" t="s">
        <v>2735</v>
      </c>
      <c r="K55" s="187" t="s">
        <v>2018</v>
      </c>
      <c r="L55" s="184" t="str">
        <f>IFERROR(__xludf.DUMMYFUNCTION("ifna(IF(and(D55=""Saída"",J55=""Sangria""),if(sum(QUERY(IMPORTRANGE(""https://docs.google.com/spreadsheets/d/1E4szPcLzsqlw4uyBAoJ61L1ChCgpz4wVP8tHfHW1g_c"",""BD M Sangrias!a:i""),""select Col6 where Col7 = 'Depositada' and Col9 = '""&amp;K55&amp;""' and Col6 = """&amp;"&amp;M55&amp;"" and Col4 = date '""&amp;YEAR(C55)&amp;""-""&amp;MONTH(C55)&amp;""-""&amp;DAY(C55)&amp;""'""))&gt;0,""Depositada"",if(sum(QUERY(IMPORTRANGE(""https://docs.google.com/spreadsheets/d/1EcLIvUgMoBC5as4ikW0wuQsGH5yVZ6cQ1y16qEfgPnk"",""BD M Sangrias!a:i""),""select Col6 where Col7"&amp;" = 'Caixa Atendimento' and Col9 = '""&amp;K55&amp;""' and Col6 = ""&amp;M55&amp;"" and Col4 = date '""&amp;YEAR(C55)&amp;""-""&amp;MONTH(C55)&amp;""-""&amp;DAY(C55)&amp;""'""))&gt;0,""Caixa Atendimento"",""Caixa Sangria"")),""""),""Caixa Sangria"")"),"#REF!")</f>
        <v>#REF!</v>
      </c>
      <c r="M55" s="185">
        <f>IFERROR(__xludf.DUMMYFUNCTION("ifna(VALUE(REGEXEXTRACT(E55,""[0-9.]+[,]+[0-9]+"")))"),570.0)</f>
        <v>570</v>
      </c>
      <c r="N55" s="52"/>
      <c r="O55" s="79"/>
      <c r="P55" s="79"/>
      <c r="Q55" s="79"/>
      <c r="R55" s="81"/>
      <c r="S55" s="79"/>
      <c r="T55" s="79"/>
      <c r="U55" s="79"/>
      <c r="V55" s="80"/>
    </row>
    <row r="56" ht="14.25" customHeight="1">
      <c r="A56" s="178"/>
      <c r="B56" s="12">
        <v>1554921.0</v>
      </c>
      <c r="C56" s="13">
        <v>45842.59133101852</v>
      </c>
      <c r="D56" s="179" t="s">
        <v>81</v>
      </c>
      <c r="E56" s="180" t="s">
        <v>5181</v>
      </c>
      <c r="F56" s="181"/>
      <c r="G56" s="179" t="s">
        <v>5184</v>
      </c>
      <c r="H56" s="190"/>
      <c r="I56" s="190"/>
      <c r="J56" s="187" t="s">
        <v>3151</v>
      </c>
      <c r="K56" s="187"/>
      <c r="L56" s="184" t="str">
        <f>IFERROR(__xludf.DUMMYFUNCTION("ifna(IF(and(D56=""Saída"",J56=""Sangria""),if(sum(QUERY(IMPORTRANGE(""https://docs.google.com/spreadsheets/d/1E4szPcLzsqlw4uyBAoJ61L1ChCgpz4wVP8tHfHW1g_c"",""BD M Sangrias!a:i""),""select Col6 where Col7 = 'Depositada' and Col9 = '""&amp;K56&amp;""' and Col6 = """&amp;"&amp;M56&amp;"" and Col4 = date '""&amp;YEAR(C56)&amp;""-""&amp;MONTH(C56)&amp;""-""&amp;DAY(C56)&amp;""'""))&gt;0,""Depositada"",if(sum(QUERY(IMPORTRANGE(""https://docs.google.com/spreadsheets/d/1EcLIvUgMoBC5as4ikW0wuQsGH5yVZ6cQ1y16qEfgPnk"",""BD M Sangrias!a:i""),""select Col6 where Col7"&amp;" = 'Caixa Atendimento' and Col9 = '""&amp;K56&amp;""' and Col6 = ""&amp;M56&amp;"" and Col4 = date '""&amp;YEAR(C56)&amp;""-""&amp;MONTH(C56)&amp;""-""&amp;DAY(C56)&amp;""'""))&gt;0,""Caixa Atendimento"",""Caixa Sangria"")),""""),""Caixa Sangria"")"),"")</f>
        <v/>
      </c>
      <c r="M56" s="185">
        <f>IFERROR(__xludf.DUMMYFUNCTION("ifna(VALUE(REGEXEXTRACT(E56,""[0-9.]+[,]+[0-9]+"")))"),60.96)</f>
        <v>60.96</v>
      </c>
      <c r="N56" s="88"/>
      <c r="O56" s="89"/>
      <c r="P56" s="89"/>
      <c r="Q56" s="89"/>
      <c r="R56" s="91"/>
      <c r="S56" s="89"/>
      <c r="T56" s="89"/>
      <c r="U56" s="89"/>
      <c r="V56" s="90"/>
    </row>
    <row r="57" ht="17.25" customHeight="1">
      <c r="A57" s="178"/>
      <c r="B57" s="12">
        <v>1555351.0</v>
      </c>
      <c r="C57" s="13">
        <v>45842.7328125</v>
      </c>
      <c r="D57" s="179" t="s">
        <v>81</v>
      </c>
      <c r="E57" s="180" t="s">
        <v>910</v>
      </c>
      <c r="F57" s="181"/>
      <c r="G57" s="179" t="s">
        <v>5192</v>
      </c>
      <c r="H57" s="190"/>
      <c r="I57" s="190"/>
      <c r="J57" s="187" t="s">
        <v>5195</v>
      </c>
      <c r="K57" s="187"/>
      <c r="L57" s="184" t="str">
        <f>IFERROR(__xludf.DUMMYFUNCTION("ifna(IF(and(D57=""Saída"",J57=""Sangria""),if(sum(QUERY(IMPORTRANGE(""https://docs.google.com/spreadsheets/d/1E4szPcLzsqlw4uyBAoJ61L1ChCgpz4wVP8tHfHW1g_c"",""BD M Sangrias!a:i""),""select Col6 where Col7 = 'Depositada' and Col9 = '""&amp;K57&amp;""' and Col6 = """&amp;"&amp;M57&amp;"" and Col4 = date '""&amp;YEAR(C57)&amp;""-""&amp;MONTH(C57)&amp;""-""&amp;DAY(C57)&amp;""'""))&gt;0,""Depositada"",if(sum(QUERY(IMPORTRANGE(""https://docs.google.com/spreadsheets/d/1EcLIvUgMoBC5as4ikW0wuQsGH5yVZ6cQ1y16qEfgPnk"",""BD M Sangrias!a:i""),""select Col6 where Col7"&amp;" = 'Caixa Atendimento' and Col9 = '""&amp;K57&amp;""' and Col6 = ""&amp;M57&amp;"" and Col4 = date '""&amp;YEAR(C57)&amp;""-""&amp;MONTH(C57)&amp;""-""&amp;DAY(C57)&amp;""'""))&gt;0,""Caixa Atendimento"",""Caixa Sangria"")),""""),""Caixa Sangria"")"),"")</f>
        <v/>
      </c>
      <c r="M57" s="185">
        <f>IFERROR(__xludf.DUMMYFUNCTION("ifna(VALUE(REGEXEXTRACT(E57,""[0-9.]+[,]+[0-9]+"")))"),1000.0)</f>
        <v>1000</v>
      </c>
      <c r="N57" s="88"/>
      <c r="O57" s="89"/>
      <c r="P57" s="89"/>
      <c r="Q57" s="89"/>
      <c r="R57" s="91"/>
      <c r="S57" s="89"/>
      <c r="T57" s="89"/>
      <c r="U57" s="89"/>
      <c r="V57" s="90"/>
    </row>
    <row r="58" ht="14.25" customHeight="1">
      <c r="A58" s="178"/>
      <c r="B58" s="12">
        <v>1555521.0</v>
      </c>
      <c r="C58" s="13">
        <v>45842.78717592593</v>
      </c>
      <c r="D58" s="179" t="s">
        <v>152</v>
      </c>
      <c r="E58" s="180" t="s">
        <v>5201</v>
      </c>
      <c r="F58" s="188"/>
      <c r="G58" s="179" t="s">
        <v>267</v>
      </c>
      <c r="H58" s="190"/>
      <c r="I58" s="190"/>
      <c r="J58" s="187" t="s">
        <v>2669</v>
      </c>
      <c r="K58" s="187"/>
      <c r="L58" s="184" t="str">
        <f>IFERROR(__xludf.DUMMYFUNCTION("ifna(IF(and(D58=""Saída"",J58=""Sangria""),if(sum(QUERY(IMPORTRANGE(""https://docs.google.com/spreadsheets/d/1E4szPcLzsqlw4uyBAoJ61L1ChCgpz4wVP8tHfHW1g_c"",""BD M Sangrias!a:i""),""select Col6 where Col7 = 'Depositada' and Col9 = '""&amp;K58&amp;""' and Col6 = """&amp;"&amp;M58&amp;"" and Col4 = date '""&amp;YEAR(C58)&amp;""-""&amp;MONTH(C58)&amp;""-""&amp;DAY(C58)&amp;""'""))&gt;0,""Depositada"",if(sum(QUERY(IMPORTRANGE(""https://docs.google.com/spreadsheets/d/1EcLIvUgMoBC5as4ikW0wuQsGH5yVZ6cQ1y16qEfgPnk"",""BD M Sangrias!a:i""),""select Col6 where Col7"&amp;" = 'Caixa Atendimento' and Col9 = '""&amp;K58&amp;""' and Col6 = ""&amp;M58&amp;"" and Col4 = date '""&amp;YEAR(C58)&amp;""-""&amp;MONTH(C58)&amp;""-""&amp;DAY(C58)&amp;""'""))&gt;0,""Caixa Atendimento"",""Caixa Sangria"")),""""),""Caixa Sangria"")"),"")</f>
        <v/>
      </c>
      <c r="M58" s="185">
        <f>IFERROR(__xludf.DUMMYFUNCTION("ifna(VALUE(REGEXEXTRACT(E58,""[0-9.]+[,]+[0-9]+"")))"),14.7)</f>
        <v>14.7</v>
      </c>
      <c r="N58" s="88"/>
      <c r="O58" s="89"/>
      <c r="P58" s="89"/>
      <c r="Q58" s="89"/>
      <c r="R58" s="91"/>
      <c r="S58" s="89"/>
      <c r="T58" s="89"/>
      <c r="U58" s="89"/>
      <c r="V58" s="90"/>
    </row>
    <row r="59" ht="14.25" customHeight="1">
      <c r="A59" s="178"/>
      <c r="B59" s="12">
        <v>1556342.0</v>
      </c>
      <c r="C59" s="13">
        <v>45843.57643518518</v>
      </c>
      <c r="D59" s="179" t="s">
        <v>152</v>
      </c>
      <c r="E59" s="180" t="s">
        <v>5212</v>
      </c>
      <c r="F59" s="181"/>
      <c r="G59" s="179" t="s">
        <v>5213</v>
      </c>
      <c r="H59" s="190"/>
      <c r="I59" s="190"/>
      <c r="J59" s="187"/>
      <c r="K59" s="187"/>
      <c r="L59" s="184" t="str">
        <f>IFERROR(__xludf.DUMMYFUNCTION("ifna(IF(and(D59=""Saída"",J59=""Sangria""),if(sum(QUERY(IMPORTRANGE(""https://docs.google.com/spreadsheets/d/1E4szPcLzsqlw4uyBAoJ61L1ChCgpz4wVP8tHfHW1g_c"",""BD M Sangrias!a:i""),""select Col6 where Col7 = 'Depositada' and Col9 = '""&amp;K59&amp;""' and Col6 = """&amp;"&amp;M59&amp;"" and Col4 = date '""&amp;YEAR(C59)&amp;""-""&amp;MONTH(C59)&amp;""-""&amp;DAY(C59)&amp;""'""))&gt;0,""Depositada"",if(sum(QUERY(IMPORTRANGE(""https://docs.google.com/spreadsheets/d/1EcLIvUgMoBC5as4ikW0wuQsGH5yVZ6cQ1y16qEfgPnk"",""BD M Sangrias!a:i""),""select Col6 where Col7"&amp;" = 'Caixa Atendimento' and Col9 = '""&amp;K59&amp;""' and Col6 = ""&amp;M59&amp;"" and Col4 = date '""&amp;YEAR(C59)&amp;""-""&amp;MONTH(C59)&amp;""-""&amp;DAY(C59)&amp;""'""))&gt;0,""Caixa Atendimento"",""Caixa Sangria"")),""""),""Caixa Sangria"")"),"")</f>
        <v/>
      </c>
      <c r="M59" s="185">
        <f>IFERROR(__xludf.DUMMYFUNCTION("ifna(VALUE(REGEXEXTRACT(E59,""[0-9.]+[,]+[0-9]+"")))"),66.0)</f>
        <v>66</v>
      </c>
      <c r="N59" s="88"/>
      <c r="O59" s="89"/>
      <c r="P59" s="89"/>
      <c r="Q59" s="89"/>
      <c r="R59" s="91"/>
      <c r="S59" s="89"/>
      <c r="T59" s="89"/>
      <c r="U59" s="89"/>
      <c r="V59" s="90"/>
    </row>
    <row r="60" ht="14.25" customHeight="1">
      <c r="A60" s="178"/>
      <c r="B60" s="12">
        <v>1556489.0</v>
      </c>
      <c r="C60" s="13">
        <v>45843.62834490741</v>
      </c>
      <c r="D60" s="179" t="s">
        <v>81</v>
      </c>
      <c r="E60" s="180" t="s">
        <v>517</v>
      </c>
      <c r="F60" s="181"/>
      <c r="G60" s="179" t="s">
        <v>158</v>
      </c>
      <c r="H60" s="190"/>
      <c r="I60" s="190"/>
      <c r="J60" s="187" t="s">
        <v>2669</v>
      </c>
      <c r="K60" s="187"/>
      <c r="L60" s="184" t="str">
        <f>IFERROR(__xludf.DUMMYFUNCTION("ifna(IF(and(D60=""Saída"",J60=""Sangria""),if(sum(QUERY(IMPORTRANGE(""https://docs.google.com/spreadsheets/d/1E4szPcLzsqlw4uyBAoJ61L1ChCgpz4wVP8tHfHW1g_c"",""BD M Sangrias!a:i""),""select Col6 where Col7 = 'Depositada' and Col9 = '""&amp;K60&amp;""' and Col6 = """&amp;"&amp;M60&amp;"" and Col4 = date '""&amp;YEAR(C60)&amp;""-""&amp;MONTH(C60)&amp;""-""&amp;DAY(C60)&amp;""'""))&gt;0,""Depositada"",if(sum(QUERY(IMPORTRANGE(""https://docs.google.com/spreadsheets/d/1EcLIvUgMoBC5as4ikW0wuQsGH5yVZ6cQ1y16qEfgPnk"",""BD M Sangrias!a:i""),""select Col6 where Col7"&amp;" = 'Caixa Atendimento' and Col9 = '""&amp;K60&amp;""' and Col6 = ""&amp;M60&amp;"" and Col4 = date '""&amp;YEAR(C60)&amp;""-""&amp;MONTH(C60)&amp;""-""&amp;DAY(C60)&amp;""'""))&gt;0,""Caixa Atendimento"",""Caixa Sangria"")),""""),""Caixa Sangria"")"),"")</f>
        <v/>
      </c>
      <c r="M60" s="185">
        <f>IFERROR(__xludf.DUMMYFUNCTION("ifna(VALUE(REGEXEXTRACT(E60,""[0-9.]+[,]+[0-9]+"")))"),40.0)</f>
        <v>40</v>
      </c>
      <c r="N60" s="194"/>
      <c r="O60" s="195"/>
      <c r="P60" s="196"/>
      <c r="Q60" s="197"/>
      <c r="R60" s="91"/>
      <c r="S60" s="89"/>
      <c r="T60" s="89"/>
      <c r="U60" s="89"/>
      <c r="V60" s="90"/>
    </row>
    <row r="61" ht="14.25" customHeight="1">
      <c r="A61" s="178"/>
      <c r="B61" s="12">
        <v>1556790.0</v>
      </c>
      <c r="C61" s="13">
        <v>45843.711388888885</v>
      </c>
      <c r="D61" s="179" t="s">
        <v>81</v>
      </c>
      <c r="E61" s="180" t="s">
        <v>5233</v>
      </c>
      <c r="F61" s="181"/>
      <c r="G61" s="179" t="s">
        <v>5184</v>
      </c>
      <c r="H61" s="190"/>
      <c r="I61" s="190"/>
      <c r="J61" s="187" t="s">
        <v>3151</v>
      </c>
      <c r="K61" s="187"/>
      <c r="L61" s="184" t="str">
        <f>IFERROR(__xludf.DUMMYFUNCTION("ifna(IF(and(D61=""Saída"",J61=""Sangria""),if(sum(QUERY(IMPORTRANGE(""https://docs.google.com/spreadsheets/d/1E4szPcLzsqlw4uyBAoJ61L1ChCgpz4wVP8tHfHW1g_c"",""BD M Sangrias!a:i""),""select Col6 where Col7 = 'Depositada' and Col9 = '""&amp;K61&amp;""' and Col6 = """&amp;"&amp;M61&amp;"" and Col4 = date '""&amp;YEAR(C61)&amp;""-""&amp;MONTH(C61)&amp;""-""&amp;DAY(C61)&amp;""'""))&gt;0,""Depositada"",if(sum(QUERY(IMPORTRANGE(""https://docs.google.com/spreadsheets/d/1EcLIvUgMoBC5as4ikW0wuQsGH5yVZ6cQ1y16qEfgPnk"",""BD M Sangrias!a:i""),""select Col6 where Col7"&amp;" = 'Caixa Atendimento' and Col9 = '""&amp;K61&amp;""' and Col6 = ""&amp;M61&amp;"" and Col4 = date '""&amp;YEAR(C61)&amp;""-""&amp;MONTH(C61)&amp;""-""&amp;DAY(C61)&amp;""'""))&gt;0,""Caixa Atendimento"",""Caixa Sangria"")),""""),""Caixa Sangria"")"),"")</f>
        <v/>
      </c>
      <c r="M61" s="185">
        <f>IFERROR(__xludf.DUMMYFUNCTION("ifna(VALUE(REGEXEXTRACT(E61,""[0-9.]+[,]+[0-9]+"")))"),42.01)</f>
        <v>42.01</v>
      </c>
      <c r="N61" s="88"/>
      <c r="O61" s="89"/>
      <c r="P61" s="89"/>
      <c r="Q61" s="89"/>
      <c r="R61" s="91"/>
      <c r="S61" s="89"/>
      <c r="T61" s="89"/>
      <c r="U61" s="89"/>
      <c r="V61" s="90"/>
    </row>
    <row r="62" ht="14.25" customHeight="1">
      <c r="A62" s="178"/>
      <c r="B62" s="12">
        <v>1557023.0</v>
      </c>
      <c r="C62" s="13">
        <v>45843.76940972222</v>
      </c>
      <c r="D62" s="179" t="s">
        <v>81</v>
      </c>
      <c r="E62" s="180" t="s">
        <v>5240</v>
      </c>
      <c r="F62" s="181"/>
      <c r="G62" s="179" t="s">
        <v>5243</v>
      </c>
      <c r="H62" s="190"/>
      <c r="I62" s="190"/>
      <c r="J62" s="187"/>
      <c r="K62" s="187"/>
      <c r="L62" s="184" t="str">
        <f>IFERROR(__xludf.DUMMYFUNCTION("ifna(IF(and(D62=""Saída"",J62=""Sangria""),if(sum(QUERY(IMPORTRANGE(""https://docs.google.com/spreadsheets/d/1E4szPcLzsqlw4uyBAoJ61L1ChCgpz4wVP8tHfHW1g_c"",""BD M Sangrias!a:i""),""select Col6 where Col7 = 'Depositada' and Col9 = '""&amp;K62&amp;""' and Col6 = """&amp;"&amp;M62&amp;"" and Col4 = date '""&amp;YEAR(C62)&amp;""-""&amp;MONTH(C62)&amp;""-""&amp;DAY(C62)&amp;""'""))&gt;0,""Depositada"",if(sum(QUERY(IMPORTRANGE(""https://docs.google.com/spreadsheets/d/1EcLIvUgMoBC5as4ikW0wuQsGH5yVZ6cQ1y16qEfgPnk"",""BD M Sangrias!a:i""),""select Col6 where Col7"&amp;" = 'Caixa Atendimento' and Col9 = '""&amp;K62&amp;""' and Col6 = ""&amp;M62&amp;"" and Col4 = date '""&amp;YEAR(C62)&amp;""-""&amp;MONTH(C62)&amp;""-""&amp;DAY(C62)&amp;""'""))&gt;0,""Caixa Atendimento"",""Caixa Sangria"")),""""),""Caixa Sangria"")"),"")</f>
        <v/>
      </c>
      <c r="M62" s="185">
        <f>IFERROR(__xludf.DUMMYFUNCTION("ifna(VALUE(REGEXEXTRACT(E62,""[0-9.]+[,]+[0-9]+"")))"),1682.87)</f>
        <v>1682.87</v>
      </c>
      <c r="N62" s="88"/>
      <c r="O62" s="89"/>
      <c r="P62" s="89"/>
      <c r="Q62" s="89"/>
      <c r="R62" s="91"/>
      <c r="S62" s="89"/>
      <c r="T62" s="89"/>
      <c r="U62" s="89"/>
      <c r="V62" s="90"/>
    </row>
    <row r="63" ht="14.25" customHeight="1">
      <c r="A63" s="178"/>
      <c r="B63" s="12">
        <v>1557567.0</v>
      </c>
      <c r="C63" s="13">
        <v>45843.91244212963</v>
      </c>
      <c r="D63" s="179" t="s">
        <v>152</v>
      </c>
      <c r="E63" s="180" t="s">
        <v>1113</v>
      </c>
      <c r="F63" s="181"/>
      <c r="G63" s="179" t="s">
        <v>5251</v>
      </c>
      <c r="H63" s="190"/>
      <c r="I63" s="190"/>
      <c r="J63" s="187"/>
      <c r="K63" s="187"/>
      <c r="L63" s="184" t="str">
        <f>IFERROR(__xludf.DUMMYFUNCTION("ifna(IF(and(D63=""Saída"",J63=""Sangria""),if(sum(QUERY(IMPORTRANGE(""https://docs.google.com/spreadsheets/d/1E4szPcLzsqlw4uyBAoJ61L1ChCgpz4wVP8tHfHW1g_c"",""BD M Sangrias!a:i""),""select Col6 where Col7 = 'Depositada' and Col9 = '""&amp;K63&amp;""' and Col6 = """&amp;"&amp;M63&amp;"" and Col4 = date '""&amp;YEAR(C63)&amp;""-""&amp;MONTH(C63)&amp;""-""&amp;DAY(C63)&amp;""'""))&gt;0,""Depositada"",if(sum(QUERY(IMPORTRANGE(""https://docs.google.com/spreadsheets/d/1EcLIvUgMoBC5as4ikW0wuQsGH5yVZ6cQ1y16qEfgPnk"",""BD M Sangrias!a:i""),""select Col6 where Col7"&amp;" = 'Caixa Atendimento' and Col9 = '""&amp;K63&amp;""' and Col6 = ""&amp;M63&amp;"" and Col4 = date '""&amp;YEAR(C63)&amp;""-""&amp;MONTH(C63)&amp;""-""&amp;DAY(C63)&amp;""'""))&gt;0,""Caixa Atendimento"",""Caixa Sangria"")),""""),""Caixa Sangria"")"),"")</f>
        <v/>
      </c>
      <c r="M63" s="185">
        <f>IFERROR(__xludf.DUMMYFUNCTION("ifna(VALUE(REGEXEXTRACT(E63,""[0-9.]+[,]+[0-9]+"")))"),90.0)</f>
        <v>90</v>
      </c>
      <c r="N63" s="108"/>
      <c r="O63" s="109"/>
      <c r="P63" s="109"/>
      <c r="Q63" s="109"/>
      <c r="R63" s="110"/>
      <c r="S63" s="109"/>
      <c r="T63" s="109"/>
      <c r="U63" s="109"/>
      <c r="V63" s="111"/>
    </row>
    <row r="64" ht="14.25" customHeight="1">
      <c r="A64" s="178"/>
      <c r="B64" s="12">
        <v>1557635.0</v>
      </c>
      <c r="C64" s="13">
        <v>45843.92244212963</v>
      </c>
      <c r="D64" s="179" t="s">
        <v>81</v>
      </c>
      <c r="E64" s="180" t="s">
        <v>3486</v>
      </c>
      <c r="F64" s="181"/>
      <c r="G64" s="179" t="s">
        <v>3587</v>
      </c>
      <c r="H64" s="190"/>
      <c r="I64" s="190"/>
      <c r="J64" s="187" t="s">
        <v>2735</v>
      </c>
      <c r="K64" s="187" t="s">
        <v>2018</v>
      </c>
      <c r="L64" s="184" t="str">
        <f>IFERROR(__xludf.DUMMYFUNCTION("ifna(IF(and(D64=""Saída"",J64=""Sangria""),if(sum(QUERY(IMPORTRANGE(""https://docs.google.com/spreadsheets/d/1E4szPcLzsqlw4uyBAoJ61L1ChCgpz4wVP8tHfHW1g_c"",""BD M Sangrias!a:i""),""select Col6 where Col7 = 'Depositada' and Col9 = '""&amp;K64&amp;""' and Col6 = """&amp;"&amp;M64&amp;"" and Col4 = date '""&amp;YEAR(C64)&amp;""-""&amp;MONTH(C64)&amp;""-""&amp;DAY(C64)&amp;""'""))&gt;0,""Depositada"",if(sum(QUERY(IMPORTRANGE(""https://docs.google.com/spreadsheets/d/1EcLIvUgMoBC5as4ikW0wuQsGH5yVZ6cQ1y16qEfgPnk"",""BD M Sangrias!a:i""),""select Col6 where Col7"&amp;" = 'Caixa Atendimento' and Col9 = '""&amp;K64&amp;""' and Col6 = ""&amp;M64&amp;"" and Col4 = date '""&amp;YEAR(C64)&amp;""-""&amp;MONTH(C64)&amp;""-""&amp;DAY(C64)&amp;""'""))&gt;0,""Caixa Atendimento"",""Caixa Sangria"")),""""),""Caixa Sangria"")"),"#REF!")</f>
        <v>#REF!</v>
      </c>
      <c r="M64" s="185">
        <f>IFERROR(__xludf.DUMMYFUNCTION("ifna(VALUE(REGEXEXTRACT(E64,""[0-9.]+[,]+[0-9]+"")))"),500.0)</f>
        <v>500</v>
      </c>
      <c r="R64" s="25"/>
    </row>
    <row r="65" ht="14.25" customHeight="1">
      <c r="A65" s="178"/>
      <c r="B65" s="12">
        <v>1558135.0</v>
      </c>
      <c r="C65" s="13">
        <v>45844.56763888889</v>
      </c>
      <c r="D65" s="179" t="s">
        <v>152</v>
      </c>
      <c r="E65" s="180" t="s">
        <v>5270</v>
      </c>
      <c r="F65" s="188"/>
      <c r="G65" s="179" t="s">
        <v>158</v>
      </c>
      <c r="H65" s="190"/>
      <c r="I65" s="190"/>
      <c r="J65" s="187" t="s">
        <v>2669</v>
      </c>
      <c r="K65" s="187"/>
      <c r="L65" s="184" t="str">
        <f>IFERROR(__xludf.DUMMYFUNCTION("ifna(IF(and(D65=""Saída"",J65=""Sangria""),if(sum(QUERY(IMPORTRANGE(""https://docs.google.com/spreadsheets/d/1E4szPcLzsqlw4uyBAoJ61L1ChCgpz4wVP8tHfHW1g_c"",""BD M Sangrias!a:i""),""select Col6 where Col7 = 'Depositada' and Col9 = '""&amp;K65&amp;""' and Col6 = """&amp;"&amp;M65&amp;"" and Col4 = date '""&amp;YEAR(C65)&amp;""-""&amp;MONTH(C65)&amp;""-""&amp;DAY(C65)&amp;""'""))&gt;0,""Depositada"",if(sum(QUERY(IMPORTRANGE(""https://docs.google.com/spreadsheets/d/1EcLIvUgMoBC5as4ikW0wuQsGH5yVZ6cQ1y16qEfgPnk"",""BD M Sangrias!a:i""),""select Col6 where Col7"&amp;" = 'Caixa Atendimento' and Col9 = '""&amp;K65&amp;""' and Col6 = ""&amp;M65&amp;"" and Col4 = date '""&amp;YEAR(C65)&amp;""-""&amp;MONTH(C65)&amp;""-""&amp;DAY(C65)&amp;""'""))&gt;0,""Caixa Atendimento"",""Caixa Sangria"")),""""),""Caixa Sangria"")"),"")</f>
        <v/>
      </c>
      <c r="M65" s="185">
        <f>IFERROR(__xludf.DUMMYFUNCTION("ifna(VALUE(REGEXEXTRACT(E65,""[0-9.]+[,]+[0-9]+"")))"),37.0)</f>
        <v>37</v>
      </c>
      <c r="R65" s="25"/>
    </row>
    <row r="66" ht="14.25" customHeight="1">
      <c r="A66" s="178"/>
      <c r="B66" s="12">
        <v>1560680.0</v>
      </c>
      <c r="C66" s="13">
        <v>45845.66616898148</v>
      </c>
      <c r="D66" s="179" t="s">
        <v>152</v>
      </c>
      <c r="E66" s="180" t="s">
        <v>335</v>
      </c>
      <c r="F66" s="181"/>
      <c r="G66" s="179" t="s">
        <v>388</v>
      </c>
      <c r="H66" s="190"/>
      <c r="I66" s="190"/>
      <c r="J66" s="187" t="s">
        <v>2669</v>
      </c>
      <c r="K66" s="187"/>
      <c r="L66" s="184" t="str">
        <f>IFERROR(__xludf.DUMMYFUNCTION("ifna(IF(and(D66=""Saída"",J66=""Sangria""),if(sum(QUERY(IMPORTRANGE(""https://docs.google.com/spreadsheets/d/1E4szPcLzsqlw4uyBAoJ61L1ChCgpz4wVP8tHfHW1g_c"",""BD M Sangrias!a:i""),""select Col6 where Col7 = 'Depositada' and Col9 = '""&amp;K66&amp;""' and Col6 = """&amp;"&amp;M66&amp;"" and Col4 = date '""&amp;YEAR(C66)&amp;""-""&amp;MONTH(C66)&amp;""-""&amp;DAY(C66)&amp;""'""))&gt;0,""Depositada"",if(sum(QUERY(IMPORTRANGE(""https://docs.google.com/spreadsheets/d/1EcLIvUgMoBC5as4ikW0wuQsGH5yVZ6cQ1y16qEfgPnk"",""BD M Sangrias!a:i""),""select Col6 where Col7"&amp;" = 'Caixa Atendimento' and Col9 = '""&amp;K66&amp;""' and Col6 = ""&amp;M66&amp;"" and Col4 = date '""&amp;YEAR(C66)&amp;""-""&amp;MONTH(C66)&amp;""-""&amp;DAY(C66)&amp;""'""))&gt;0,""Caixa Atendimento"",""Caixa Sangria"")),""""),""Caixa Sangria"")"),"")</f>
        <v/>
      </c>
      <c r="M66" s="185">
        <f>IFERROR(__xludf.DUMMYFUNCTION("ifna(VALUE(REGEXEXTRACT(E66,""[0-9.]+[,]+[0-9]+"")))"),10.0)</f>
        <v>10</v>
      </c>
      <c r="R66" s="25"/>
    </row>
    <row r="67" ht="14.25" customHeight="1">
      <c r="A67" s="178"/>
      <c r="B67" s="12">
        <v>1560682.0</v>
      </c>
      <c r="C67" s="13">
        <v>45845.6665625</v>
      </c>
      <c r="D67" s="179" t="s">
        <v>152</v>
      </c>
      <c r="E67" s="180" t="s">
        <v>5289</v>
      </c>
      <c r="F67" s="181"/>
      <c r="G67" s="179" t="s">
        <v>5290</v>
      </c>
      <c r="H67" s="190"/>
      <c r="I67" s="190"/>
      <c r="J67" s="187"/>
      <c r="K67" s="187"/>
      <c r="L67" s="184" t="str">
        <f>IFERROR(__xludf.DUMMYFUNCTION("ifna(IF(and(D67=""Saída"",J67=""Sangria""),if(sum(QUERY(IMPORTRANGE(""https://docs.google.com/spreadsheets/d/1E4szPcLzsqlw4uyBAoJ61L1ChCgpz4wVP8tHfHW1g_c"",""BD M Sangrias!a:i""),""select Col6 where Col7 = 'Depositada' and Col9 = '""&amp;K67&amp;""' and Col6 = """&amp;"&amp;M67&amp;"" and Col4 = date '""&amp;YEAR(C67)&amp;""-""&amp;MONTH(C67)&amp;""-""&amp;DAY(C67)&amp;""'""))&gt;0,""Depositada"",if(sum(QUERY(IMPORTRANGE(""https://docs.google.com/spreadsheets/d/1EcLIvUgMoBC5as4ikW0wuQsGH5yVZ6cQ1y16qEfgPnk"",""BD M Sangrias!a:i""),""select Col6 where Col7"&amp;" = 'Caixa Atendimento' and Col9 = '""&amp;K67&amp;""' and Col6 = ""&amp;M67&amp;"" and Col4 = date '""&amp;YEAR(C67)&amp;""-""&amp;MONTH(C67)&amp;""-""&amp;DAY(C67)&amp;""'""))&gt;0,""Caixa Atendimento"",""Caixa Sangria"")),""""),""Caixa Sangria"")"),"")</f>
        <v/>
      </c>
      <c r="M67" s="185">
        <f>IFERROR(__xludf.DUMMYFUNCTION("ifna(VALUE(REGEXEXTRACT(E67,""[0-9.]+[,]+[0-9]+"")))"),0.01)</f>
        <v>0.01</v>
      </c>
      <c r="R67" s="25"/>
    </row>
    <row r="68">
      <c r="A68" s="178"/>
      <c r="B68" s="12">
        <v>1560833.0</v>
      </c>
      <c r="C68" s="13">
        <v>45845.71210648148</v>
      </c>
      <c r="D68" s="179" t="s">
        <v>81</v>
      </c>
      <c r="E68" s="180" t="s">
        <v>5300</v>
      </c>
      <c r="F68" s="181"/>
      <c r="G68" s="179" t="s">
        <v>5302</v>
      </c>
      <c r="H68" s="190"/>
      <c r="I68" s="190"/>
      <c r="J68" s="187" t="s">
        <v>1782</v>
      </c>
      <c r="K68" s="187"/>
      <c r="L68" s="184" t="str">
        <f>IFERROR(__xludf.DUMMYFUNCTION("ifna(IF(and(D68=""Saída"",J68=""Sangria""),if(sum(QUERY(IMPORTRANGE(""https://docs.google.com/spreadsheets/d/1E4szPcLzsqlw4uyBAoJ61L1ChCgpz4wVP8tHfHW1g_c"",""BD M Sangrias!a:i""),""select Col6 where Col7 = 'Depositada' and Col9 = '""&amp;K68&amp;""' and Col6 = """&amp;"&amp;M68&amp;"" and Col4 = date '""&amp;YEAR(C68)&amp;""-""&amp;MONTH(C68)&amp;""-""&amp;DAY(C68)&amp;""'""))&gt;0,""Depositada"",if(sum(QUERY(IMPORTRANGE(""https://docs.google.com/spreadsheets/d/1EcLIvUgMoBC5as4ikW0wuQsGH5yVZ6cQ1y16qEfgPnk"",""BD M Sangrias!a:i""),""select Col6 where Col7"&amp;" = 'Caixa Atendimento' and Col9 = '""&amp;K68&amp;""' and Col6 = ""&amp;M68&amp;"" and Col4 = date '""&amp;YEAR(C68)&amp;""-""&amp;MONTH(C68)&amp;""-""&amp;DAY(C68)&amp;""'""))&gt;0,""Caixa Atendimento"",""Caixa Sangria"")),""""),""Caixa Sangria"")"),"")</f>
        <v/>
      </c>
      <c r="M68" s="185">
        <f>IFERROR(__xludf.DUMMYFUNCTION("ifna(VALUE(REGEXEXTRACT(E68,""[0-9.]+[,]+[0-9]+"")))"),52.0)</f>
        <v>52</v>
      </c>
      <c r="N68" s="193" t="str">
        <f>B10</f>
        <v/>
      </c>
      <c r="O68" s="106"/>
      <c r="P68" s="106"/>
      <c r="Q68" s="106"/>
      <c r="R68" s="122"/>
      <c r="S68" s="123" t="str">
        <f>B11</f>
        <v/>
      </c>
      <c r="T68" s="106"/>
      <c r="U68" s="106"/>
      <c r="V68" s="124"/>
    </row>
    <row r="69" ht="14.25" customHeight="1">
      <c r="A69" s="178"/>
      <c r="B69" s="12">
        <v>1561332.0</v>
      </c>
      <c r="C69" s="13">
        <v>45845.88408564815</v>
      </c>
      <c r="D69" s="179" t="s">
        <v>81</v>
      </c>
      <c r="E69" s="180" t="s">
        <v>5316</v>
      </c>
      <c r="F69" s="181"/>
      <c r="G69" s="179" t="s">
        <v>4041</v>
      </c>
      <c r="H69" s="190"/>
      <c r="I69" s="190"/>
      <c r="J69" s="187" t="s">
        <v>3151</v>
      </c>
      <c r="K69" s="187"/>
      <c r="L69" s="184" t="str">
        <f>IFERROR(__xludf.DUMMYFUNCTION("ifna(IF(and(D69=""Saída"",J69=""Sangria""),if(sum(QUERY(IMPORTRANGE(""https://docs.google.com/spreadsheets/d/1E4szPcLzsqlw4uyBAoJ61L1ChCgpz4wVP8tHfHW1g_c"",""BD M Sangrias!a:i""),""select Col6 where Col7 = 'Depositada' and Col9 = '""&amp;K69&amp;""' and Col6 = """&amp;"&amp;M69&amp;"" and Col4 = date '""&amp;YEAR(C69)&amp;""-""&amp;MONTH(C69)&amp;""-""&amp;DAY(C69)&amp;""'""))&gt;0,""Depositada"",if(sum(QUERY(IMPORTRANGE(""https://docs.google.com/spreadsheets/d/1EcLIvUgMoBC5as4ikW0wuQsGH5yVZ6cQ1y16qEfgPnk"",""BD M Sangrias!a:i""),""select Col6 where Col7"&amp;" = 'Caixa Atendimento' and Col9 = '""&amp;K69&amp;""' and Col6 = ""&amp;M69&amp;"" and Col4 = date '""&amp;YEAR(C69)&amp;""-""&amp;MONTH(C69)&amp;""-""&amp;DAY(C69)&amp;""'""))&gt;0,""Caixa Atendimento"",""Caixa Sangria"")),""""),""Caixa Sangria"")"),"")</f>
        <v/>
      </c>
      <c r="M69" s="185">
        <f>IFERROR(__xludf.DUMMYFUNCTION("ifna(VALUE(REGEXEXTRACT(E69,""[0-9.]+[,]+[0-9]+"")))"),51.04)</f>
        <v>51.04</v>
      </c>
      <c r="N69" s="46" t="str">
        <f>IFERROR(__xludf.DUMMYFUNCTION("query(C28:L504,""select Col1,Col3,Col8,Col9 where (Col8 = 'Adiantamento' or Col8 = 'Consumo') and Col9 = '""&amp;B10&amp;""'"",1)"),"Data")</f>
        <v>Data</v>
      </c>
      <c r="O69" s="47" t="str">
        <f>IFERROR(__xludf.DUMMYFUNCTION("""COMPUTED_VALUE"""),"Valor ")</f>
        <v>Valor </v>
      </c>
      <c r="P69" s="47" t="str">
        <f>IFERROR(__xludf.DUMMYFUNCTION("""COMPUTED_VALUE"""),"Tipo")</f>
        <v>Tipo</v>
      </c>
      <c r="Q69" s="47" t="str">
        <f>IFERROR(__xludf.DUMMYFUNCTION("""COMPUTED_VALUE"""),"Funcionário")</f>
        <v>Funcionário</v>
      </c>
      <c r="R69" s="49"/>
      <c r="S69" s="50" t="str">
        <f>IFERROR(__xludf.DUMMYFUNCTION("query(C28:L504,""select Col1,Col3,Col8,Col9 where (Col8 = 'Adiantamento' or Col8 = 'Consumo') and Col9 = '""&amp;B11&amp;""'"",1)"),"Data")</f>
        <v>Data</v>
      </c>
      <c r="T69" s="50" t="str">
        <f>IFERROR(__xludf.DUMMYFUNCTION("""COMPUTED_VALUE"""),"Valor ")</f>
        <v>Valor </v>
      </c>
      <c r="U69" s="50" t="str">
        <f>IFERROR(__xludf.DUMMYFUNCTION("""COMPUTED_VALUE"""),"Tipo")</f>
        <v>Tipo</v>
      </c>
      <c r="V69" s="51" t="str">
        <f>IFERROR(__xludf.DUMMYFUNCTION("""COMPUTED_VALUE"""),"Funcionário")</f>
        <v>Funcionário</v>
      </c>
    </row>
    <row r="70" ht="14.25" customHeight="1">
      <c r="A70" s="178"/>
      <c r="B70" s="12">
        <v>1561360.0</v>
      </c>
      <c r="C70" s="13">
        <v>45845.893530092595</v>
      </c>
      <c r="D70" s="179" t="s">
        <v>81</v>
      </c>
      <c r="E70" s="180" t="s">
        <v>3905</v>
      </c>
      <c r="F70" s="181"/>
      <c r="G70" s="179" t="s">
        <v>5335</v>
      </c>
      <c r="H70" s="190"/>
      <c r="I70" s="190"/>
      <c r="J70" s="187" t="s">
        <v>2735</v>
      </c>
      <c r="K70" s="187" t="s">
        <v>2018</v>
      </c>
      <c r="L70" s="184" t="str">
        <f>IFERROR(__xludf.DUMMYFUNCTION("ifna(IF(and(D70=""Saída"",J70=""Sangria""),if(sum(QUERY(IMPORTRANGE(""https://docs.google.com/spreadsheets/d/1E4szPcLzsqlw4uyBAoJ61L1ChCgpz4wVP8tHfHW1g_c"",""BD M Sangrias!a:i""),""select Col6 where Col7 = 'Depositada' and Col9 = '""&amp;K70&amp;""' and Col6 = """&amp;"&amp;M70&amp;"" and Col4 = date '""&amp;YEAR(C70)&amp;""-""&amp;MONTH(C70)&amp;""-""&amp;DAY(C70)&amp;""'""))&gt;0,""Depositada"",if(sum(QUERY(IMPORTRANGE(""https://docs.google.com/spreadsheets/d/1EcLIvUgMoBC5as4ikW0wuQsGH5yVZ6cQ1y16qEfgPnk"",""BD M Sangrias!a:i""),""select Col6 where Col7"&amp;" = 'Caixa Atendimento' and Col9 = '""&amp;K70&amp;""' and Col6 = ""&amp;M70&amp;"" and Col4 = date '""&amp;YEAR(C70)&amp;""-""&amp;MONTH(C70)&amp;""-""&amp;DAY(C70)&amp;""'""))&gt;0,""Caixa Atendimento"",""Caixa Sangria"")),""""),""Caixa Sangria"")"),"#REF!")</f>
        <v>#REF!</v>
      </c>
      <c r="M70" s="185">
        <f>IFERROR(__xludf.DUMMYFUNCTION("ifna(VALUE(REGEXEXTRACT(E70,""[0-9.]+[,]+[0-9]+"")))"),1050.0)</f>
        <v>1050</v>
      </c>
      <c r="N70" s="52"/>
      <c r="O70" s="53"/>
      <c r="P70" s="53"/>
      <c r="Q70" s="53"/>
      <c r="R70" s="55"/>
      <c r="S70" s="53"/>
      <c r="T70" s="53"/>
      <c r="U70" s="53"/>
      <c r="V70" s="54"/>
    </row>
    <row r="71" ht="14.25" customHeight="1">
      <c r="A71" s="178"/>
      <c r="B71" s="12">
        <v>1561838.0</v>
      </c>
      <c r="C71" s="13">
        <v>45846.534849537034</v>
      </c>
      <c r="D71" s="179" t="s">
        <v>81</v>
      </c>
      <c r="E71" s="180" t="s">
        <v>335</v>
      </c>
      <c r="F71" s="181"/>
      <c r="G71" s="179" t="s">
        <v>5346</v>
      </c>
      <c r="H71" s="190"/>
      <c r="I71" s="190"/>
      <c r="J71" s="187" t="s">
        <v>3151</v>
      </c>
      <c r="K71" s="187"/>
      <c r="L71" s="184" t="str">
        <f>IFERROR(__xludf.DUMMYFUNCTION("ifna(IF(and(D71=""Saída"",J71=""Sangria""),if(sum(QUERY(IMPORTRANGE(""https://docs.google.com/spreadsheets/d/1E4szPcLzsqlw4uyBAoJ61L1ChCgpz4wVP8tHfHW1g_c"",""BD M Sangrias!a:i""),""select Col6 where Col7 = 'Depositada' and Col9 = '""&amp;K71&amp;""' and Col6 = """&amp;"&amp;M71&amp;"" and Col4 = date '""&amp;YEAR(C71)&amp;""-""&amp;MONTH(C71)&amp;""-""&amp;DAY(C71)&amp;""'""))&gt;0,""Depositada"",if(sum(QUERY(IMPORTRANGE(""https://docs.google.com/spreadsheets/d/1EcLIvUgMoBC5as4ikW0wuQsGH5yVZ6cQ1y16qEfgPnk"",""BD M Sangrias!a:i""),""select Col6 where Col7"&amp;" = 'Caixa Atendimento' and Col9 = '""&amp;K71&amp;""' and Col6 = ""&amp;M71&amp;"" and Col4 = date '""&amp;YEAR(C71)&amp;""-""&amp;MONTH(C71)&amp;""-""&amp;DAY(C71)&amp;""'""))&gt;0,""Caixa Atendimento"",""Caixa Sangria"")),""""),""Caixa Sangria"")"),"")</f>
        <v/>
      </c>
      <c r="M71" s="185">
        <f>IFERROR(__xludf.DUMMYFUNCTION("ifna(VALUE(REGEXEXTRACT(E71,""[0-9.]+[,]+[0-9]+"")))"),10.0)</f>
        <v>10</v>
      </c>
      <c r="N71" s="52"/>
      <c r="O71" s="53"/>
      <c r="P71" s="53"/>
      <c r="Q71" s="53"/>
      <c r="R71" s="55"/>
      <c r="S71" s="53"/>
      <c r="T71" s="53"/>
      <c r="U71" s="53"/>
      <c r="V71" s="54"/>
    </row>
    <row r="72" ht="14.25" customHeight="1">
      <c r="A72" s="178"/>
      <c r="B72" s="12">
        <v>1562040.0</v>
      </c>
      <c r="C72" s="13">
        <v>45846.630162037036</v>
      </c>
      <c r="D72" s="179" t="s">
        <v>81</v>
      </c>
      <c r="E72" s="180" t="s">
        <v>855</v>
      </c>
      <c r="F72" s="181"/>
      <c r="G72" s="179" t="s">
        <v>5356</v>
      </c>
      <c r="H72" s="190"/>
      <c r="I72" s="190"/>
      <c r="J72" s="187" t="s">
        <v>3375</v>
      </c>
      <c r="K72" s="187"/>
      <c r="L72" s="184" t="str">
        <f>IFERROR(__xludf.DUMMYFUNCTION("ifna(IF(and(D72=""Saída"",J72=""Sangria""),if(sum(QUERY(IMPORTRANGE(""https://docs.google.com/spreadsheets/d/1E4szPcLzsqlw4uyBAoJ61L1ChCgpz4wVP8tHfHW1g_c"",""BD M Sangrias!a:i""),""select Col6 where Col7 = 'Depositada' and Col9 = '""&amp;K72&amp;""' and Col6 = """&amp;"&amp;M72&amp;"" and Col4 = date '""&amp;YEAR(C72)&amp;""-""&amp;MONTH(C72)&amp;""-""&amp;DAY(C72)&amp;""'""))&gt;0,""Depositada"",if(sum(QUERY(IMPORTRANGE(""https://docs.google.com/spreadsheets/d/1EcLIvUgMoBC5as4ikW0wuQsGH5yVZ6cQ1y16qEfgPnk"",""BD M Sangrias!a:i""),""select Col6 where Col7"&amp;" = 'Caixa Atendimento' and Col9 = '""&amp;K72&amp;""' and Col6 = ""&amp;M72&amp;"" and Col4 = date '""&amp;YEAR(C72)&amp;""-""&amp;MONTH(C72)&amp;""-""&amp;DAY(C72)&amp;""'""))&gt;0,""Caixa Atendimento"",""Caixa Sangria"")),""""),""Caixa Sangria"")"),"")</f>
        <v/>
      </c>
      <c r="M72" s="185">
        <f>IFERROR(__xludf.DUMMYFUNCTION("ifna(VALUE(REGEXEXTRACT(E72,""[0-9.]+[,]+[0-9]+"")))"),8.0)</f>
        <v>8</v>
      </c>
      <c r="N72" s="52"/>
      <c r="O72" s="53"/>
      <c r="P72" s="53"/>
      <c r="Q72" s="53"/>
      <c r="R72" s="55"/>
      <c r="S72" s="53"/>
      <c r="T72" s="53"/>
      <c r="U72" s="53"/>
      <c r="V72" s="54"/>
    </row>
    <row r="73" ht="14.25" customHeight="1">
      <c r="A73" s="178"/>
      <c r="B73" s="12">
        <v>1562066.0</v>
      </c>
      <c r="C73" s="13">
        <v>45846.63796296297</v>
      </c>
      <c r="D73" s="179" t="s">
        <v>152</v>
      </c>
      <c r="E73" s="180" t="s">
        <v>5368</v>
      </c>
      <c r="F73" s="181"/>
      <c r="G73" s="179" t="s">
        <v>158</v>
      </c>
      <c r="H73" s="190"/>
      <c r="I73" s="190"/>
      <c r="J73" s="187" t="s">
        <v>2669</v>
      </c>
      <c r="K73" s="187"/>
      <c r="L73" s="184" t="str">
        <f>IFERROR(__xludf.DUMMYFUNCTION("ifna(IF(and(D73=""Saída"",J73=""Sangria""),if(sum(QUERY(IMPORTRANGE(""https://docs.google.com/spreadsheets/d/1E4szPcLzsqlw4uyBAoJ61L1ChCgpz4wVP8tHfHW1g_c"",""BD M Sangrias!a:i""),""select Col6 where Col7 = 'Depositada' and Col9 = '""&amp;K73&amp;""' and Col6 = """&amp;"&amp;M73&amp;"" and Col4 = date '""&amp;YEAR(C73)&amp;""-""&amp;MONTH(C73)&amp;""-""&amp;DAY(C73)&amp;""'""))&gt;0,""Depositada"",if(sum(QUERY(IMPORTRANGE(""https://docs.google.com/spreadsheets/d/1EcLIvUgMoBC5as4ikW0wuQsGH5yVZ6cQ1y16qEfgPnk"",""BD M Sangrias!a:i""),""select Col6 where Col7"&amp;" = 'Caixa Atendimento' and Col9 = '""&amp;K73&amp;""' and Col6 = ""&amp;M73&amp;"" and Col4 = date '""&amp;YEAR(C73)&amp;""-""&amp;MONTH(C73)&amp;""-""&amp;DAY(C73)&amp;""'""))&gt;0,""Caixa Atendimento"",""Caixa Sangria"")),""""),""Caixa Sangria"")"),"")</f>
        <v/>
      </c>
      <c r="M73" s="185">
        <f>IFERROR(__xludf.DUMMYFUNCTION("ifna(VALUE(REGEXEXTRACT(E73,""[0-9.]+[,]+[0-9]+"")))"),23.0)</f>
        <v>23</v>
      </c>
      <c r="N73" s="52"/>
      <c r="O73" s="53"/>
      <c r="P73" s="53"/>
      <c r="Q73" s="53"/>
      <c r="R73" s="55"/>
      <c r="S73" s="53"/>
      <c r="T73" s="53"/>
      <c r="U73" s="53"/>
      <c r="V73" s="54"/>
    </row>
    <row r="74" ht="14.25" customHeight="1">
      <c r="A74" s="178"/>
      <c r="B74" s="12">
        <v>1563012.0</v>
      </c>
      <c r="C74" s="13">
        <v>45846.928125</v>
      </c>
      <c r="D74" s="179" t="s">
        <v>81</v>
      </c>
      <c r="E74" s="180" t="s">
        <v>1212</v>
      </c>
      <c r="F74" s="188"/>
      <c r="G74" s="179" t="s">
        <v>128</v>
      </c>
      <c r="H74" s="190"/>
      <c r="I74" s="190"/>
      <c r="J74" s="187" t="s">
        <v>2735</v>
      </c>
      <c r="K74" s="187" t="s">
        <v>1894</v>
      </c>
      <c r="L74" s="184" t="str">
        <f>IFERROR(__xludf.DUMMYFUNCTION("ifna(IF(and(D74=""Saída"",J74=""Sangria""),if(sum(QUERY(IMPORTRANGE(""https://docs.google.com/spreadsheets/d/1E4szPcLzsqlw4uyBAoJ61L1ChCgpz4wVP8tHfHW1g_c"",""BD M Sangrias!a:i""),""select Col6 where Col7 = 'Depositada' and Col9 = '""&amp;K74&amp;""' and Col6 = """&amp;"&amp;M74&amp;"" and Col4 = date '""&amp;YEAR(C74)&amp;""-""&amp;MONTH(C74)&amp;""-""&amp;DAY(C74)&amp;""'""))&gt;0,""Depositada"",if(sum(QUERY(IMPORTRANGE(""https://docs.google.com/spreadsheets/d/1EcLIvUgMoBC5as4ikW0wuQsGH5yVZ6cQ1y16qEfgPnk"",""BD M Sangrias!a:i""),""select Col6 where Col7"&amp;" = 'Caixa Atendimento' and Col9 = '""&amp;K74&amp;""' and Col6 = ""&amp;M74&amp;"" and Col4 = date '""&amp;YEAR(C74)&amp;""-""&amp;MONTH(C74)&amp;""-""&amp;DAY(C74)&amp;""'""))&gt;0,""Caixa Atendimento"",""Caixa Sangria"")),""""),""Caixa Sangria"")"),"#REF!")</f>
        <v>#REF!</v>
      </c>
      <c r="M74" s="185">
        <f>IFERROR(__xludf.DUMMYFUNCTION("ifna(VALUE(REGEXEXTRACT(E74,""[0-9.]+[,]+[0-9]+"")))"),1300.0)</f>
        <v>1300</v>
      </c>
      <c r="N74" s="52"/>
      <c r="O74" s="53"/>
      <c r="P74" s="53"/>
      <c r="Q74" s="53"/>
      <c r="R74" s="55"/>
      <c r="S74" s="53"/>
      <c r="T74" s="53"/>
      <c r="U74" s="53"/>
      <c r="V74" s="54"/>
    </row>
    <row r="75" ht="14.25" customHeight="1">
      <c r="A75" s="178"/>
      <c r="B75" s="12">
        <v>1563424.0</v>
      </c>
      <c r="C75" s="13">
        <v>45847.612916666665</v>
      </c>
      <c r="D75" s="179" t="s">
        <v>152</v>
      </c>
      <c r="E75" s="180" t="s">
        <v>5393</v>
      </c>
      <c r="F75" s="181"/>
      <c r="G75" s="179" t="s">
        <v>158</v>
      </c>
      <c r="H75" s="190"/>
      <c r="I75" s="190"/>
      <c r="J75" s="187" t="s">
        <v>2669</v>
      </c>
      <c r="K75" s="187"/>
      <c r="L75" s="184" t="str">
        <f>IFERROR(__xludf.DUMMYFUNCTION("ifna(IF(and(D75=""Saída"",J75=""Sangria""),if(sum(QUERY(IMPORTRANGE(""https://docs.google.com/spreadsheets/d/1E4szPcLzsqlw4uyBAoJ61L1ChCgpz4wVP8tHfHW1g_c"",""BD M Sangrias!a:i""),""select Col6 where Col7 = 'Depositada' and Col9 = '""&amp;K75&amp;""' and Col6 = """&amp;"&amp;M75&amp;"" and Col4 = date '""&amp;YEAR(C75)&amp;""-""&amp;MONTH(C75)&amp;""-""&amp;DAY(C75)&amp;""'""))&gt;0,""Depositada"",if(sum(QUERY(IMPORTRANGE(""https://docs.google.com/spreadsheets/d/1EcLIvUgMoBC5as4ikW0wuQsGH5yVZ6cQ1y16qEfgPnk"",""BD M Sangrias!a:i""),""select Col6 where Col7"&amp;" = 'Caixa Atendimento' and Col9 = '""&amp;K75&amp;""' and Col6 = ""&amp;M75&amp;"" and Col4 = date '""&amp;YEAR(C75)&amp;""-""&amp;MONTH(C75)&amp;""-""&amp;DAY(C75)&amp;""'""))&gt;0,""Caixa Atendimento"",""Caixa Sangria"")),""""),""Caixa Sangria"")"),"")</f>
        <v/>
      </c>
      <c r="M75" s="185">
        <f>IFERROR(__xludf.DUMMYFUNCTION("ifna(VALUE(REGEXEXTRACT(E75,""[0-9.]+[,]+[0-9]+"")))"),36.5)</f>
        <v>36.5</v>
      </c>
      <c r="N75" s="52"/>
      <c r="O75" s="79"/>
      <c r="P75" s="79"/>
      <c r="Q75" s="79"/>
      <c r="R75" s="81"/>
      <c r="S75" s="79"/>
      <c r="T75" s="79"/>
      <c r="U75" s="79"/>
      <c r="V75" s="80"/>
    </row>
    <row r="76" ht="14.25" customHeight="1">
      <c r="A76" s="178"/>
      <c r="B76" s="12">
        <v>1563754.0</v>
      </c>
      <c r="C76" s="13">
        <v>45847.72416666667</v>
      </c>
      <c r="D76" s="179" t="s">
        <v>81</v>
      </c>
      <c r="E76" s="180" t="s">
        <v>5408</v>
      </c>
      <c r="F76" s="181"/>
      <c r="G76" s="179" t="s">
        <v>5409</v>
      </c>
      <c r="H76" s="190"/>
      <c r="I76" s="190"/>
      <c r="J76" s="187" t="s">
        <v>3151</v>
      </c>
      <c r="K76" s="187"/>
      <c r="L76" s="184" t="str">
        <f>IFERROR(__xludf.DUMMYFUNCTION("ifna(IF(and(D76=""Saída"",J76=""Sangria""),if(sum(QUERY(IMPORTRANGE(""https://docs.google.com/spreadsheets/d/1E4szPcLzsqlw4uyBAoJ61L1ChCgpz4wVP8tHfHW1g_c"",""BD M Sangrias!a:i""),""select Col6 where Col7 = 'Depositada' and Col9 = '""&amp;K76&amp;""' and Col6 = """&amp;"&amp;M76&amp;"" and Col4 = date '""&amp;YEAR(C76)&amp;""-""&amp;MONTH(C76)&amp;""-""&amp;DAY(C76)&amp;""'""))&gt;0,""Depositada"",if(sum(QUERY(IMPORTRANGE(""https://docs.google.com/spreadsheets/d/1EcLIvUgMoBC5as4ikW0wuQsGH5yVZ6cQ1y16qEfgPnk"",""BD M Sangrias!a:i""),""select Col6 where Col7"&amp;" = 'Caixa Atendimento' and Col9 = '""&amp;K76&amp;""' and Col6 = ""&amp;M76&amp;"" and Col4 = date '""&amp;YEAR(C76)&amp;""-""&amp;MONTH(C76)&amp;""-""&amp;DAY(C76)&amp;""'""))&gt;0,""Caixa Atendimento"",""Caixa Sangria"")),""""),""Caixa Sangria"")"),"")</f>
        <v/>
      </c>
      <c r="M76" s="185">
        <f>IFERROR(__xludf.DUMMYFUNCTION("ifna(VALUE(REGEXEXTRACT(E76,""[0-9.]+[,]+[0-9]+"")))"),144.12)</f>
        <v>144.12</v>
      </c>
      <c r="N76" s="88"/>
      <c r="O76" s="89"/>
      <c r="P76" s="89"/>
      <c r="Q76" s="89"/>
      <c r="R76" s="91"/>
      <c r="S76" s="89"/>
      <c r="T76" s="89"/>
      <c r="U76" s="89"/>
      <c r="V76" s="90"/>
    </row>
    <row r="77" ht="14.25" customHeight="1">
      <c r="A77" s="178"/>
      <c r="B77" s="12">
        <v>1563813.0</v>
      </c>
      <c r="C77" s="13">
        <v>45847.73768518519</v>
      </c>
      <c r="D77" s="179" t="s">
        <v>81</v>
      </c>
      <c r="E77" s="180" t="s">
        <v>5418</v>
      </c>
      <c r="F77" s="181"/>
      <c r="G77" s="179" t="s">
        <v>5421</v>
      </c>
      <c r="H77" s="190"/>
      <c r="I77" s="190"/>
      <c r="J77" s="187" t="s">
        <v>1782</v>
      </c>
      <c r="K77" s="187"/>
      <c r="L77" s="184" t="str">
        <f>IFERROR(__xludf.DUMMYFUNCTION("ifna(IF(and(D77=""Saída"",J77=""Sangria""),if(sum(QUERY(IMPORTRANGE(""https://docs.google.com/spreadsheets/d/1E4szPcLzsqlw4uyBAoJ61L1ChCgpz4wVP8tHfHW1g_c"",""BD M Sangrias!a:i""),""select Col6 where Col7 = 'Depositada' and Col9 = '""&amp;K77&amp;""' and Col6 = """&amp;"&amp;M77&amp;"" and Col4 = date '""&amp;YEAR(C77)&amp;""-""&amp;MONTH(C77)&amp;""-""&amp;DAY(C77)&amp;""'""))&gt;0,""Depositada"",if(sum(QUERY(IMPORTRANGE(""https://docs.google.com/spreadsheets/d/1EcLIvUgMoBC5as4ikW0wuQsGH5yVZ6cQ1y16qEfgPnk"",""BD M Sangrias!a:i""),""select Col6 where Col7"&amp;" = 'Caixa Atendimento' and Col9 = '""&amp;K77&amp;""' and Col6 = ""&amp;M77&amp;"" and Col4 = date '""&amp;YEAR(C77)&amp;""-""&amp;MONTH(C77)&amp;""-""&amp;DAY(C77)&amp;""'""))&gt;0,""Caixa Atendimento"",""Caixa Sangria"")),""""),""Caixa Sangria"")"),"")</f>
        <v/>
      </c>
      <c r="M77" s="185">
        <f>IFERROR(__xludf.DUMMYFUNCTION("ifna(VALUE(REGEXEXTRACT(E77,""[0-9.]+[,]+[0-9]+"")))"),91.0)</f>
        <v>91</v>
      </c>
      <c r="N77" s="194"/>
      <c r="O77" s="195"/>
      <c r="P77" s="196"/>
      <c r="Q77" s="197"/>
      <c r="R77" s="91"/>
      <c r="S77" s="89"/>
      <c r="T77" s="89"/>
      <c r="U77" s="89"/>
      <c r="V77" s="90"/>
    </row>
    <row r="78" ht="14.25" customHeight="1">
      <c r="A78" s="178"/>
      <c r="B78" s="12">
        <v>1563848.0</v>
      </c>
      <c r="C78" s="13">
        <v>45847.747662037036</v>
      </c>
      <c r="D78" s="179" t="s">
        <v>81</v>
      </c>
      <c r="E78" s="180" t="s">
        <v>5427</v>
      </c>
      <c r="F78" s="181"/>
      <c r="G78" s="179" t="s">
        <v>193</v>
      </c>
      <c r="H78" s="190"/>
      <c r="I78" s="190"/>
      <c r="J78" s="199" t="s">
        <v>3151</v>
      </c>
      <c r="K78" s="187"/>
      <c r="L78" s="184" t="str">
        <f>IFERROR(__xludf.DUMMYFUNCTION("ifna(IF(and(D78=""Saída"",J78=""Sangria""),if(sum(QUERY(IMPORTRANGE(""https://docs.google.com/spreadsheets/d/1E4szPcLzsqlw4uyBAoJ61L1ChCgpz4wVP8tHfHW1g_c"",""BD M Sangrias!a:i""),""select Col6 where Col7 = 'Depositada' and Col9 = '""&amp;K78&amp;""' and Col6 = """&amp;"&amp;M78&amp;"" and Col4 = date '""&amp;YEAR(C78)&amp;""-""&amp;MONTH(C78)&amp;""-""&amp;DAY(C78)&amp;""'""))&gt;0,""Depositada"",if(sum(QUERY(IMPORTRANGE(""https://docs.google.com/spreadsheets/d/1EcLIvUgMoBC5as4ikW0wuQsGH5yVZ6cQ1y16qEfgPnk"",""BD M Sangrias!a:i""),""select Col6 where Col7"&amp;" = 'Caixa Atendimento' and Col9 = '""&amp;K78&amp;""' and Col6 = ""&amp;M78&amp;"" and Col4 = date '""&amp;YEAR(C78)&amp;""-""&amp;MONTH(C78)&amp;""-""&amp;DAY(C78)&amp;""'""))&gt;0,""Caixa Atendimento"",""Caixa Sangria"")),""""),""Caixa Sangria"")"),"")</f>
        <v/>
      </c>
      <c r="M78" s="185">
        <f>IFERROR(__xludf.DUMMYFUNCTION("ifna(VALUE(REGEXEXTRACT(E78,""[0-9.]+[,]+[0-9]+"")))"),26.98)</f>
        <v>26.98</v>
      </c>
      <c r="N78" s="194"/>
      <c r="O78" s="195"/>
      <c r="P78" s="196"/>
      <c r="Q78" s="197"/>
      <c r="R78" s="91"/>
      <c r="S78" s="89"/>
      <c r="T78" s="89"/>
      <c r="U78" s="89"/>
      <c r="V78" s="90"/>
    </row>
    <row r="79" ht="14.25" customHeight="1">
      <c r="A79" s="178"/>
      <c r="B79" s="12">
        <v>1563930.0</v>
      </c>
      <c r="C79" s="13">
        <v>45847.77028935185</v>
      </c>
      <c r="D79" s="179" t="s">
        <v>81</v>
      </c>
      <c r="E79" s="180" t="s">
        <v>5437</v>
      </c>
      <c r="F79" s="181"/>
      <c r="G79" s="179" t="s">
        <v>3587</v>
      </c>
      <c r="H79" s="190"/>
      <c r="I79" s="190"/>
      <c r="J79" s="187" t="s">
        <v>2735</v>
      </c>
      <c r="K79" s="187" t="s">
        <v>2018</v>
      </c>
      <c r="L79" s="184" t="str">
        <f>IFERROR(__xludf.DUMMYFUNCTION("ifna(IF(and(D79=""Saída"",J79=""Sangria""),if(sum(QUERY(IMPORTRANGE(""https://docs.google.com/spreadsheets/d/1E4szPcLzsqlw4uyBAoJ61L1ChCgpz4wVP8tHfHW1g_c"",""BD M Sangrias!a:i""),""select Col6 where Col7 = 'Depositada' and Col9 = '""&amp;K79&amp;""' and Col6 = """&amp;"&amp;M79&amp;"" and Col4 = date '""&amp;YEAR(C79)&amp;""-""&amp;MONTH(C79)&amp;""-""&amp;DAY(C79)&amp;""'""))&gt;0,""Depositada"",if(sum(QUERY(IMPORTRANGE(""https://docs.google.com/spreadsheets/d/1EcLIvUgMoBC5as4ikW0wuQsGH5yVZ6cQ1y16qEfgPnk"",""BD M Sangrias!a:i""),""select Col6 where Col7"&amp;" = 'Caixa Atendimento' and Col9 = '""&amp;K79&amp;""' and Col6 = ""&amp;M79&amp;"" and Col4 = date '""&amp;YEAR(C79)&amp;""-""&amp;MONTH(C79)&amp;""-""&amp;DAY(C79)&amp;""'""))&gt;0,""Caixa Atendimento"",""Caixa Sangria"")),""""),""Caixa Sangria"")"),"#REF!")</f>
        <v>#REF!</v>
      </c>
      <c r="M79" s="185">
        <f>IFERROR(__xludf.DUMMYFUNCTION("ifna(VALUE(REGEXEXTRACT(E79,""[0-9.]+[,]+[0-9]+"")))"),600.0)</f>
        <v>600</v>
      </c>
      <c r="N79" s="194"/>
      <c r="O79" s="195"/>
      <c r="P79" s="196"/>
      <c r="Q79" s="197"/>
      <c r="R79" s="91"/>
      <c r="S79" s="89"/>
      <c r="T79" s="89"/>
      <c r="U79" s="89"/>
      <c r="V79" s="90"/>
    </row>
    <row r="80" ht="14.25" customHeight="1">
      <c r="A80" s="178"/>
      <c r="B80" s="12">
        <v>1564494.0</v>
      </c>
      <c r="C80" s="13">
        <v>45847.94359953704</v>
      </c>
      <c r="D80" s="179" t="s">
        <v>81</v>
      </c>
      <c r="E80" s="180" t="s">
        <v>200</v>
      </c>
      <c r="F80" s="188"/>
      <c r="G80" s="179" t="s">
        <v>128</v>
      </c>
      <c r="H80" s="190"/>
      <c r="I80" s="190"/>
      <c r="J80" s="187" t="s">
        <v>2735</v>
      </c>
      <c r="K80" s="187" t="s">
        <v>1894</v>
      </c>
      <c r="L80" s="184" t="str">
        <f>IFERROR(__xludf.DUMMYFUNCTION("ifna(IF(and(D80=""Saída"",J80=""Sangria""),if(sum(QUERY(IMPORTRANGE(""https://docs.google.com/spreadsheets/d/1E4szPcLzsqlw4uyBAoJ61L1ChCgpz4wVP8tHfHW1g_c"",""BD M Sangrias!a:i""),""select Col6 where Col7 = 'Depositada' and Col9 = '""&amp;K80&amp;""' and Col6 = """&amp;"&amp;M80&amp;"" and Col4 = date '""&amp;YEAR(C80)&amp;""-""&amp;MONTH(C80)&amp;""-""&amp;DAY(C80)&amp;""'""))&gt;0,""Depositada"",if(sum(QUERY(IMPORTRANGE(""https://docs.google.com/spreadsheets/d/1EcLIvUgMoBC5as4ikW0wuQsGH5yVZ6cQ1y16qEfgPnk"",""BD M Sangrias!a:i""),""select Col6 where Col7"&amp;" = 'Caixa Atendimento' and Col9 = '""&amp;K80&amp;""' and Col6 = ""&amp;M80&amp;"" and Col4 = date '""&amp;YEAR(C80)&amp;""-""&amp;MONTH(C80)&amp;""-""&amp;DAY(C80)&amp;""'""))&gt;0,""Caixa Atendimento"",""Caixa Sangria"")),""""),""Caixa Sangria"")"),"#REF!")</f>
        <v>#REF!</v>
      </c>
      <c r="M80" s="185">
        <f>IFERROR(__xludf.DUMMYFUNCTION("ifna(VALUE(REGEXEXTRACT(E80,""[0-9.]+[,]+[0-9]+"")))"),300.0)</f>
        <v>300</v>
      </c>
      <c r="N80" s="194"/>
      <c r="O80" s="195"/>
      <c r="P80" s="196"/>
      <c r="Q80" s="197"/>
      <c r="R80" s="91"/>
      <c r="S80" s="89"/>
      <c r="T80" s="89"/>
      <c r="U80" s="89"/>
      <c r="V80" s="90"/>
    </row>
    <row r="81" ht="14.25" customHeight="1">
      <c r="A81" s="178"/>
      <c r="B81" s="12">
        <v>1565059.0</v>
      </c>
      <c r="C81" s="13">
        <v>45848.690300925926</v>
      </c>
      <c r="D81" s="179" t="s">
        <v>81</v>
      </c>
      <c r="E81" s="180" t="s">
        <v>146</v>
      </c>
      <c r="F81" s="181"/>
      <c r="G81" s="179" t="s">
        <v>3587</v>
      </c>
      <c r="H81" s="190"/>
      <c r="I81" s="190"/>
      <c r="J81" s="187" t="s">
        <v>2735</v>
      </c>
      <c r="K81" s="187" t="s">
        <v>2018</v>
      </c>
      <c r="L81" s="184" t="str">
        <f>IFERROR(__xludf.DUMMYFUNCTION("ifna(IF(and(D81=""Saída"",J81=""Sangria""),if(sum(QUERY(IMPORTRANGE(""https://docs.google.com/spreadsheets/d/1E4szPcLzsqlw4uyBAoJ61L1ChCgpz4wVP8tHfHW1g_c"",""BD M Sangrias!a:i""),""select Col6 where Col7 = 'Depositada' and Col9 = '""&amp;K81&amp;""' and Col6 = """&amp;"&amp;M81&amp;"" and Col4 = date '""&amp;YEAR(C81)&amp;""-""&amp;MONTH(C81)&amp;""-""&amp;DAY(C81)&amp;""'""))&gt;0,""Depositada"",if(sum(QUERY(IMPORTRANGE(""https://docs.google.com/spreadsheets/d/1EcLIvUgMoBC5as4ikW0wuQsGH5yVZ6cQ1y16qEfgPnk"",""BD M Sangrias!a:i""),""select Col6 where Col7"&amp;" = 'Caixa Atendimento' and Col9 = '""&amp;K81&amp;""' and Col6 = ""&amp;M81&amp;"" and Col4 = date '""&amp;YEAR(C81)&amp;""-""&amp;MONTH(C81)&amp;""-""&amp;DAY(C81)&amp;""'""))&gt;0,""Caixa Atendimento"",""Caixa Sangria"")),""""),""Caixa Sangria"")"),"#REF!")</f>
        <v>#REF!</v>
      </c>
      <c r="M81" s="185">
        <f>IFERROR(__xludf.DUMMYFUNCTION("ifna(VALUE(REGEXEXTRACT(E81,""[0-9.]+[,]+[0-9]+"")))"),400.0)</f>
        <v>400</v>
      </c>
      <c r="N81" s="88"/>
      <c r="O81" s="89"/>
      <c r="P81" s="89"/>
      <c r="Q81" s="89"/>
      <c r="R81" s="91"/>
      <c r="S81" s="89"/>
      <c r="T81" s="89"/>
      <c r="U81" s="89"/>
      <c r="V81" s="90"/>
    </row>
    <row r="82" ht="14.25" customHeight="1">
      <c r="A82" s="178"/>
      <c r="B82" s="12">
        <v>1565065.0</v>
      </c>
      <c r="C82" s="13">
        <v>45848.693032407406</v>
      </c>
      <c r="D82" s="179" t="s">
        <v>81</v>
      </c>
      <c r="E82" s="180" t="s">
        <v>3042</v>
      </c>
      <c r="F82" s="181"/>
      <c r="G82" s="179" t="s">
        <v>5468</v>
      </c>
      <c r="H82" s="190"/>
      <c r="I82" s="190"/>
      <c r="J82" s="187" t="s">
        <v>3375</v>
      </c>
      <c r="K82" s="187"/>
      <c r="L82" s="184" t="str">
        <f>IFERROR(__xludf.DUMMYFUNCTION("ifna(IF(and(D82=""Saída"",J82=""Sangria""),if(sum(QUERY(IMPORTRANGE(""https://docs.google.com/spreadsheets/d/1E4szPcLzsqlw4uyBAoJ61L1ChCgpz4wVP8tHfHW1g_c"",""BD M Sangrias!a:i""),""select Col6 where Col7 = 'Depositada' and Col9 = '""&amp;K82&amp;""' and Col6 = """&amp;"&amp;M82&amp;"" and Col4 = date '""&amp;YEAR(C82)&amp;""-""&amp;MONTH(C82)&amp;""-""&amp;DAY(C82)&amp;""'""))&gt;0,""Depositada"",if(sum(QUERY(IMPORTRANGE(""https://docs.google.com/spreadsheets/d/1EcLIvUgMoBC5as4ikW0wuQsGH5yVZ6cQ1y16qEfgPnk"",""BD M Sangrias!a:i""),""select Col6 where Col7"&amp;" = 'Caixa Atendimento' and Col9 = '""&amp;K82&amp;""' and Col6 = ""&amp;M82&amp;"" and Col4 = date '""&amp;YEAR(C82)&amp;""-""&amp;MONTH(C82)&amp;""-""&amp;DAY(C82)&amp;""'""))&gt;0,""Caixa Atendimento"",""Caixa Sangria"")),""""),""Caixa Sangria"")"),"")</f>
        <v/>
      </c>
      <c r="M82" s="185">
        <f>IFERROR(__xludf.DUMMYFUNCTION("ifna(VALUE(REGEXEXTRACT(E82,""[0-9.]+[,]+[0-9]+"")))"),16.0)</f>
        <v>16</v>
      </c>
      <c r="N82" s="88"/>
      <c r="O82" s="89"/>
      <c r="P82" s="89"/>
      <c r="Q82" s="89"/>
      <c r="R82" s="91"/>
      <c r="S82" s="89"/>
      <c r="T82" s="89"/>
      <c r="U82" s="89"/>
      <c r="V82" s="90"/>
    </row>
    <row r="83" ht="14.25" customHeight="1">
      <c r="A83" s="178"/>
      <c r="B83" s="12">
        <v>1565806.0</v>
      </c>
      <c r="C83" s="13">
        <v>45848.93740740741</v>
      </c>
      <c r="D83" s="179" t="s">
        <v>81</v>
      </c>
      <c r="E83" s="180" t="s">
        <v>127</v>
      </c>
      <c r="F83" s="188"/>
      <c r="G83" s="179" t="s">
        <v>128</v>
      </c>
      <c r="H83" s="190"/>
      <c r="I83" s="190"/>
      <c r="J83" s="187" t="s">
        <v>2735</v>
      </c>
      <c r="K83" s="187" t="s">
        <v>1894</v>
      </c>
      <c r="L83" s="184" t="str">
        <f>IFERROR(__xludf.DUMMYFUNCTION("ifna(IF(and(D83=""Saída"",J83=""Sangria""),if(sum(QUERY(IMPORTRANGE(""https://docs.google.com/spreadsheets/d/1E4szPcLzsqlw4uyBAoJ61L1ChCgpz4wVP8tHfHW1g_c"",""BD M Sangrias!a:i""),""select Col6 where Col7 = 'Depositada' and Col9 = '""&amp;K83&amp;""' and Col6 = """&amp;"&amp;M83&amp;"" and Col4 = date '""&amp;YEAR(C83)&amp;""-""&amp;MONTH(C83)&amp;""-""&amp;DAY(C83)&amp;""'""))&gt;0,""Depositada"",if(sum(QUERY(IMPORTRANGE(""https://docs.google.com/spreadsheets/d/1EcLIvUgMoBC5as4ikW0wuQsGH5yVZ6cQ1y16qEfgPnk"",""BD M Sangrias!a:i""),""select Col6 where Col7"&amp;" = 'Caixa Atendimento' and Col9 = '""&amp;K83&amp;""' and Col6 = ""&amp;M83&amp;"" and Col4 = date '""&amp;YEAR(C83)&amp;""-""&amp;MONTH(C83)&amp;""-""&amp;DAY(C83)&amp;""'""))&gt;0,""Caixa Atendimento"",""Caixa Sangria"")),""""),""Caixa Sangria"")"),"#REF!")</f>
        <v>#REF!</v>
      </c>
      <c r="M83" s="185">
        <f>IFERROR(__xludf.DUMMYFUNCTION("ifna(VALUE(REGEXEXTRACT(E83,""[0-9.]+[,]+[0-9]+"")))"),250.0)</f>
        <v>250</v>
      </c>
      <c r="N83" s="108"/>
      <c r="O83" s="109"/>
      <c r="P83" s="109"/>
      <c r="Q83" s="109"/>
      <c r="R83" s="91"/>
      <c r="S83" s="109"/>
      <c r="T83" s="109"/>
      <c r="U83" s="109"/>
      <c r="V83" s="111"/>
    </row>
    <row r="84" ht="14.25" customHeight="1">
      <c r="A84" s="178"/>
      <c r="B84" s="12">
        <v>1566312.0</v>
      </c>
      <c r="C84" s="13">
        <v>45849.63940972222</v>
      </c>
      <c r="D84" s="179" t="s">
        <v>152</v>
      </c>
      <c r="E84" s="180" t="s">
        <v>1334</v>
      </c>
      <c r="F84" s="181"/>
      <c r="G84" s="179" t="s">
        <v>1126</v>
      </c>
      <c r="H84" s="190"/>
      <c r="I84" s="190"/>
      <c r="J84" s="187" t="s">
        <v>2669</v>
      </c>
      <c r="K84" s="187"/>
      <c r="L84" s="184" t="str">
        <f>IFERROR(__xludf.DUMMYFUNCTION("ifna(IF(and(D84=""Saída"",J84=""Sangria""),if(sum(QUERY(IMPORTRANGE(""https://docs.google.com/spreadsheets/d/1E4szPcLzsqlw4uyBAoJ61L1ChCgpz4wVP8tHfHW1g_c"",""BD M Sangrias!a:i""),""select Col6 where Col7 = 'Depositada' and Col9 = '""&amp;K84&amp;""' and Col6 = """&amp;"&amp;M84&amp;"" and Col4 = date '""&amp;YEAR(C84)&amp;""-""&amp;MONTH(C84)&amp;""-""&amp;DAY(C84)&amp;""'""))&gt;0,""Depositada"",if(sum(QUERY(IMPORTRANGE(""https://docs.google.com/spreadsheets/d/1EcLIvUgMoBC5as4ikW0wuQsGH5yVZ6cQ1y16qEfgPnk"",""BD M Sangrias!a:i""),""select Col6 where Col7"&amp;" = 'Caixa Atendimento' and Col9 = '""&amp;K84&amp;""' and Col6 = ""&amp;M84&amp;"" and Col4 = date '""&amp;YEAR(C84)&amp;""-""&amp;MONTH(C84)&amp;""-""&amp;DAY(C84)&amp;""'""))&gt;0,""Caixa Atendimento"",""Caixa Sangria"")),""""),""Caixa Sangria"")"),"")</f>
        <v/>
      </c>
      <c r="M84" s="185">
        <f>IFERROR(__xludf.DUMMYFUNCTION("ifna(VALUE(REGEXEXTRACT(E84,""[0-9.]+[,]+[0-9]+"")))"),48.0)</f>
        <v>48</v>
      </c>
      <c r="N84" s="201"/>
      <c r="O84" s="202"/>
      <c r="P84" s="202"/>
      <c r="Q84" s="202"/>
      <c r="R84" s="91"/>
      <c r="S84" s="202"/>
      <c r="T84" s="202"/>
      <c r="U84" s="202"/>
      <c r="V84" s="203"/>
    </row>
    <row r="85" ht="14.25" customHeight="1">
      <c r="A85" s="178"/>
      <c r="B85" s="12">
        <v>1566593.0</v>
      </c>
      <c r="C85" s="13">
        <v>45849.71673611111</v>
      </c>
      <c r="D85" s="179" t="s">
        <v>81</v>
      </c>
      <c r="E85" s="180" t="s">
        <v>184</v>
      </c>
      <c r="F85" s="181"/>
      <c r="G85" s="179" t="s">
        <v>3587</v>
      </c>
      <c r="H85" s="190"/>
      <c r="I85" s="190"/>
      <c r="J85" s="187" t="s">
        <v>2735</v>
      </c>
      <c r="K85" s="187" t="s">
        <v>2018</v>
      </c>
      <c r="L85" s="184" t="str">
        <f>IFERROR(__xludf.DUMMYFUNCTION("ifna(IF(and(D85=""Saída"",J85=""Sangria""),if(sum(QUERY(IMPORTRANGE(""https://docs.google.com/spreadsheets/d/1E4szPcLzsqlw4uyBAoJ61L1ChCgpz4wVP8tHfHW1g_c"",""BD M Sangrias!a:i""),""select Col6 where Col7 = 'Depositada' and Col9 = '""&amp;K85&amp;""' and Col6 = """&amp;"&amp;M85&amp;"" and Col4 = date '""&amp;YEAR(C85)&amp;""-""&amp;MONTH(C85)&amp;""-""&amp;DAY(C85)&amp;""'""))&gt;0,""Depositada"",if(sum(QUERY(IMPORTRANGE(""https://docs.google.com/spreadsheets/d/1EcLIvUgMoBC5as4ikW0wuQsGH5yVZ6cQ1y16qEfgPnk"",""BD M Sangrias!a:i""),""select Col6 where Col7"&amp;" = 'Caixa Atendimento' and Col9 = '""&amp;K85&amp;""' and Col6 = ""&amp;M85&amp;"" and Col4 = date '""&amp;YEAR(C85)&amp;""-""&amp;MONTH(C85)&amp;""-""&amp;DAY(C85)&amp;""'""))&gt;0,""Caixa Atendimento"",""Caixa Sangria"")),""""),""Caixa Sangria"")"),"#REF!")</f>
        <v>#REF!</v>
      </c>
      <c r="M85" s="185">
        <f>IFERROR(__xludf.DUMMYFUNCTION("ifna(VALUE(REGEXEXTRACT(E85,""[0-9.]+[,]+[0-9]+"")))"),450.0)</f>
        <v>450</v>
      </c>
      <c r="N85" s="201"/>
      <c r="O85" s="202"/>
      <c r="P85" s="202"/>
      <c r="Q85" s="202"/>
      <c r="R85" s="91"/>
      <c r="S85" s="202"/>
      <c r="T85" s="202"/>
      <c r="U85" s="202"/>
      <c r="V85" s="203"/>
    </row>
    <row r="86" ht="14.25" customHeight="1">
      <c r="A86" s="178"/>
      <c r="B86" s="12">
        <v>1566647.0</v>
      </c>
      <c r="C86" s="13">
        <v>45849.726643518516</v>
      </c>
      <c r="D86" s="179" t="s">
        <v>81</v>
      </c>
      <c r="E86" s="180" t="s">
        <v>5506</v>
      </c>
      <c r="F86" s="181"/>
      <c r="G86" s="179" t="s">
        <v>193</v>
      </c>
      <c r="H86" s="190"/>
      <c r="I86" s="190"/>
      <c r="J86" s="187" t="s">
        <v>3151</v>
      </c>
      <c r="K86" s="187"/>
      <c r="L86" s="184" t="str">
        <f>IFERROR(__xludf.DUMMYFUNCTION("ifna(IF(and(D86=""Saída"",J86=""Sangria""),if(sum(QUERY(IMPORTRANGE(""https://docs.google.com/spreadsheets/d/1E4szPcLzsqlw4uyBAoJ61L1ChCgpz4wVP8tHfHW1g_c"",""BD M Sangrias!a:i""),""select Col6 where Col7 = 'Depositada' and Col9 = '""&amp;K86&amp;""' and Col6 = """&amp;"&amp;M86&amp;"" and Col4 = date '""&amp;YEAR(C86)&amp;""-""&amp;MONTH(C86)&amp;""-""&amp;DAY(C86)&amp;""'""))&gt;0,""Depositada"",if(sum(QUERY(IMPORTRANGE(""https://docs.google.com/spreadsheets/d/1EcLIvUgMoBC5as4ikW0wuQsGH5yVZ6cQ1y16qEfgPnk"",""BD M Sangrias!a:i""),""select Col6 where Col7"&amp;" = 'Caixa Atendimento' and Col9 = '""&amp;K86&amp;""' and Col6 = ""&amp;M86&amp;"" and Col4 = date '""&amp;YEAR(C86)&amp;""-""&amp;MONTH(C86)&amp;""-""&amp;DAY(C86)&amp;""'""))&gt;0,""Caixa Atendimento"",""Caixa Sangria"")),""""),""Caixa Sangria"")"),"")</f>
        <v/>
      </c>
      <c r="M86" s="185">
        <f>IFERROR(__xludf.DUMMYFUNCTION("ifna(VALUE(REGEXEXTRACT(E86,""[0-9.]+[,]+[0-9]+"")))"),80.84)</f>
        <v>80.84</v>
      </c>
      <c r="N86" s="201"/>
      <c r="O86" s="202"/>
      <c r="P86" s="202"/>
      <c r="Q86" s="202"/>
      <c r="R86" s="91"/>
      <c r="S86" s="202"/>
      <c r="T86" s="202"/>
      <c r="U86" s="202"/>
      <c r="V86" s="203"/>
    </row>
    <row r="87" ht="14.25" customHeight="1">
      <c r="A87" s="178"/>
      <c r="B87" s="12">
        <v>1567309.0</v>
      </c>
      <c r="C87" s="13">
        <v>45849.930081018516</v>
      </c>
      <c r="D87" s="179" t="s">
        <v>81</v>
      </c>
      <c r="E87" s="180" t="s">
        <v>5515</v>
      </c>
      <c r="F87" s="181"/>
      <c r="G87" s="179" t="s">
        <v>5517</v>
      </c>
      <c r="H87" s="190"/>
      <c r="I87" s="190"/>
      <c r="J87" s="187" t="s">
        <v>1782</v>
      </c>
      <c r="K87" s="187"/>
      <c r="L87" s="184" t="str">
        <f>IFERROR(__xludf.DUMMYFUNCTION("ifna(IF(and(D87=""Saída"",J87=""Sangria""),if(sum(QUERY(IMPORTRANGE(""https://docs.google.com/spreadsheets/d/1E4szPcLzsqlw4uyBAoJ61L1ChCgpz4wVP8tHfHW1g_c"",""BD M Sangrias!a:i""),""select Col6 where Col7 = 'Depositada' and Col9 = '""&amp;K87&amp;""' and Col6 = """&amp;"&amp;M87&amp;"" and Col4 = date '""&amp;YEAR(C87)&amp;""-""&amp;MONTH(C87)&amp;""-""&amp;DAY(C87)&amp;""'""))&gt;0,""Depositada"",if(sum(QUERY(IMPORTRANGE(""https://docs.google.com/spreadsheets/d/1EcLIvUgMoBC5as4ikW0wuQsGH5yVZ6cQ1y16qEfgPnk"",""BD M Sangrias!a:i""),""select Col6 where Col7"&amp;" = 'Caixa Atendimento' and Col9 = '""&amp;K87&amp;""' and Col6 = ""&amp;M87&amp;"" and Col4 = date '""&amp;YEAR(C87)&amp;""-""&amp;MONTH(C87)&amp;""-""&amp;DAY(C87)&amp;""'""))&gt;0,""Caixa Atendimento"",""Caixa Sangria"")),""""),""Caixa Sangria"")"),"")</f>
        <v/>
      </c>
      <c r="M87" s="185">
        <f>IFERROR(__xludf.DUMMYFUNCTION("ifna(VALUE(REGEXEXTRACT(E87,""[0-9.]+[,]+[0-9]+"")))"),97.0)</f>
        <v>97</v>
      </c>
      <c r="N87" s="201"/>
      <c r="O87" s="202"/>
      <c r="P87" s="202"/>
      <c r="Q87" s="202"/>
      <c r="R87" s="91"/>
      <c r="S87" s="202"/>
      <c r="T87" s="202"/>
      <c r="U87" s="202"/>
      <c r="V87" s="203"/>
    </row>
    <row r="88" ht="14.25" customHeight="1">
      <c r="A88" s="178"/>
      <c r="B88" s="12">
        <v>1567330.0</v>
      </c>
      <c r="C88" s="13">
        <v>45849.93269675926</v>
      </c>
      <c r="D88" s="179" t="s">
        <v>81</v>
      </c>
      <c r="E88" s="180" t="s">
        <v>184</v>
      </c>
      <c r="F88" s="181"/>
      <c r="G88" s="179" t="s">
        <v>3104</v>
      </c>
      <c r="H88" s="190"/>
      <c r="I88" s="190"/>
      <c r="J88" s="187" t="s">
        <v>2735</v>
      </c>
      <c r="K88" s="187" t="s">
        <v>1894</v>
      </c>
      <c r="L88" s="184" t="str">
        <f>IFERROR(__xludf.DUMMYFUNCTION("ifna(IF(and(D88=""Saída"",J88=""Sangria""),if(sum(QUERY(IMPORTRANGE(""https://docs.google.com/spreadsheets/d/1E4szPcLzsqlw4uyBAoJ61L1ChCgpz4wVP8tHfHW1g_c"",""BD M Sangrias!a:i""),""select Col6 where Col7 = 'Depositada' and Col9 = '""&amp;K88&amp;""' and Col6 = """&amp;"&amp;M88&amp;"" and Col4 = date '""&amp;YEAR(C88)&amp;""-""&amp;MONTH(C88)&amp;""-""&amp;DAY(C88)&amp;""'""))&gt;0,""Depositada"",if(sum(QUERY(IMPORTRANGE(""https://docs.google.com/spreadsheets/d/1EcLIvUgMoBC5as4ikW0wuQsGH5yVZ6cQ1y16qEfgPnk"",""BD M Sangrias!a:i""),""select Col6 where Col7"&amp;" = 'Caixa Atendimento' and Col9 = '""&amp;K88&amp;""' and Col6 = ""&amp;M88&amp;"" and Col4 = date '""&amp;YEAR(C88)&amp;""-""&amp;MONTH(C88)&amp;""-""&amp;DAY(C88)&amp;""'""))&gt;0,""Caixa Atendimento"",""Caixa Sangria"")),""""),""Caixa Sangria"")"),"#REF!")</f>
        <v>#REF!</v>
      </c>
      <c r="M88" s="185">
        <f>IFERROR(__xludf.DUMMYFUNCTION("ifna(VALUE(REGEXEXTRACT(E88,""[0-9.]+[,]+[0-9]+"")))"),450.0)</f>
        <v>450</v>
      </c>
      <c r="N88" s="204"/>
      <c r="O88" s="205"/>
      <c r="P88" s="205"/>
      <c r="Q88" s="205"/>
      <c r="R88" s="206"/>
      <c r="S88" s="205"/>
      <c r="T88" s="205"/>
      <c r="U88" s="205"/>
      <c r="V88" s="207"/>
    </row>
    <row r="89" ht="14.25" customHeight="1">
      <c r="A89" s="178"/>
      <c r="B89" s="12">
        <v>1568380.0</v>
      </c>
      <c r="C89" s="13">
        <v>45850.77630787037</v>
      </c>
      <c r="D89" s="179" t="s">
        <v>81</v>
      </c>
      <c r="E89" s="180" t="s">
        <v>5534</v>
      </c>
      <c r="F89" s="181"/>
      <c r="G89" s="179" t="s">
        <v>5535</v>
      </c>
      <c r="H89" s="190"/>
      <c r="I89" s="190"/>
      <c r="J89" s="187" t="s">
        <v>2438</v>
      </c>
      <c r="K89" s="187"/>
      <c r="L89" s="184" t="str">
        <f>IFERROR(__xludf.DUMMYFUNCTION("ifna(IF(and(D89=""Saída"",J89=""Sangria""),if(sum(QUERY(IMPORTRANGE(""https://docs.google.com/spreadsheets/d/1E4szPcLzsqlw4uyBAoJ61L1ChCgpz4wVP8tHfHW1g_c"",""BD M Sangrias!a:i""),""select Col6 where Col7 = 'Depositada' and Col9 = '""&amp;K89&amp;""' and Col6 = """&amp;"&amp;M89&amp;"" and Col4 = date '""&amp;YEAR(C89)&amp;""-""&amp;MONTH(C89)&amp;""-""&amp;DAY(C89)&amp;""'""))&gt;0,""Depositada"",if(sum(QUERY(IMPORTRANGE(""https://docs.google.com/spreadsheets/d/1EcLIvUgMoBC5as4ikW0wuQsGH5yVZ6cQ1y16qEfgPnk"",""BD M Sangrias!a:i""),""select Col6 where Col7"&amp;" = 'Caixa Atendimento' and Col9 = '""&amp;K89&amp;""' and Col6 = ""&amp;M89&amp;"" and Col4 = date '""&amp;YEAR(C89)&amp;""-""&amp;MONTH(C89)&amp;""-""&amp;DAY(C89)&amp;""'""))&gt;0,""Caixa Atendimento"",""Caixa Sangria"")),""""),""Caixa Sangria"")"),"")</f>
        <v/>
      </c>
      <c r="M89" s="185">
        <f>IFERROR(__xludf.DUMMYFUNCTION("ifna(VALUE(REGEXEXTRACT(E89,""[0-9.]+[,]+[0-9]+"")))"),143.11)</f>
        <v>143.11</v>
      </c>
      <c r="N89" s="25"/>
      <c r="O89" s="25"/>
      <c r="P89" s="25"/>
      <c r="Q89" s="25"/>
      <c r="R89" s="25"/>
      <c r="S89" s="25"/>
      <c r="T89" s="25"/>
      <c r="U89" s="25"/>
      <c r="V89" s="25"/>
    </row>
    <row r="90" ht="14.25" customHeight="1">
      <c r="A90" s="178"/>
      <c r="B90" s="12">
        <v>1569070.0</v>
      </c>
      <c r="C90" s="13">
        <v>45850.93869212963</v>
      </c>
      <c r="D90" s="179" t="s">
        <v>81</v>
      </c>
      <c r="E90" s="180" t="s">
        <v>5542</v>
      </c>
      <c r="F90" s="181"/>
      <c r="G90" s="179" t="s">
        <v>5545</v>
      </c>
      <c r="H90" s="190"/>
      <c r="I90" s="190"/>
      <c r="J90" s="187" t="s">
        <v>1782</v>
      </c>
      <c r="K90" s="187"/>
      <c r="L90" s="184" t="str">
        <f>IFERROR(__xludf.DUMMYFUNCTION("ifna(IF(and(D90=""Saída"",J90=""Sangria""),if(sum(QUERY(IMPORTRANGE(""https://docs.google.com/spreadsheets/d/1E4szPcLzsqlw4uyBAoJ61L1ChCgpz4wVP8tHfHW1g_c"",""BD M Sangrias!a:i""),""select Col6 where Col7 = 'Depositada' and Col9 = '""&amp;K90&amp;""' and Col6 = """&amp;"&amp;M90&amp;"" and Col4 = date '""&amp;YEAR(C90)&amp;""-""&amp;MONTH(C90)&amp;""-""&amp;DAY(C90)&amp;""'""))&gt;0,""Depositada"",if(sum(QUERY(IMPORTRANGE(""https://docs.google.com/spreadsheets/d/1EcLIvUgMoBC5as4ikW0wuQsGH5yVZ6cQ1y16qEfgPnk"",""BD M Sangrias!a:i""),""select Col6 where Col7"&amp;" = 'Caixa Atendimento' and Col9 = '""&amp;K90&amp;""' and Col6 = ""&amp;M90&amp;"" and Col4 = date '""&amp;YEAR(C90)&amp;""-""&amp;MONTH(C90)&amp;""-""&amp;DAY(C90)&amp;""'""))&gt;0,""Caixa Atendimento"",""Caixa Sangria"")),""""),""Caixa Sangria"")"),"")</f>
        <v/>
      </c>
      <c r="M90" s="185">
        <f>IFERROR(__xludf.DUMMYFUNCTION("ifna(VALUE(REGEXEXTRACT(E90,""[0-9.]+[,]+[0-9]+"")))"),92.25)</f>
        <v>92.25</v>
      </c>
      <c r="N90" s="25"/>
      <c r="O90" s="25"/>
      <c r="P90" s="25"/>
      <c r="Q90" s="25"/>
      <c r="R90" s="25"/>
      <c r="S90" s="25"/>
      <c r="T90" s="25"/>
      <c r="U90" s="25"/>
      <c r="V90" s="25"/>
    </row>
    <row r="91" ht="14.25" customHeight="1">
      <c r="A91" s="178"/>
      <c r="B91" s="12">
        <v>1569091.0</v>
      </c>
      <c r="C91" s="13">
        <v>45850.942037037035</v>
      </c>
      <c r="D91" s="179" t="s">
        <v>81</v>
      </c>
      <c r="E91" s="180" t="s">
        <v>5424</v>
      </c>
      <c r="F91" s="181"/>
      <c r="G91" s="179" t="s">
        <v>381</v>
      </c>
      <c r="H91" s="190"/>
      <c r="I91" s="190"/>
      <c r="J91" s="187" t="s">
        <v>2735</v>
      </c>
      <c r="K91" s="187" t="s">
        <v>1894</v>
      </c>
      <c r="L91" s="184" t="str">
        <f>IFERROR(__xludf.DUMMYFUNCTION("ifna(IF(and(D91=""Saída"",J91=""Sangria""),if(sum(QUERY(IMPORTRANGE(""https://docs.google.com/spreadsheets/d/1E4szPcLzsqlw4uyBAoJ61L1ChCgpz4wVP8tHfHW1g_c"",""BD M Sangrias!a:i""),""select Col6 where Col7 = 'Depositada' and Col9 = '""&amp;K91&amp;""' and Col6 = """&amp;"&amp;M91&amp;"" and Col4 = date '""&amp;YEAR(C91)&amp;""-""&amp;MONTH(C91)&amp;""-""&amp;DAY(C91)&amp;""'""))&gt;0,""Depositada"",if(sum(QUERY(IMPORTRANGE(""https://docs.google.com/spreadsheets/d/1EcLIvUgMoBC5as4ikW0wuQsGH5yVZ6cQ1y16qEfgPnk"",""BD M Sangrias!a:i""),""select Col6 where Col7"&amp;" = 'Caixa Atendimento' and Col9 = '""&amp;K91&amp;""' and Col6 = ""&amp;M91&amp;"" and Col4 = date '""&amp;YEAR(C91)&amp;""-""&amp;MONTH(C91)&amp;""-""&amp;DAY(C91)&amp;""'""))&gt;0,""Caixa Atendimento"",""Caixa Sangria"")),""""),""Caixa Sangria"")"),"#REF!")</f>
        <v>#REF!</v>
      </c>
      <c r="M91" s="185">
        <f>IFERROR(__xludf.DUMMYFUNCTION("ifna(VALUE(REGEXEXTRACT(E91,""[0-9.]+[,]+[0-9]+"")))"),1500.0)</f>
        <v>1500</v>
      </c>
      <c r="N91" s="25"/>
      <c r="O91" s="25"/>
      <c r="P91" s="25"/>
      <c r="Q91" s="25"/>
      <c r="R91" s="25"/>
      <c r="S91" s="25"/>
      <c r="T91" s="25"/>
      <c r="U91" s="25"/>
      <c r="V91" s="25"/>
    </row>
    <row r="92" ht="14.25" customHeight="1">
      <c r="A92" s="178"/>
      <c r="B92" s="12">
        <v>1569723.0</v>
      </c>
      <c r="C92" s="13">
        <v>45851.65405092593</v>
      </c>
      <c r="D92" s="179" t="s">
        <v>152</v>
      </c>
      <c r="E92" s="180" t="s">
        <v>5087</v>
      </c>
      <c r="F92" s="181"/>
      <c r="G92" s="179" t="s">
        <v>158</v>
      </c>
      <c r="H92" s="190"/>
      <c r="I92" s="190"/>
      <c r="J92" s="187" t="s">
        <v>2669</v>
      </c>
      <c r="K92" s="187"/>
      <c r="L92" s="184" t="str">
        <f>IFERROR(__xludf.DUMMYFUNCTION("ifna(IF(and(D92=""Saída"",J92=""Sangria""),if(sum(QUERY(IMPORTRANGE(""https://docs.google.com/spreadsheets/d/1E4szPcLzsqlw4uyBAoJ61L1ChCgpz4wVP8tHfHW1g_c"",""BD M Sangrias!a:i""),""select Col6 where Col7 = 'Depositada' and Col9 = '""&amp;K92&amp;""' and Col6 = """&amp;"&amp;M92&amp;"" and Col4 = date '""&amp;YEAR(C92)&amp;""-""&amp;MONTH(C92)&amp;""-""&amp;DAY(C92)&amp;""'""))&gt;0,""Depositada"",if(sum(QUERY(IMPORTRANGE(""https://docs.google.com/spreadsheets/d/1EcLIvUgMoBC5as4ikW0wuQsGH5yVZ6cQ1y16qEfgPnk"",""BD M Sangrias!a:i""),""select Col6 where Col7"&amp;" = 'Caixa Atendimento' and Col9 = '""&amp;K92&amp;""' and Col6 = ""&amp;M92&amp;"" and Col4 = date '""&amp;YEAR(C92)&amp;""-""&amp;MONTH(C92)&amp;""-""&amp;DAY(C92)&amp;""'""))&gt;0,""Caixa Atendimento"",""Caixa Sangria"")),""""),""Caixa Sangria"")"),"")</f>
        <v/>
      </c>
      <c r="M92" s="185">
        <f>IFERROR(__xludf.DUMMYFUNCTION("ifna(VALUE(REGEXEXTRACT(E92,""[0-9.]+[,]+[0-9]+"")))"),35.0)</f>
        <v>35</v>
      </c>
      <c r="N92" s="25"/>
      <c r="O92" s="25"/>
      <c r="P92" s="25"/>
      <c r="Q92" s="25"/>
      <c r="R92" s="25"/>
      <c r="S92" s="25"/>
      <c r="T92" s="185"/>
      <c r="U92" s="185"/>
      <c r="V92" s="185"/>
    </row>
    <row r="93" ht="14.25" customHeight="1">
      <c r="A93" s="178"/>
      <c r="B93" s="12">
        <v>1570334.0</v>
      </c>
      <c r="C93" s="13">
        <v>45851.76951388889</v>
      </c>
      <c r="D93" s="179" t="s">
        <v>152</v>
      </c>
      <c r="E93" s="180" t="s">
        <v>979</v>
      </c>
      <c r="F93" s="188"/>
      <c r="G93" s="179" t="s">
        <v>158</v>
      </c>
      <c r="H93" s="190"/>
      <c r="I93" s="190"/>
      <c r="J93" s="187" t="s">
        <v>2669</v>
      </c>
      <c r="K93" s="187"/>
      <c r="L93" s="184" t="str">
        <f>IFERROR(__xludf.DUMMYFUNCTION("ifna(IF(and(D93=""Saída"",J93=""Sangria""),if(sum(QUERY(IMPORTRANGE(""https://docs.google.com/spreadsheets/d/1E4szPcLzsqlw4uyBAoJ61L1ChCgpz4wVP8tHfHW1g_c"",""BD M Sangrias!a:i""),""select Col6 where Col7 = 'Depositada' and Col9 = '""&amp;K93&amp;""' and Col6 = """&amp;"&amp;M93&amp;"" and Col4 = date '""&amp;YEAR(C93)&amp;""-""&amp;MONTH(C93)&amp;""-""&amp;DAY(C93)&amp;""'""))&gt;0,""Depositada"",if(sum(QUERY(IMPORTRANGE(""https://docs.google.com/spreadsheets/d/1EcLIvUgMoBC5as4ikW0wuQsGH5yVZ6cQ1y16qEfgPnk"",""BD M Sangrias!a:i""),""select Col6 where Col7"&amp;" = 'Caixa Atendimento' and Col9 = '""&amp;K93&amp;""' and Col6 = ""&amp;M93&amp;"" and Col4 = date '""&amp;YEAR(C93)&amp;""-""&amp;MONTH(C93)&amp;""-""&amp;DAY(C93)&amp;""'""))&gt;0,""Caixa Atendimento"",""Caixa Sangria"")),""""),""Caixa Sangria"")"),"")</f>
        <v/>
      </c>
      <c r="M93" s="185">
        <f>IFERROR(__xludf.DUMMYFUNCTION("ifna(VALUE(REGEXEXTRACT(E93,""[0-9.]+[,]+[0-9]+"")))"),3.0)</f>
        <v>3</v>
      </c>
      <c r="N93" s="209" t="s">
        <v>3799</v>
      </c>
      <c r="O93" s="210"/>
      <c r="P93" s="210"/>
      <c r="Q93" s="210"/>
      <c r="R93" s="210"/>
      <c r="S93" s="59"/>
      <c r="T93" s="185"/>
      <c r="U93" s="185"/>
      <c r="V93" s="185"/>
    </row>
    <row r="94" ht="14.25" customHeight="1">
      <c r="A94" s="178"/>
      <c r="B94" s="12">
        <v>1571320.0</v>
      </c>
      <c r="C94" s="13">
        <v>45851.9303125</v>
      </c>
      <c r="D94" s="179" t="s">
        <v>81</v>
      </c>
      <c r="E94" s="180" t="s">
        <v>5585</v>
      </c>
      <c r="F94" s="181"/>
      <c r="G94" s="179" t="s">
        <v>5586</v>
      </c>
      <c r="H94" s="190"/>
      <c r="I94" s="190"/>
      <c r="J94" s="187" t="s">
        <v>1782</v>
      </c>
      <c r="K94" s="187"/>
      <c r="L94" s="184" t="str">
        <f>IFERROR(__xludf.DUMMYFUNCTION("ifna(IF(and(D94=""Saída"",J94=""Sangria""),if(sum(QUERY(IMPORTRANGE(""https://docs.google.com/spreadsheets/d/1E4szPcLzsqlw4uyBAoJ61L1ChCgpz4wVP8tHfHW1g_c"",""BD M Sangrias!a:i""),""select Col6 where Col7 = 'Depositada' and Col9 = '""&amp;K94&amp;""' and Col6 = """&amp;"&amp;M94&amp;"" and Col4 = date '""&amp;YEAR(C94)&amp;""-""&amp;MONTH(C94)&amp;""-""&amp;DAY(C94)&amp;""'""))&gt;0,""Depositada"",if(sum(QUERY(IMPORTRANGE(""https://docs.google.com/spreadsheets/d/1EcLIvUgMoBC5as4ikW0wuQsGH5yVZ6cQ1y16qEfgPnk"",""BD M Sangrias!a:i""),""select Col6 where Col7"&amp;" = 'Caixa Atendimento' and Col9 = '""&amp;K94&amp;""' and Col6 = ""&amp;M94&amp;"" and Col4 = date '""&amp;YEAR(C94)&amp;""-""&amp;MONTH(C94)&amp;""-""&amp;DAY(C94)&amp;""'""))&gt;0,""Caixa Atendimento"",""Caixa Sangria"")),""""),""Caixa Sangria"")"),"")</f>
        <v/>
      </c>
      <c r="M94" s="185">
        <f>IFERROR(__xludf.DUMMYFUNCTION("ifna(VALUE(REGEXEXTRACT(E94,""[0-9.]+[,]+[0-9]+"")))"),201.37)</f>
        <v>201.37</v>
      </c>
      <c r="N94" s="211"/>
      <c r="S94" s="212"/>
      <c r="T94" s="185"/>
      <c r="U94" s="185"/>
      <c r="V94" s="185"/>
    </row>
    <row r="95" ht="14.25" customHeight="1">
      <c r="A95" s="178"/>
      <c r="B95" s="12">
        <v>1571324.0</v>
      </c>
      <c r="C95" s="13">
        <v>45851.93068287037</v>
      </c>
      <c r="D95" s="179" t="s">
        <v>81</v>
      </c>
      <c r="E95" s="180" t="s">
        <v>5597</v>
      </c>
      <c r="F95" s="181"/>
      <c r="G95" s="179" t="s">
        <v>5598</v>
      </c>
      <c r="H95" s="190"/>
      <c r="I95" s="190"/>
      <c r="J95" s="187" t="s">
        <v>1782</v>
      </c>
      <c r="K95" s="187"/>
      <c r="L95" s="184" t="str">
        <f>IFERROR(__xludf.DUMMYFUNCTION("ifna(IF(and(D95=""Saída"",J95=""Sangria""),if(sum(QUERY(IMPORTRANGE(""https://docs.google.com/spreadsheets/d/1E4szPcLzsqlw4uyBAoJ61L1ChCgpz4wVP8tHfHW1g_c"",""BD M Sangrias!a:i""),""select Col6 where Col7 = 'Depositada' and Col9 = '""&amp;K95&amp;""' and Col6 = """&amp;"&amp;M95&amp;"" and Col4 = date '""&amp;YEAR(C95)&amp;""-""&amp;MONTH(C95)&amp;""-""&amp;DAY(C95)&amp;""'""))&gt;0,""Depositada"",if(sum(QUERY(IMPORTRANGE(""https://docs.google.com/spreadsheets/d/1EcLIvUgMoBC5as4ikW0wuQsGH5yVZ6cQ1y16qEfgPnk"",""BD M Sangrias!a:i""),""select Col6 where Col7"&amp;" = 'Caixa Atendimento' and Col9 = '""&amp;K95&amp;""' and Col6 = ""&amp;M95&amp;"" and Col4 = date '""&amp;YEAR(C95)&amp;""-""&amp;MONTH(C95)&amp;""-""&amp;DAY(C95)&amp;""'""))&gt;0,""Caixa Atendimento"",""Caixa Sangria"")),""""),""Caixa Sangria"")"),"")</f>
        <v/>
      </c>
      <c r="M95" s="185">
        <f>IFERROR(__xludf.DUMMYFUNCTION("ifna(VALUE(REGEXEXTRACT(E95,""[0-9.]+[,]+[0-9]+"")))"),200.59)</f>
        <v>200.59</v>
      </c>
      <c r="N95" s="213" t="s">
        <v>1</v>
      </c>
      <c r="O95" s="214" t="s">
        <v>2</v>
      </c>
      <c r="P95" s="214" t="s">
        <v>3830</v>
      </c>
      <c r="Q95" s="214" t="s">
        <v>46</v>
      </c>
      <c r="R95" s="215" t="s">
        <v>33</v>
      </c>
      <c r="S95" s="212"/>
      <c r="T95" s="185"/>
      <c r="U95" s="185"/>
      <c r="V95" s="185"/>
    </row>
    <row r="96" ht="14.25" customHeight="1">
      <c r="A96" s="178"/>
      <c r="B96" s="12">
        <v>1571339.0</v>
      </c>
      <c r="C96" s="13">
        <v>45851.932291666664</v>
      </c>
      <c r="D96" s="179" t="s">
        <v>81</v>
      </c>
      <c r="E96" s="180" t="s">
        <v>5606</v>
      </c>
      <c r="F96" s="181"/>
      <c r="G96" s="179" t="s">
        <v>5609</v>
      </c>
      <c r="H96" s="190"/>
      <c r="I96" s="190"/>
      <c r="J96" s="187" t="s">
        <v>2438</v>
      </c>
      <c r="K96" s="187"/>
      <c r="L96" s="184" t="str">
        <f>IFERROR(__xludf.DUMMYFUNCTION("ifna(IF(and(D96=""Saída"",J96=""Sangria""),if(sum(QUERY(IMPORTRANGE(""https://docs.google.com/spreadsheets/d/1E4szPcLzsqlw4uyBAoJ61L1ChCgpz4wVP8tHfHW1g_c"",""BD M Sangrias!a:i""),""select Col6 where Col7 = 'Depositada' and Col9 = '""&amp;K96&amp;""' and Col6 = """&amp;"&amp;M96&amp;"" and Col4 = date '""&amp;YEAR(C96)&amp;""-""&amp;MONTH(C96)&amp;""-""&amp;DAY(C96)&amp;""'""))&gt;0,""Depositada"",if(sum(QUERY(IMPORTRANGE(""https://docs.google.com/spreadsheets/d/1EcLIvUgMoBC5as4ikW0wuQsGH5yVZ6cQ1y16qEfgPnk"",""BD M Sangrias!a:i""),""select Col6 where Col7"&amp;" = 'Caixa Atendimento' and Col9 = '""&amp;K96&amp;""' and Col6 = ""&amp;M96&amp;"" and Col4 = date '""&amp;YEAR(C96)&amp;""-""&amp;MONTH(C96)&amp;""-""&amp;DAY(C96)&amp;""'""))&gt;0,""Caixa Atendimento"",""Caixa Sangria"")),""""),""Caixa Sangria"")"),"")</f>
        <v/>
      </c>
      <c r="M96" s="185">
        <f>IFERROR(__xludf.DUMMYFUNCTION("ifna(VALUE(REGEXEXTRACT(E96,""[0-9.]+[,]+[0-9]+"")))"),55.23)</f>
        <v>55.23</v>
      </c>
      <c r="N96" s="216"/>
      <c r="O96" s="195"/>
      <c r="P96" s="196"/>
      <c r="Q96" s="197"/>
      <c r="R96" s="217"/>
      <c r="S96" s="218" t="str">
        <f t="shared" ref="S96:S116" si="1">IFERROR(VLOOKUP(P96, $A$4:$B$11, 2, FALSE), "")</f>
        <v/>
      </c>
      <c r="T96" s="185"/>
      <c r="U96" s="185"/>
      <c r="V96" s="185"/>
    </row>
    <row r="97" ht="14.25" customHeight="1">
      <c r="A97" s="178"/>
      <c r="B97" s="12">
        <v>1571390.0</v>
      </c>
      <c r="C97" s="13">
        <v>45851.93613425926</v>
      </c>
      <c r="D97" s="179" t="s">
        <v>81</v>
      </c>
      <c r="E97" s="180" t="s">
        <v>5625</v>
      </c>
      <c r="F97" s="188"/>
      <c r="G97" s="179" t="s">
        <v>4071</v>
      </c>
      <c r="H97" s="190"/>
      <c r="I97" s="190"/>
      <c r="J97" s="187" t="s">
        <v>2735</v>
      </c>
      <c r="K97" s="187" t="s">
        <v>2018</v>
      </c>
      <c r="L97" s="184" t="str">
        <f>IFERROR(__xludf.DUMMYFUNCTION("ifna(IF(and(D97=""Saída"",J97=""Sangria""),if(sum(QUERY(IMPORTRANGE(""https://docs.google.com/spreadsheets/d/1E4szPcLzsqlw4uyBAoJ61L1ChCgpz4wVP8tHfHW1g_c"",""BD M Sangrias!a:i""),""select Col6 where Col7 = 'Depositada' and Col9 = '""&amp;K97&amp;""' and Col6 = """&amp;"&amp;M97&amp;"" and Col4 = date '""&amp;YEAR(C97)&amp;""-""&amp;MONTH(C97)&amp;""-""&amp;DAY(C97)&amp;""'""))&gt;0,""Depositada"",if(sum(QUERY(IMPORTRANGE(""https://docs.google.com/spreadsheets/d/1EcLIvUgMoBC5as4ikW0wuQsGH5yVZ6cQ1y16qEfgPnk"",""BD M Sangrias!a:i""),""select Col6 where Col7"&amp;" = 'Caixa Atendimento' and Col9 = '""&amp;K97&amp;""' and Col6 = ""&amp;M97&amp;"" and Col4 = date '""&amp;YEAR(C97)&amp;""-""&amp;MONTH(C97)&amp;""-""&amp;DAY(C97)&amp;""'""))&gt;0,""Caixa Atendimento"",""Caixa Sangria"")),""""),""Caixa Sangria"")"),"#REF!")</f>
        <v>#REF!</v>
      </c>
      <c r="M97" s="185">
        <f>IFERROR(__xludf.DUMMYFUNCTION("ifna(VALUE(REGEXEXTRACT(E97,""[0-9.]+[,]+[0-9]+"")))"),1900.0)</f>
        <v>1900</v>
      </c>
      <c r="N97" s="216"/>
      <c r="O97" s="195"/>
      <c r="P97" s="196"/>
      <c r="Q97" s="197"/>
      <c r="R97" s="219"/>
      <c r="S97" s="218" t="str">
        <f t="shared" si="1"/>
        <v/>
      </c>
      <c r="T97" s="185"/>
      <c r="U97" s="185"/>
      <c r="V97" s="185"/>
    </row>
    <row r="98" ht="14.25" customHeight="1">
      <c r="A98" s="178"/>
      <c r="B98" s="12">
        <v>1571871.0</v>
      </c>
      <c r="C98" s="13">
        <v>45852.54414351852</v>
      </c>
      <c r="D98" s="179" t="s">
        <v>152</v>
      </c>
      <c r="E98" s="180" t="s">
        <v>5639</v>
      </c>
      <c r="F98" s="181"/>
      <c r="G98" s="179" t="s">
        <v>158</v>
      </c>
      <c r="H98" s="190"/>
      <c r="I98" s="190"/>
      <c r="J98" s="199" t="s">
        <v>2669</v>
      </c>
      <c r="K98" s="187"/>
      <c r="L98" s="184" t="str">
        <f>IFERROR(__xludf.DUMMYFUNCTION("ifna(IF(and(D98=""Saída"",J98=""Sangria""),if(sum(QUERY(IMPORTRANGE(""https://docs.google.com/spreadsheets/d/1E4szPcLzsqlw4uyBAoJ61L1ChCgpz4wVP8tHfHW1g_c"",""BD M Sangrias!a:i""),""select Col6 where Col7 = 'Depositada' and Col9 = '""&amp;K98&amp;""' and Col6 = """&amp;"&amp;M98&amp;"" and Col4 = date '""&amp;YEAR(C98)&amp;""-""&amp;MONTH(C98)&amp;""-""&amp;DAY(C98)&amp;""'""))&gt;0,""Depositada"",if(sum(QUERY(IMPORTRANGE(""https://docs.google.com/spreadsheets/d/1EcLIvUgMoBC5as4ikW0wuQsGH5yVZ6cQ1y16qEfgPnk"",""BD M Sangrias!a:i""),""select Col6 where Col7"&amp;" = 'Caixa Atendimento' and Col9 = '""&amp;K98&amp;""' and Col6 = ""&amp;M98&amp;"" and Col4 = date '""&amp;YEAR(C98)&amp;""-""&amp;MONTH(C98)&amp;""-""&amp;DAY(C98)&amp;""'""))&gt;0,""Caixa Atendimento"",""Caixa Sangria"")),""""),""Caixa Sangria"")"),"")</f>
        <v/>
      </c>
      <c r="M98" s="185">
        <f>IFERROR(__xludf.DUMMYFUNCTION("ifna(VALUE(REGEXEXTRACT(E98,""[0-9.]+[,]+[0-9]+"")))"),25.25)</f>
        <v>25.25</v>
      </c>
      <c r="N98" s="216"/>
      <c r="O98" s="195"/>
      <c r="P98" s="196"/>
      <c r="Q98" s="197"/>
      <c r="R98" s="220"/>
      <c r="S98" s="218" t="str">
        <f t="shared" si="1"/>
        <v/>
      </c>
      <c r="T98" s="185"/>
      <c r="U98" s="185"/>
      <c r="V98" s="185"/>
    </row>
    <row r="99" ht="14.25" customHeight="1">
      <c r="A99" s="178"/>
      <c r="B99" s="12">
        <v>1572337.0</v>
      </c>
      <c r="C99" s="13">
        <v>45852.705046296294</v>
      </c>
      <c r="D99" s="179" t="s">
        <v>81</v>
      </c>
      <c r="E99" s="180" t="s">
        <v>443</v>
      </c>
      <c r="F99" s="181"/>
      <c r="G99" s="179" t="s">
        <v>5335</v>
      </c>
      <c r="H99" s="190"/>
      <c r="I99" s="190"/>
      <c r="J99" s="187" t="s">
        <v>2735</v>
      </c>
      <c r="K99" s="187" t="s">
        <v>2018</v>
      </c>
      <c r="L99" s="184" t="str">
        <f>IFERROR(__xludf.DUMMYFUNCTION("ifna(IF(and(D99=""Saída"",J99=""Sangria""),if(sum(QUERY(IMPORTRANGE(""https://docs.google.com/spreadsheets/d/1E4szPcLzsqlw4uyBAoJ61L1ChCgpz4wVP8tHfHW1g_c"",""BD M Sangrias!a:i""),""select Col6 where Col7 = 'Depositada' and Col9 = '""&amp;K99&amp;""' and Col6 = """&amp;"&amp;M99&amp;"" and Col4 = date '""&amp;YEAR(C99)&amp;""-""&amp;MONTH(C99)&amp;""-""&amp;DAY(C99)&amp;""'""))&gt;0,""Depositada"",if(sum(QUERY(IMPORTRANGE(""https://docs.google.com/spreadsheets/d/1EcLIvUgMoBC5as4ikW0wuQsGH5yVZ6cQ1y16qEfgPnk"",""BD M Sangrias!a:i""),""select Col6 where Col7"&amp;" = 'Caixa Atendimento' and Col9 = '""&amp;K99&amp;""' and Col6 = ""&amp;M99&amp;"" and Col4 = date '""&amp;YEAR(C99)&amp;""-""&amp;MONTH(C99)&amp;""-""&amp;DAY(C99)&amp;""'""))&gt;0,""Caixa Atendimento"",""Caixa Sangria"")),""""),""Caixa Sangria"")"),"#REF!")</f>
        <v>#REF!</v>
      </c>
      <c r="M99" s="185">
        <f>IFERROR(__xludf.DUMMYFUNCTION("ifna(VALUE(REGEXEXTRACT(E99,""[0-9.]+[,]+[0-9]+"")))"),900.0)</f>
        <v>900</v>
      </c>
      <c r="N99" s="216"/>
      <c r="O99" s="195"/>
      <c r="P99" s="196"/>
      <c r="Q99" s="197"/>
      <c r="R99" s="221"/>
      <c r="S99" s="218" t="str">
        <f t="shared" si="1"/>
        <v/>
      </c>
      <c r="T99" s="185"/>
      <c r="U99" s="185"/>
      <c r="V99" s="185"/>
    </row>
    <row r="100" ht="14.25" customHeight="1">
      <c r="A100" s="178"/>
      <c r="B100" s="12">
        <v>1572868.0</v>
      </c>
      <c r="C100" s="13">
        <v>45852.86429398148</v>
      </c>
      <c r="D100" s="179" t="s">
        <v>152</v>
      </c>
      <c r="E100" s="180" t="s">
        <v>335</v>
      </c>
      <c r="F100" s="181"/>
      <c r="G100" s="179" t="s">
        <v>158</v>
      </c>
      <c r="H100" s="190"/>
      <c r="I100" s="190"/>
      <c r="J100" s="187" t="s">
        <v>2669</v>
      </c>
      <c r="K100" s="187"/>
      <c r="L100" s="184" t="str">
        <f>IFERROR(__xludf.DUMMYFUNCTION("ifna(IF(and(D100=""Saída"",J100=""Sangria""),if(sum(QUERY(IMPORTRANGE(""https://docs.google.com/spreadsheets/d/1E4szPcLzsqlw4uyBAoJ61L1ChCgpz4wVP8tHfHW1g_c"",""BD M Sangrias!a:i""),""select Col6 where Col7 = 'Depositada' and Col9 = '""&amp;K100&amp;""' and Col6 ="&amp;" ""&amp;M100&amp;"" and Col4 = date '""&amp;YEAR(C100)&amp;""-""&amp;MONTH(C100)&amp;""-""&amp;DAY(C100)&amp;""'""))&gt;0,""Depositada"",if(sum(QUERY(IMPORTRANGE(""https://docs.google.com/spreadsheets/d/1EcLIvUgMoBC5as4ikW0wuQsGH5yVZ6cQ1y16qEfgPnk"",""BD M Sangrias!a:i""),""select Col6 whe"&amp;"re Col7 = 'Caixa Atendimento' and Col9 = '""&amp;K100&amp;""' and Col6 = ""&amp;M100&amp;"" and Col4 = date '""&amp;YEAR(C100)&amp;""-""&amp;MONTH(C100)&amp;""-""&amp;DAY(C100)&amp;""'""))&gt;0,""Caixa Atendimento"",""Caixa Sangria"")),""""),""Caixa Sangria"")"),"")</f>
        <v/>
      </c>
      <c r="M100" s="185">
        <f>IFERROR(__xludf.DUMMYFUNCTION("ifna(VALUE(REGEXEXTRACT(E100,""[0-9.]+[,]+[0-9]+"")))"),10.0)</f>
        <v>10</v>
      </c>
      <c r="N100" s="216"/>
      <c r="O100" s="195"/>
      <c r="P100" s="196"/>
      <c r="Q100" s="197"/>
      <c r="R100" s="220"/>
      <c r="S100" s="218" t="str">
        <f t="shared" si="1"/>
        <v/>
      </c>
      <c r="T100" s="185"/>
      <c r="U100" s="185"/>
      <c r="V100" s="185"/>
    </row>
    <row r="101" ht="14.25" customHeight="1">
      <c r="A101" s="178"/>
      <c r="B101" s="12">
        <v>1572870.0</v>
      </c>
      <c r="C101" s="13">
        <v>45852.86472222222</v>
      </c>
      <c r="D101" s="179" t="s">
        <v>81</v>
      </c>
      <c r="E101" s="180" t="s">
        <v>5668</v>
      </c>
      <c r="F101" s="181"/>
      <c r="G101" s="179" t="s">
        <v>5670</v>
      </c>
      <c r="H101" s="190"/>
      <c r="I101" s="190"/>
      <c r="J101" s="187" t="s">
        <v>2438</v>
      </c>
      <c r="K101" s="187"/>
      <c r="L101" s="184" t="str">
        <f>IFERROR(__xludf.DUMMYFUNCTION("ifna(IF(and(D101=""Saída"",J101=""Sangria""),if(sum(QUERY(IMPORTRANGE(""https://docs.google.com/spreadsheets/d/1E4szPcLzsqlw4uyBAoJ61L1ChCgpz4wVP8tHfHW1g_c"",""BD M Sangrias!a:i""),""select Col6 where Col7 = 'Depositada' and Col9 = '""&amp;K101&amp;""' and Col6 ="&amp;" ""&amp;M101&amp;"" and Col4 = date '""&amp;YEAR(C101)&amp;""-""&amp;MONTH(C101)&amp;""-""&amp;DAY(C101)&amp;""'""))&gt;0,""Depositada"",if(sum(QUERY(IMPORTRANGE(""https://docs.google.com/spreadsheets/d/1EcLIvUgMoBC5as4ikW0wuQsGH5yVZ6cQ1y16qEfgPnk"",""BD M Sangrias!a:i""),""select Col6 whe"&amp;"re Col7 = 'Caixa Atendimento' and Col9 = '""&amp;K101&amp;""' and Col6 = ""&amp;M101&amp;"" and Col4 = date '""&amp;YEAR(C101)&amp;""-""&amp;MONTH(C101)&amp;""-""&amp;DAY(C101)&amp;""'""))&gt;0,""Caixa Atendimento"",""Caixa Sangria"")),""""),""Caixa Sangria"")"),"")</f>
        <v/>
      </c>
      <c r="M101" s="185">
        <f>IFERROR(__xludf.DUMMYFUNCTION("ifna(VALUE(REGEXEXTRACT(E101,""[0-9.]+[,]+[0-9]+"")))"),23.52)</f>
        <v>23.52</v>
      </c>
      <c r="N101" s="222"/>
      <c r="O101" s="223"/>
      <c r="P101" s="224"/>
      <c r="Q101" s="225"/>
      <c r="R101" s="221"/>
      <c r="S101" s="218" t="str">
        <f t="shared" si="1"/>
        <v/>
      </c>
      <c r="T101" s="185"/>
      <c r="U101" s="185"/>
      <c r="V101" s="185"/>
    </row>
    <row r="102" ht="14.25" customHeight="1">
      <c r="A102" s="178"/>
      <c r="B102" s="12">
        <v>1572905.0</v>
      </c>
      <c r="C102" s="13">
        <v>45852.87329861111</v>
      </c>
      <c r="D102" s="179" t="s">
        <v>81</v>
      </c>
      <c r="E102" s="180" t="s">
        <v>402</v>
      </c>
      <c r="F102" s="181"/>
      <c r="G102" s="179" t="s">
        <v>5680</v>
      </c>
      <c r="H102" s="190"/>
      <c r="I102" s="190"/>
      <c r="J102" s="187"/>
      <c r="K102" s="187"/>
      <c r="L102" s="184" t="str">
        <f>IFERROR(__xludf.DUMMYFUNCTION("ifna(IF(and(D102=""Saída"",J102=""Sangria""),if(sum(QUERY(IMPORTRANGE(""https://docs.google.com/spreadsheets/d/1E4szPcLzsqlw4uyBAoJ61L1ChCgpz4wVP8tHfHW1g_c"",""BD M Sangrias!a:i""),""select Col6 where Col7 = 'Depositada' and Col9 = '""&amp;K102&amp;""' and Col6 ="&amp;" ""&amp;M102&amp;"" and Col4 = date '""&amp;YEAR(C102)&amp;""-""&amp;MONTH(C102)&amp;""-""&amp;DAY(C102)&amp;""'""))&gt;0,""Depositada"",if(sum(QUERY(IMPORTRANGE(""https://docs.google.com/spreadsheets/d/1EcLIvUgMoBC5as4ikW0wuQsGH5yVZ6cQ1y16qEfgPnk"",""BD M Sangrias!a:i""),""select Col6 whe"&amp;"re Col7 = 'Caixa Atendimento' and Col9 = '""&amp;K102&amp;""' and Col6 = ""&amp;M102&amp;"" and Col4 = date '""&amp;YEAR(C102)&amp;""-""&amp;MONTH(C102)&amp;""-""&amp;DAY(C102)&amp;""'""))&gt;0,""Caixa Atendimento"",""Caixa Sangria"")),""""),""Caixa Sangria"")"),"")</f>
        <v/>
      </c>
      <c r="M102" s="185">
        <f>IFERROR(__xludf.DUMMYFUNCTION("ifna(VALUE(REGEXEXTRACT(E102,""[0-9.]+[,]+[0-9]+"")))"),20.0)</f>
        <v>20</v>
      </c>
      <c r="N102" s="226"/>
      <c r="O102" s="227"/>
      <c r="P102" s="220"/>
      <c r="Q102" s="228" t="str">
        <f t="shared" ref="Q102:Q138" si="2">IFERROR(VLOOKUP(P102, $B$4:$C$18, 2, FALSE), "")</f>
        <v/>
      </c>
      <c r="R102" s="220" t="str">
        <f t="shared" ref="R102:R138" si="3">IFERROR(VLOOKUP(P102, $A$4:$B$18, 2, FALSE), "")</f>
        <v/>
      </c>
      <c r="S102" s="218" t="str">
        <f t="shared" si="1"/>
        <v/>
      </c>
      <c r="T102" s="185"/>
      <c r="U102" s="185"/>
      <c r="V102" s="185"/>
    </row>
    <row r="103" ht="14.25" customHeight="1">
      <c r="A103" s="178"/>
      <c r="B103" s="12">
        <v>1573322.0</v>
      </c>
      <c r="C103" s="13">
        <v>45852.96724537037</v>
      </c>
      <c r="D103" s="179" t="s">
        <v>81</v>
      </c>
      <c r="E103" s="180" t="s">
        <v>3486</v>
      </c>
      <c r="F103" s="188"/>
      <c r="G103" s="179" t="s">
        <v>3104</v>
      </c>
      <c r="H103" s="190"/>
      <c r="I103" s="190"/>
      <c r="J103" s="187" t="s">
        <v>2735</v>
      </c>
      <c r="K103" s="187" t="s">
        <v>1894</v>
      </c>
      <c r="L103" s="184" t="str">
        <f>IFERROR(__xludf.DUMMYFUNCTION("ifna(IF(and(D103=""Saída"",J103=""Sangria""),if(sum(QUERY(IMPORTRANGE(""https://docs.google.com/spreadsheets/d/1E4szPcLzsqlw4uyBAoJ61L1ChCgpz4wVP8tHfHW1g_c"",""BD M Sangrias!a:i""),""select Col6 where Col7 = 'Depositada' and Col9 = '""&amp;K103&amp;""' and Col6 ="&amp;" ""&amp;M103&amp;"" and Col4 = date '""&amp;YEAR(C103)&amp;""-""&amp;MONTH(C103)&amp;""-""&amp;DAY(C103)&amp;""'""))&gt;0,""Depositada"",if(sum(QUERY(IMPORTRANGE(""https://docs.google.com/spreadsheets/d/1EcLIvUgMoBC5as4ikW0wuQsGH5yVZ6cQ1y16qEfgPnk"",""BD M Sangrias!a:i""),""select Col6 whe"&amp;"re Col7 = 'Caixa Atendimento' and Col9 = '""&amp;K103&amp;""' and Col6 = ""&amp;M103&amp;"" and Col4 = date '""&amp;YEAR(C103)&amp;""-""&amp;MONTH(C103)&amp;""-""&amp;DAY(C103)&amp;""'""))&gt;0,""Caixa Atendimento"",""Caixa Sangria"")),""""),""Caixa Sangria"")"),"#REF!")</f>
        <v>#REF!</v>
      </c>
      <c r="M103" s="185">
        <f>IFERROR(__xludf.DUMMYFUNCTION("ifna(VALUE(REGEXEXTRACT(E103,""[0-9.]+[,]+[0-9]+"")))"),500.0)</f>
        <v>500</v>
      </c>
      <c r="N103" s="229"/>
      <c r="O103" s="230"/>
      <c r="P103" s="221"/>
      <c r="Q103" s="231" t="str">
        <f t="shared" si="2"/>
        <v/>
      </c>
      <c r="R103" s="221" t="str">
        <f t="shared" si="3"/>
        <v/>
      </c>
      <c r="S103" s="218" t="str">
        <f t="shared" si="1"/>
        <v/>
      </c>
      <c r="T103" s="185"/>
      <c r="U103" s="185"/>
      <c r="V103" s="185"/>
    </row>
    <row r="104" ht="14.25" customHeight="1">
      <c r="A104" s="178"/>
      <c r="B104" s="12">
        <v>1573957.0</v>
      </c>
      <c r="C104" s="13">
        <v>45853.70350694445</v>
      </c>
      <c r="D104" s="179" t="s">
        <v>81</v>
      </c>
      <c r="E104" s="180" t="s">
        <v>443</v>
      </c>
      <c r="F104" s="181"/>
      <c r="G104" s="179" t="s">
        <v>5348</v>
      </c>
      <c r="H104" s="190"/>
      <c r="I104" s="190"/>
      <c r="J104" s="187" t="s">
        <v>2735</v>
      </c>
      <c r="K104" s="187" t="s">
        <v>2018</v>
      </c>
      <c r="L104" s="184" t="str">
        <f>IFERROR(__xludf.DUMMYFUNCTION("ifna(IF(and(D104=""Saída"",J104=""Sangria""),if(sum(QUERY(IMPORTRANGE(""https://docs.google.com/spreadsheets/d/1E4szPcLzsqlw4uyBAoJ61L1ChCgpz4wVP8tHfHW1g_c"",""BD M Sangrias!a:i""),""select Col6 where Col7 = 'Depositada' and Col9 = '""&amp;K104&amp;""' and Col6 ="&amp;" ""&amp;M104&amp;"" and Col4 = date '""&amp;YEAR(C104)&amp;""-""&amp;MONTH(C104)&amp;""-""&amp;DAY(C104)&amp;""'""))&gt;0,""Depositada"",if(sum(QUERY(IMPORTRANGE(""https://docs.google.com/spreadsheets/d/1EcLIvUgMoBC5as4ikW0wuQsGH5yVZ6cQ1y16qEfgPnk"",""BD M Sangrias!a:i""),""select Col6 whe"&amp;"re Col7 = 'Caixa Atendimento' and Col9 = '""&amp;K104&amp;""' and Col6 = ""&amp;M104&amp;"" and Col4 = date '""&amp;YEAR(C104)&amp;""-""&amp;MONTH(C104)&amp;""-""&amp;DAY(C104)&amp;""'""))&gt;0,""Caixa Atendimento"",""Caixa Sangria"")),""""),""Caixa Sangria"")"),"#REF!")</f>
        <v>#REF!</v>
      </c>
      <c r="M104" s="185">
        <f>IFERROR(__xludf.DUMMYFUNCTION("ifna(VALUE(REGEXEXTRACT(E104,""[0-9.]+[,]+[0-9]+"")))"),900.0)</f>
        <v>900</v>
      </c>
      <c r="N104" s="226"/>
      <c r="O104" s="227"/>
      <c r="P104" s="220"/>
      <c r="Q104" s="228" t="str">
        <f t="shared" si="2"/>
        <v/>
      </c>
      <c r="R104" s="220" t="str">
        <f t="shared" si="3"/>
        <v/>
      </c>
      <c r="S104" s="218" t="str">
        <f t="shared" si="1"/>
        <v/>
      </c>
      <c r="T104" s="185"/>
      <c r="U104" s="185"/>
      <c r="V104" s="185"/>
    </row>
    <row r="105" ht="14.25" customHeight="1">
      <c r="A105" s="178"/>
      <c r="B105" s="12">
        <v>1574170.0</v>
      </c>
      <c r="C105" s="13">
        <v>45853.74586805556</v>
      </c>
      <c r="D105" s="179" t="s">
        <v>81</v>
      </c>
      <c r="E105" s="180" t="s">
        <v>5712</v>
      </c>
      <c r="F105" s="181"/>
      <c r="G105" s="179" t="s">
        <v>193</v>
      </c>
      <c r="H105" s="190"/>
      <c r="I105" s="190"/>
      <c r="J105" s="187" t="s">
        <v>3151</v>
      </c>
      <c r="K105" s="187"/>
      <c r="L105" s="184" t="str">
        <f>IFERROR(__xludf.DUMMYFUNCTION("ifna(IF(and(D105=""Saída"",J105=""Sangria""),if(sum(QUERY(IMPORTRANGE(""https://docs.google.com/spreadsheets/d/1E4szPcLzsqlw4uyBAoJ61L1ChCgpz4wVP8tHfHW1g_c"",""BD M Sangrias!a:i""),""select Col6 where Col7 = 'Depositada' and Col9 = '""&amp;K105&amp;""' and Col6 ="&amp;" ""&amp;M105&amp;"" and Col4 = date '""&amp;YEAR(C105)&amp;""-""&amp;MONTH(C105)&amp;""-""&amp;DAY(C105)&amp;""'""))&gt;0,""Depositada"",if(sum(QUERY(IMPORTRANGE(""https://docs.google.com/spreadsheets/d/1EcLIvUgMoBC5as4ikW0wuQsGH5yVZ6cQ1y16qEfgPnk"",""BD M Sangrias!a:i""),""select Col6 whe"&amp;"re Col7 = 'Caixa Atendimento' and Col9 = '""&amp;K105&amp;""' and Col6 = ""&amp;M105&amp;"" and Col4 = date '""&amp;YEAR(C105)&amp;""-""&amp;MONTH(C105)&amp;""-""&amp;DAY(C105)&amp;""'""))&gt;0,""Caixa Atendimento"",""Caixa Sangria"")),""""),""Caixa Sangria"")"),"")</f>
        <v/>
      </c>
      <c r="M105" s="185">
        <f>IFERROR(__xludf.DUMMYFUNCTION("ifna(VALUE(REGEXEXTRACT(E105,""[0-9.]+[,]+[0-9]+"")))"),66.94)</f>
        <v>66.94</v>
      </c>
      <c r="N105" s="229"/>
      <c r="O105" s="230"/>
      <c r="P105" s="221"/>
      <c r="Q105" s="231" t="str">
        <f t="shared" si="2"/>
        <v/>
      </c>
      <c r="R105" s="221" t="str">
        <f t="shared" si="3"/>
        <v/>
      </c>
      <c r="S105" s="218" t="str">
        <f t="shared" si="1"/>
        <v/>
      </c>
      <c r="T105" s="185"/>
      <c r="U105" s="185"/>
      <c r="V105" s="185"/>
    </row>
    <row r="106" ht="14.25" customHeight="1">
      <c r="A106" s="178"/>
      <c r="B106" s="12">
        <v>1574183.0</v>
      </c>
      <c r="C106" s="13">
        <v>45853.74835648148</v>
      </c>
      <c r="D106" s="179" t="s">
        <v>152</v>
      </c>
      <c r="E106" s="180" t="s">
        <v>823</v>
      </c>
      <c r="F106" s="181"/>
      <c r="G106" s="179" t="s">
        <v>5722</v>
      </c>
      <c r="H106" s="190"/>
      <c r="I106" s="190"/>
      <c r="J106" s="199" t="s">
        <v>3151</v>
      </c>
      <c r="K106" s="187"/>
      <c r="L106" s="184" t="str">
        <f>IFERROR(__xludf.DUMMYFUNCTION("ifna(IF(and(D106=""Saída"",J106=""Sangria""),if(sum(QUERY(IMPORTRANGE(""https://docs.google.com/spreadsheets/d/1E4szPcLzsqlw4uyBAoJ61L1ChCgpz4wVP8tHfHW1g_c"",""BD M Sangrias!a:i""),""select Col6 where Col7 = 'Depositada' and Col9 = '""&amp;K106&amp;""' and Col6 ="&amp;" ""&amp;M106&amp;"" and Col4 = date '""&amp;YEAR(C106)&amp;""-""&amp;MONTH(C106)&amp;""-""&amp;DAY(C106)&amp;""'""))&gt;0,""Depositada"",if(sum(QUERY(IMPORTRANGE(""https://docs.google.com/spreadsheets/d/1EcLIvUgMoBC5as4ikW0wuQsGH5yVZ6cQ1y16qEfgPnk"",""BD M Sangrias!a:i""),""select Col6 whe"&amp;"re Col7 = 'Caixa Atendimento' and Col9 = '""&amp;K106&amp;""' and Col6 = ""&amp;M106&amp;"" and Col4 = date '""&amp;YEAR(C106)&amp;""-""&amp;MONTH(C106)&amp;""-""&amp;DAY(C106)&amp;""'""))&gt;0,""Caixa Atendimento"",""Caixa Sangria"")),""""),""Caixa Sangria"")"),"")</f>
        <v/>
      </c>
      <c r="M106" s="185">
        <f>IFERROR(__xludf.DUMMYFUNCTION("ifna(VALUE(REGEXEXTRACT(E106,""[0-9.]+[,]+[0-9]+"")))"),120.0)</f>
        <v>120</v>
      </c>
      <c r="N106" s="226"/>
      <c r="O106" s="227"/>
      <c r="P106" s="220"/>
      <c r="Q106" s="228" t="str">
        <f t="shared" si="2"/>
        <v/>
      </c>
      <c r="R106" s="220" t="str">
        <f t="shared" si="3"/>
        <v/>
      </c>
      <c r="S106" s="218" t="str">
        <f t="shared" si="1"/>
        <v/>
      </c>
      <c r="T106" s="185"/>
      <c r="U106" s="185"/>
      <c r="V106" s="185"/>
    </row>
    <row r="107" ht="14.25" customHeight="1">
      <c r="A107" s="178"/>
      <c r="B107" s="12">
        <v>1574207.0</v>
      </c>
      <c r="C107" s="13">
        <v>45853.75597222222</v>
      </c>
      <c r="D107" s="179" t="s">
        <v>81</v>
      </c>
      <c r="E107" s="180" t="s">
        <v>590</v>
      </c>
      <c r="F107" s="181"/>
      <c r="G107" s="179" t="s">
        <v>5055</v>
      </c>
      <c r="H107" s="190"/>
      <c r="I107" s="190"/>
      <c r="J107" s="187" t="s">
        <v>2735</v>
      </c>
      <c r="K107" s="187" t="s">
        <v>2018</v>
      </c>
      <c r="L107" s="184" t="str">
        <f>IFERROR(__xludf.DUMMYFUNCTION("ifna(IF(and(D107=""Saída"",J107=""Sangria""),if(sum(QUERY(IMPORTRANGE(""https://docs.google.com/spreadsheets/d/1E4szPcLzsqlw4uyBAoJ61L1ChCgpz4wVP8tHfHW1g_c"",""BD M Sangrias!a:i""),""select Col6 where Col7 = 'Depositada' and Col9 = '""&amp;K107&amp;""' and Col6 ="&amp;" ""&amp;M107&amp;"" and Col4 = date '""&amp;YEAR(C107)&amp;""-""&amp;MONTH(C107)&amp;""-""&amp;DAY(C107)&amp;""'""))&gt;0,""Depositada"",if(sum(QUERY(IMPORTRANGE(""https://docs.google.com/spreadsheets/d/1EcLIvUgMoBC5as4ikW0wuQsGH5yVZ6cQ1y16qEfgPnk"",""BD M Sangrias!a:i""),""select Col6 whe"&amp;"re Col7 = 'Caixa Atendimento' and Col9 = '""&amp;K107&amp;""' and Col6 = ""&amp;M107&amp;"" and Col4 = date '""&amp;YEAR(C107)&amp;""-""&amp;MONTH(C107)&amp;""-""&amp;DAY(C107)&amp;""'""))&gt;0,""Caixa Atendimento"",""Caixa Sangria"")),""""),""Caixa Sangria"")"),"#REF!")</f>
        <v>#REF!</v>
      </c>
      <c r="M107" s="185">
        <f>IFERROR(__xludf.DUMMYFUNCTION("ifna(VALUE(REGEXEXTRACT(E107,""[0-9.]+[,]+[0-9]+"")))"),350.0)</f>
        <v>350</v>
      </c>
      <c r="N107" s="229"/>
      <c r="O107" s="221"/>
      <c r="P107" s="221"/>
      <c r="Q107" s="231" t="str">
        <f t="shared" si="2"/>
        <v/>
      </c>
      <c r="R107" s="221" t="str">
        <f t="shared" si="3"/>
        <v/>
      </c>
      <c r="S107" s="218" t="str">
        <f t="shared" si="1"/>
        <v/>
      </c>
      <c r="T107" s="185"/>
      <c r="U107" s="185"/>
      <c r="V107" s="185"/>
    </row>
    <row r="108" ht="14.25" customHeight="1">
      <c r="A108" s="178"/>
      <c r="B108" s="12">
        <v>1574924.0</v>
      </c>
      <c r="C108" s="13">
        <v>45853.96555555556</v>
      </c>
      <c r="D108" s="179" t="s">
        <v>81</v>
      </c>
      <c r="E108" s="180" t="s">
        <v>127</v>
      </c>
      <c r="F108" s="188"/>
      <c r="G108" s="179" t="s">
        <v>3104</v>
      </c>
      <c r="H108" s="190"/>
      <c r="I108" s="190"/>
      <c r="J108" s="187" t="s">
        <v>2735</v>
      </c>
      <c r="K108" s="187" t="s">
        <v>1894</v>
      </c>
      <c r="L108" s="184" t="str">
        <f>IFERROR(__xludf.DUMMYFUNCTION("ifna(IF(and(D108=""Saída"",J108=""Sangria""),if(sum(QUERY(IMPORTRANGE(""https://docs.google.com/spreadsheets/d/1E4szPcLzsqlw4uyBAoJ61L1ChCgpz4wVP8tHfHW1g_c"",""BD M Sangrias!a:i""),""select Col6 where Col7 = 'Depositada' and Col9 = '""&amp;K108&amp;""' and Col6 ="&amp;" ""&amp;M108&amp;"" and Col4 = date '""&amp;YEAR(C108)&amp;""-""&amp;MONTH(C108)&amp;""-""&amp;DAY(C108)&amp;""'""))&gt;0,""Depositada"",if(sum(QUERY(IMPORTRANGE(""https://docs.google.com/spreadsheets/d/1EcLIvUgMoBC5as4ikW0wuQsGH5yVZ6cQ1y16qEfgPnk"",""BD M Sangrias!a:i""),""select Col6 whe"&amp;"re Col7 = 'Caixa Atendimento' and Col9 = '""&amp;K108&amp;""' and Col6 = ""&amp;M108&amp;"" and Col4 = date '""&amp;YEAR(C108)&amp;""-""&amp;MONTH(C108)&amp;""-""&amp;DAY(C108)&amp;""'""))&gt;0,""Caixa Atendimento"",""Caixa Sangria"")),""""),""Caixa Sangria"")"),"#REF!")</f>
        <v>#REF!</v>
      </c>
      <c r="M108" s="185">
        <f>IFERROR(__xludf.DUMMYFUNCTION("ifna(VALUE(REGEXEXTRACT(E108,""[0-9.]+[,]+[0-9]+"")))"),250.0)</f>
        <v>250</v>
      </c>
      <c r="N108" s="226"/>
      <c r="O108" s="220"/>
      <c r="P108" s="220"/>
      <c r="Q108" s="228" t="str">
        <f t="shared" si="2"/>
        <v/>
      </c>
      <c r="R108" s="220" t="str">
        <f t="shared" si="3"/>
        <v/>
      </c>
      <c r="S108" s="218" t="str">
        <f t="shared" si="1"/>
        <v/>
      </c>
      <c r="T108" s="185"/>
      <c r="U108" s="185"/>
      <c r="V108" s="185"/>
    </row>
    <row r="109" ht="14.25" customHeight="1">
      <c r="A109" s="178"/>
      <c r="B109" s="12">
        <v>1575294.0</v>
      </c>
      <c r="C109" s="13">
        <v>45854.64219907407</v>
      </c>
      <c r="D109" s="179" t="s">
        <v>152</v>
      </c>
      <c r="E109" s="180" t="s">
        <v>5750</v>
      </c>
      <c r="F109" s="181"/>
      <c r="G109" s="179" t="s">
        <v>267</v>
      </c>
      <c r="H109" s="190"/>
      <c r="I109" s="190"/>
      <c r="J109" s="187" t="s">
        <v>2669</v>
      </c>
      <c r="K109" s="187"/>
      <c r="L109" s="184" t="str">
        <f>IFERROR(__xludf.DUMMYFUNCTION("ifna(IF(and(D109=""Saída"",J109=""Sangria""),if(sum(QUERY(IMPORTRANGE(""https://docs.google.com/spreadsheets/d/1E4szPcLzsqlw4uyBAoJ61L1ChCgpz4wVP8tHfHW1g_c"",""BD M Sangrias!a:i""),""select Col6 where Col7 = 'Depositada' and Col9 = '""&amp;K109&amp;""' and Col6 ="&amp;" ""&amp;M109&amp;"" and Col4 = date '""&amp;YEAR(C109)&amp;""-""&amp;MONTH(C109)&amp;""-""&amp;DAY(C109)&amp;""'""))&gt;0,""Depositada"",if(sum(QUERY(IMPORTRANGE(""https://docs.google.com/spreadsheets/d/1EcLIvUgMoBC5as4ikW0wuQsGH5yVZ6cQ1y16qEfgPnk"",""BD M Sangrias!a:i""),""select Col6 whe"&amp;"re Col7 = 'Caixa Atendimento' and Col9 = '""&amp;K109&amp;""' and Col6 = ""&amp;M109&amp;"" and Col4 = date '""&amp;YEAR(C109)&amp;""-""&amp;MONTH(C109)&amp;""-""&amp;DAY(C109)&amp;""'""))&gt;0,""Caixa Atendimento"",""Caixa Sangria"")),""""),""Caixa Sangria"")"),"")</f>
        <v/>
      </c>
      <c r="M109" s="185">
        <f>IFERROR(__xludf.DUMMYFUNCTION("ifna(VALUE(REGEXEXTRACT(E109,""[0-9.]+[,]+[0-9]+"")))"),67.2)</f>
        <v>67.2</v>
      </c>
      <c r="N109" s="229"/>
      <c r="O109" s="221"/>
      <c r="P109" s="221"/>
      <c r="Q109" s="231" t="str">
        <f t="shared" si="2"/>
        <v/>
      </c>
      <c r="R109" s="221" t="str">
        <f t="shared" si="3"/>
        <v/>
      </c>
      <c r="S109" s="218" t="str">
        <f t="shared" si="1"/>
        <v/>
      </c>
      <c r="T109" s="185"/>
      <c r="U109" s="185"/>
      <c r="V109" s="185"/>
    </row>
    <row r="110" ht="14.25" customHeight="1">
      <c r="A110" s="178"/>
      <c r="B110" s="12">
        <v>1575735.0</v>
      </c>
      <c r="C110" s="13">
        <v>45854.751296296294</v>
      </c>
      <c r="D110" s="179" t="s">
        <v>81</v>
      </c>
      <c r="E110" s="180" t="s">
        <v>5759</v>
      </c>
      <c r="F110" s="181"/>
      <c r="G110" s="179" t="s">
        <v>5761</v>
      </c>
      <c r="H110" s="190"/>
      <c r="I110" s="190"/>
      <c r="J110" s="187" t="s">
        <v>1782</v>
      </c>
      <c r="K110" s="187"/>
      <c r="L110" s="184" t="str">
        <f>IFERROR(__xludf.DUMMYFUNCTION("ifna(IF(and(D110=""Saída"",J110=""Sangria""),if(sum(QUERY(IMPORTRANGE(""https://docs.google.com/spreadsheets/d/1E4szPcLzsqlw4uyBAoJ61L1ChCgpz4wVP8tHfHW1g_c"",""BD M Sangrias!a:i""),""select Col6 where Col7 = 'Depositada' and Col9 = '""&amp;K110&amp;""' and Col6 ="&amp;" ""&amp;M110&amp;"" and Col4 = date '""&amp;YEAR(C110)&amp;""-""&amp;MONTH(C110)&amp;""-""&amp;DAY(C110)&amp;""'""))&gt;0,""Depositada"",if(sum(QUERY(IMPORTRANGE(""https://docs.google.com/spreadsheets/d/1EcLIvUgMoBC5as4ikW0wuQsGH5yVZ6cQ1y16qEfgPnk"",""BD M Sangrias!a:i""),""select Col6 whe"&amp;"re Col7 = 'Caixa Atendimento' and Col9 = '""&amp;K110&amp;""' and Col6 = ""&amp;M110&amp;"" and Col4 = date '""&amp;YEAR(C110)&amp;""-""&amp;MONTH(C110)&amp;""-""&amp;DAY(C110)&amp;""'""))&gt;0,""Caixa Atendimento"",""Caixa Sangria"")),""""),""Caixa Sangria"")"),"")</f>
        <v/>
      </c>
      <c r="M110" s="185">
        <f>IFERROR(__xludf.DUMMYFUNCTION("ifna(VALUE(REGEXEXTRACT(E110,""[0-9.]+[,]+[0-9]+"")))"),57.0)</f>
        <v>57</v>
      </c>
      <c r="N110" s="226"/>
      <c r="O110" s="220"/>
      <c r="P110" s="220"/>
      <c r="Q110" s="228" t="str">
        <f t="shared" si="2"/>
        <v/>
      </c>
      <c r="R110" s="220" t="str">
        <f t="shared" si="3"/>
        <v/>
      </c>
      <c r="S110" s="218" t="str">
        <f t="shared" si="1"/>
        <v/>
      </c>
      <c r="T110" s="185"/>
      <c r="U110" s="185"/>
      <c r="V110" s="185"/>
    </row>
    <row r="111" ht="14.25" customHeight="1">
      <c r="A111" s="178"/>
      <c r="B111" s="12">
        <v>1576492.0</v>
      </c>
      <c r="C111" s="13">
        <v>45854.96231481482</v>
      </c>
      <c r="D111" s="179" t="s">
        <v>81</v>
      </c>
      <c r="E111" s="180" t="s">
        <v>1228</v>
      </c>
      <c r="F111" s="188"/>
      <c r="G111" s="179" t="s">
        <v>5055</v>
      </c>
      <c r="H111" s="190"/>
      <c r="I111" s="190"/>
      <c r="J111" s="187" t="s">
        <v>2735</v>
      </c>
      <c r="K111" s="187" t="s">
        <v>2018</v>
      </c>
      <c r="L111" s="184" t="str">
        <f>IFERROR(__xludf.DUMMYFUNCTION("ifna(IF(and(D111=""Saída"",J111=""Sangria""),if(sum(QUERY(IMPORTRANGE(""https://docs.google.com/spreadsheets/d/1E4szPcLzsqlw4uyBAoJ61L1ChCgpz4wVP8tHfHW1g_c"",""BD M Sangrias!a:i""),""select Col6 where Col7 = 'Depositada' and Col9 = '""&amp;K111&amp;""' and Col6 ="&amp;" ""&amp;M111&amp;"" and Col4 = date '""&amp;YEAR(C111)&amp;""-""&amp;MONTH(C111)&amp;""-""&amp;DAY(C111)&amp;""'""))&gt;0,""Depositada"",if(sum(QUERY(IMPORTRANGE(""https://docs.google.com/spreadsheets/d/1EcLIvUgMoBC5as4ikW0wuQsGH5yVZ6cQ1y16qEfgPnk"",""BD M Sangrias!a:i""),""select Col6 whe"&amp;"re Col7 = 'Caixa Atendimento' and Col9 = '""&amp;K111&amp;""' and Col6 = ""&amp;M111&amp;"" and Col4 = date '""&amp;YEAR(C111)&amp;""-""&amp;MONTH(C111)&amp;""-""&amp;DAY(C111)&amp;""'""))&gt;0,""Caixa Atendimento"",""Caixa Sangria"")),""""),""Caixa Sangria"")"),"#REF!")</f>
        <v>#REF!</v>
      </c>
      <c r="M111" s="185">
        <f>IFERROR(__xludf.DUMMYFUNCTION("ifna(VALUE(REGEXEXTRACT(E111,""[0-9.]+[,]+[0-9]+"")))"),950.0)</f>
        <v>950</v>
      </c>
      <c r="N111" s="229"/>
      <c r="O111" s="221"/>
      <c r="P111" s="221"/>
      <c r="Q111" s="231" t="str">
        <f t="shared" si="2"/>
        <v/>
      </c>
      <c r="R111" s="221" t="str">
        <f t="shared" si="3"/>
        <v/>
      </c>
      <c r="S111" s="218" t="str">
        <f t="shared" si="1"/>
        <v/>
      </c>
      <c r="T111" s="185"/>
      <c r="U111" s="185"/>
      <c r="V111" s="185"/>
    </row>
    <row r="112" ht="14.25" customHeight="1">
      <c r="A112" s="178"/>
      <c r="B112" s="12">
        <v>1577124.0</v>
      </c>
      <c r="C112" s="13">
        <v>45855.71859953704</v>
      </c>
      <c r="D112" s="179" t="s">
        <v>81</v>
      </c>
      <c r="E112" s="180" t="s">
        <v>5782</v>
      </c>
      <c r="F112" s="181"/>
      <c r="G112" s="179" t="s">
        <v>5784</v>
      </c>
      <c r="H112" s="190"/>
      <c r="I112" s="190"/>
      <c r="J112" s="187" t="s">
        <v>3151</v>
      </c>
      <c r="K112" s="187"/>
      <c r="L112" s="184" t="str">
        <f>IFERROR(__xludf.DUMMYFUNCTION("ifna(IF(and(D112=""Saída"",J112=""Sangria""),if(sum(QUERY(IMPORTRANGE(""https://docs.google.com/spreadsheets/d/1E4szPcLzsqlw4uyBAoJ61L1ChCgpz4wVP8tHfHW1g_c"",""BD M Sangrias!a:i""),""select Col6 where Col7 = 'Depositada' and Col9 = '""&amp;K112&amp;""' and Col6 ="&amp;" ""&amp;M112&amp;"" and Col4 = date '""&amp;YEAR(C112)&amp;""-""&amp;MONTH(C112)&amp;""-""&amp;DAY(C112)&amp;""'""))&gt;0,""Depositada"",if(sum(QUERY(IMPORTRANGE(""https://docs.google.com/spreadsheets/d/1EcLIvUgMoBC5as4ikW0wuQsGH5yVZ6cQ1y16qEfgPnk"",""BD M Sangrias!a:i""),""select Col6 whe"&amp;"re Col7 = 'Caixa Atendimento' and Col9 = '""&amp;K112&amp;""' and Col6 = ""&amp;M112&amp;"" and Col4 = date '""&amp;YEAR(C112)&amp;""-""&amp;MONTH(C112)&amp;""-""&amp;DAY(C112)&amp;""'""))&gt;0,""Caixa Atendimento"",""Caixa Sangria"")),""""),""Caixa Sangria"")"),"")</f>
        <v/>
      </c>
      <c r="M112" s="185">
        <f>IFERROR(__xludf.DUMMYFUNCTION("ifna(VALUE(REGEXEXTRACT(E112,""[0-9.]+[,]+[0-9]+"")))"),49.98)</f>
        <v>49.98</v>
      </c>
      <c r="N112" s="226"/>
      <c r="O112" s="220"/>
      <c r="P112" s="220"/>
      <c r="Q112" s="228" t="str">
        <f t="shared" si="2"/>
        <v/>
      </c>
      <c r="R112" s="220" t="str">
        <f t="shared" si="3"/>
        <v/>
      </c>
      <c r="S112" s="218" t="str">
        <f t="shared" si="1"/>
        <v/>
      </c>
      <c r="T112" s="185"/>
      <c r="U112" s="185"/>
      <c r="V112" s="185"/>
    </row>
    <row r="113" ht="14.25" customHeight="1">
      <c r="A113" s="178"/>
      <c r="B113" s="12">
        <v>1577126.0</v>
      </c>
      <c r="C113" s="13">
        <v>45855.71917824074</v>
      </c>
      <c r="D113" s="179" t="s">
        <v>81</v>
      </c>
      <c r="E113" s="180" t="s">
        <v>5796</v>
      </c>
      <c r="F113" s="188"/>
      <c r="G113" s="179" t="s">
        <v>193</v>
      </c>
      <c r="H113" s="190"/>
      <c r="I113" s="190"/>
      <c r="J113" s="187" t="s">
        <v>3151</v>
      </c>
      <c r="K113" s="187"/>
      <c r="L113" s="184" t="str">
        <f>IFERROR(__xludf.DUMMYFUNCTION("ifna(IF(and(D113=""Saída"",J113=""Sangria""),if(sum(QUERY(IMPORTRANGE(""https://docs.google.com/spreadsheets/d/1E4szPcLzsqlw4uyBAoJ61L1ChCgpz4wVP8tHfHW1g_c"",""BD M Sangrias!a:i""),""select Col6 where Col7 = 'Depositada' and Col9 = '""&amp;K113&amp;""' and Col6 ="&amp;" ""&amp;M113&amp;"" and Col4 = date '""&amp;YEAR(C113)&amp;""-""&amp;MONTH(C113)&amp;""-""&amp;DAY(C113)&amp;""'""))&gt;0,""Depositada"",if(sum(QUERY(IMPORTRANGE(""https://docs.google.com/spreadsheets/d/1EcLIvUgMoBC5as4ikW0wuQsGH5yVZ6cQ1y16qEfgPnk"",""BD M Sangrias!a:i""),""select Col6 whe"&amp;"re Col7 = 'Caixa Atendimento' and Col9 = '""&amp;K113&amp;""' and Col6 = ""&amp;M113&amp;"" and Col4 = date '""&amp;YEAR(C113)&amp;""-""&amp;MONTH(C113)&amp;""-""&amp;DAY(C113)&amp;""'""))&gt;0,""Caixa Atendimento"",""Caixa Sangria"")),""""),""Caixa Sangria"")"),"")</f>
        <v/>
      </c>
      <c r="M113" s="185">
        <f>IFERROR(__xludf.DUMMYFUNCTION("ifna(VALUE(REGEXEXTRACT(E113,""[0-9.]+[,]+[0-9]+"")))"),46.88)</f>
        <v>46.88</v>
      </c>
      <c r="N113" s="229"/>
      <c r="O113" s="221"/>
      <c r="P113" s="221"/>
      <c r="Q113" s="231" t="str">
        <f t="shared" si="2"/>
        <v/>
      </c>
      <c r="R113" s="221" t="str">
        <f t="shared" si="3"/>
        <v/>
      </c>
      <c r="S113" s="218" t="str">
        <f t="shared" si="1"/>
        <v/>
      </c>
      <c r="T113" s="185"/>
      <c r="U113" s="185"/>
      <c r="V113" s="185"/>
    </row>
    <row r="114" ht="14.25" customHeight="1">
      <c r="A114" s="178"/>
      <c r="B114" s="12">
        <v>1579151.0</v>
      </c>
      <c r="C114" s="13">
        <v>45856.89828703704</v>
      </c>
      <c r="D114" s="179" t="s">
        <v>81</v>
      </c>
      <c r="E114" s="180" t="s">
        <v>5808</v>
      </c>
      <c r="F114" s="181"/>
      <c r="G114" s="179" t="s">
        <v>5810</v>
      </c>
      <c r="H114" s="190"/>
      <c r="I114" s="190"/>
      <c r="J114" s="187" t="s">
        <v>2019</v>
      </c>
      <c r="K114" s="187" t="s">
        <v>2117</v>
      </c>
      <c r="L114" s="184" t="str">
        <f>IFERROR(__xludf.DUMMYFUNCTION("ifna(IF(and(D114=""Saída"",J114=""Sangria""),if(sum(QUERY(IMPORTRANGE(""https://docs.google.com/spreadsheets/d/1E4szPcLzsqlw4uyBAoJ61L1ChCgpz4wVP8tHfHW1g_c"",""BD M Sangrias!a:i""),""select Col6 where Col7 = 'Depositada' and Col9 = '""&amp;K114&amp;""' and Col6 ="&amp;" ""&amp;M114&amp;"" and Col4 = date '""&amp;YEAR(C114)&amp;""-""&amp;MONTH(C114)&amp;""-""&amp;DAY(C114)&amp;""'""))&gt;0,""Depositada"",if(sum(QUERY(IMPORTRANGE(""https://docs.google.com/spreadsheets/d/1EcLIvUgMoBC5as4ikW0wuQsGH5yVZ6cQ1y16qEfgPnk"",""BD M Sangrias!a:i""),""select Col6 whe"&amp;"re Col7 = 'Caixa Atendimento' and Col9 = '""&amp;K114&amp;""' and Col6 = ""&amp;M114&amp;"" and Col4 = date '""&amp;YEAR(C114)&amp;""-""&amp;MONTH(C114)&amp;""-""&amp;DAY(C114)&amp;""'""))&gt;0,""Caixa Atendimento"",""Caixa Sangria"")),""""),""Caixa Sangria"")"),"")</f>
        <v/>
      </c>
      <c r="M114" s="185">
        <f>IFERROR(__xludf.DUMMYFUNCTION("ifna(VALUE(REGEXEXTRACT(E114,""[0-9.]+[,]+[0-9]+"")))"),12.98)</f>
        <v>12.98</v>
      </c>
      <c r="N114" s="226"/>
      <c r="O114" s="220"/>
      <c r="P114" s="220"/>
      <c r="Q114" s="228" t="str">
        <f t="shared" si="2"/>
        <v/>
      </c>
      <c r="R114" s="220" t="str">
        <f t="shared" si="3"/>
        <v/>
      </c>
      <c r="S114" s="218" t="str">
        <f t="shared" si="1"/>
        <v/>
      </c>
      <c r="T114" s="185"/>
      <c r="U114" s="185"/>
      <c r="V114" s="185"/>
    </row>
    <row r="115" ht="14.25" customHeight="1">
      <c r="A115" s="178"/>
      <c r="B115" s="12">
        <v>1579154.0</v>
      </c>
      <c r="C115" s="13">
        <v>45856.89912037037</v>
      </c>
      <c r="D115" s="179" t="s">
        <v>81</v>
      </c>
      <c r="E115" s="180" t="s">
        <v>5820</v>
      </c>
      <c r="F115" s="181"/>
      <c r="G115" s="179" t="s">
        <v>5821</v>
      </c>
      <c r="H115" s="190"/>
      <c r="I115" s="190"/>
      <c r="J115" s="187" t="s">
        <v>2438</v>
      </c>
      <c r="K115" s="187"/>
      <c r="L115" s="184" t="str">
        <f>IFERROR(__xludf.DUMMYFUNCTION("ifna(IF(and(D115=""Saída"",J115=""Sangria""),if(sum(QUERY(IMPORTRANGE(""https://docs.google.com/spreadsheets/d/1E4szPcLzsqlw4uyBAoJ61L1ChCgpz4wVP8tHfHW1g_c"",""BD M Sangrias!a:i""),""select Col6 where Col7 = 'Depositada' and Col9 = '""&amp;K115&amp;""' and Col6 ="&amp;" ""&amp;M115&amp;"" and Col4 = date '""&amp;YEAR(C115)&amp;""-""&amp;MONTH(C115)&amp;""-""&amp;DAY(C115)&amp;""'""))&gt;0,""Depositada"",if(sum(QUERY(IMPORTRANGE(""https://docs.google.com/spreadsheets/d/1EcLIvUgMoBC5as4ikW0wuQsGH5yVZ6cQ1y16qEfgPnk"",""BD M Sangrias!a:i""),""select Col6 whe"&amp;"re Col7 = 'Caixa Atendimento' and Col9 = '""&amp;K115&amp;""' and Col6 = ""&amp;M115&amp;"" and Col4 = date '""&amp;YEAR(C115)&amp;""-""&amp;MONTH(C115)&amp;""-""&amp;DAY(C115)&amp;""'""))&gt;0,""Caixa Atendimento"",""Caixa Sangria"")),""""),""Caixa Sangria"")"),"")</f>
        <v/>
      </c>
      <c r="M115" s="185">
        <f>IFERROR(__xludf.DUMMYFUNCTION("ifna(VALUE(REGEXEXTRACT(E115,""[0-9.]+[,]+[0-9]+"")))"),18.05)</f>
        <v>18.05</v>
      </c>
      <c r="N115" s="229"/>
      <c r="O115" s="221"/>
      <c r="P115" s="221"/>
      <c r="Q115" s="231" t="str">
        <f t="shared" si="2"/>
        <v/>
      </c>
      <c r="R115" s="221" t="str">
        <f t="shared" si="3"/>
        <v/>
      </c>
      <c r="S115" s="218" t="str">
        <f t="shared" si="1"/>
        <v/>
      </c>
      <c r="T115" s="185"/>
      <c r="U115" s="185"/>
      <c r="V115" s="185"/>
    </row>
    <row r="116" ht="14.25" customHeight="1">
      <c r="A116" s="178"/>
      <c r="B116" s="12">
        <v>1579381.0</v>
      </c>
      <c r="C116" s="13">
        <v>45856.943773148145</v>
      </c>
      <c r="D116" s="179" t="s">
        <v>81</v>
      </c>
      <c r="E116" s="180" t="s">
        <v>162</v>
      </c>
      <c r="F116" s="181"/>
      <c r="G116" s="179" t="s">
        <v>5055</v>
      </c>
      <c r="H116" s="190"/>
      <c r="I116" s="190"/>
      <c r="J116" s="187" t="s">
        <v>2735</v>
      </c>
      <c r="K116" s="187" t="s">
        <v>2018</v>
      </c>
      <c r="L116" s="184" t="str">
        <f>IFERROR(__xludf.DUMMYFUNCTION("ifna(IF(and(D116=""Saída"",J116=""Sangria""),if(sum(QUERY(IMPORTRANGE(""https://docs.google.com/spreadsheets/d/1E4szPcLzsqlw4uyBAoJ61L1ChCgpz4wVP8tHfHW1g_c"",""BD M Sangrias!a:i""),""select Col6 where Col7 = 'Depositada' and Col9 = '""&amp;K116&amp;""' and Col6 ="&amp;" ""&amp;M116&amp;"" and Col4 = date '""&amp;YEAR(C116)&amp;""-""&amp;MONTH(C116)&amp;""-""&amp;DAY(C116)&amp;""'""))&gt;0,""Depositada"",if(sum(QUERY(IMPORTRANGE(""https://docs.google.com/spreadsheets/d/1EcLIvUgMoBC5as4ikW0wuQsGH5yVZ6cQ1y16qEfgPnk"",""BD M Sangrias!a:i""),""select Col6 whe"&amp;"re Col7 = 'Caixa Atendimento' and Col9 = '""&amp;K116&amp;""' and Col6 = ""&amp;M116&amp;"" and Col4 = date '""&amp;YEAR(C116)&amp;""-""&amp;MONTH(C116)&amp;""-""&amp;DAY(C116)&amp;""'""))&gt;0,""Caixa Atendimento"",""Caixa Sangria"")),""""),""Caixa Sangria"")"),"#REF!")</f>
        <v>#REF!</v>
      </c>
      <c r="M116" s="185">
        <f>IFERROR(__xludf.DUMMYFUNCTION("ifna(VALUE(REGEXEXTRACT(E116,""[0-9.]+[,]+[0-9]+"")))"),150.0)</f>
        <v>150</v>
      </c>
      <c r="N116" s="226"/>
      <c r="O116" s="220"/>
      <c r="P116" s="220"/>
      <c r="Q116" s="228" t="str">
        <f t="shared" si="2"/>
        <v/>
      </c>
      <c r="R116" s="220" t="str">
        <f t="shared" si="3"/>
        <v/>
      </c>
      <c r="S116" s="218" t="str">
        <f t="shared" si="1"/>
        <v/>
      </c>
      <c r="T116" s="185"/>
      <c r="U116" s="185"/>
      <c r="V116" s="185"/>
    </row>
    <row r="117" ht="14.25" customHeight="1">
      <c r="A117" s="178"/>
      <c r="B117" s="12">
        <v>1580023.0</v>
      </c>
      <c r="C117" s="13">
        <v>45857.67396990741</v>
      </c>
      <c r="D117" s="179" t="s">
        <v>81</v>
      </c>
      <c r="E117" s="180" t="s">
        <v>5844</v>
      </c>
      <c r="F117" s="181"/>
      <c r="G117" s="179" t="s">
        <v>5845</v>
      </c>
      <c r="H117" s="190"/>
      <c r="I117" s="190"/>
      <c r="J117" s="187" t="s">
        <v>3151</v>
      </c>
      <c r="K117" s="187"/>
      <c r="L117" s="184" t="str">
        <f>IFERROR(__xludf.DUMMYFUNCTION("ifna(IF(and(D117=""Saída"",J117=""Sangria""),if(sum(QUERY(IMPORTRANGE(""https://docs.google.com/spreadsheets/d/1E4szPcLzsqlw4uyBAoJ61L1ChCgpz4wVP8tHfHW1g_c"",""BD M Sangrias!a:i""),""select Col6 where Col7 = 'Depositada' and Col9 = '""&amp;K117&amp;""' and Col6 ="&amp;" ""&amp;M117&amp;"" and Col4 = date '""&amp;YEAR(C117)&amp;""-""&amp;MONTH(C117)&amp;""-""&amp;DAY(C117)&amp;""'""))&gt;0,""Depositada"",if(sum(QUERY(IMPORTRANGE(""https://docs.google.com/spreadsheets/d/1EcLIvUgMoBC5as4ikW0wuQsGH5yVZ6cQ1y16qEfgPnk"",""BD M Sangrias!a:i""),""select Col6 whe"&amp;"re Col7 = 'Caixa Atendimento' and Col9 = '""&amp;K117&amp;""' and Col6 = ""&amp;M117&amp;"" and Col4 = date '""&amp;YEAR(C117)&amp;""-""&amp;MONTH(C117)&amp;""-""&amp;DAY(C117)&amp;""'""))&gt;0,""Caixa Atendimento"",""Caixa Sangria"")),""""),""Caixa Sangria"")"),"")</f>
        <v/>
      </c>
      <c r="M117" s="185">
        <f>IFERROR(__xludf.DUMMYFUNCTION("ifna(VALUE(REGEXEXTRACT(E117,""[0-9.]+[,]+[0-9]+"")))"),4.99)</f>
        <v>4.99</v>
      </c>
      <c r="N117" s="229"/>
      <c r="O117" s="221"/>
      <c r="P117" s="221"/>
      <c r="Q117" s="231" t="str">
        <f t="shared" si="2"/>
        <v/>
      </c>
      <c r="R117" s="221" t="str">
        <f t="shared" si="3"/>
        <v/>
      </c>
      <c r="S117" s="232" t="str">
        <f t="shared" ref="S117:S138" si="4">IFERROR(VLOOKUP(P117, $A$4:$B$18, 2, FALSE), "")</f>
        <v/>
      </c>
      <c r="T117" s="185"/>
      <c r="U117" s="185"/>
      <c r="V117" s="185"/>
    </row>
    <row r="118" ht="14.25" customHeight="1">
      <c r="A118" s="178"/>
      <c r="B118" s="12">
        <v>1580031.0</v>
      </c>
      <c r="C118" s="13">
        <v>45857.67574074074</v>
      </c>
      <c r="D118" s="179" t="s">
        <v>152</v>
      </c>
      <c r="E118" s="180" t="s">
        <v>200</v>
      </c>
      <c r="F118" s="181"/>
      <c r="G118" s="179" t="s">
        <v>5192</v>
      </c>
      <c r="H118" s="190"/>
      <c r="I118" s="190"/>
      <c r="J118" s="187" t="s">
        <v>5195</v>
      </c>
      <c r="K118" s="187"/>
      <c r="L118" s="184" t="str">
        <f>IFERROR(__xludf.DUMMYFUNCTION("ifna(IF(and(D118=""Saída"",J118=""Sangria""),if(sum(QUERY(IMPORTRANGE(""https://docs.google.com/spreadsheets/d/1E4szPcLzsqlw4uyBAoJ61L1ChCgpz4wVP8tHfHW1g_c"",""BD M Sangrias!a:i""),""select Col6 where Col7 = 'Depositada' and Col9 = '""&amp;K118&amp;""' and Col6 ="&amp;" ""&amp;M118&amp;"" and Col4 = date '""&amp;YEAR(C118)&amp;""-""&amp;MONTH(C118)&amp;""-""&amp;DAY(C118)&amp;""'""))&gt;0,""Depositada"",if(sum(QUERY(IMPORTRANGE(""https://docs.google.com/spreadsheets/d/1EcLIvUgMoBC5as4ikW0wuQsGH5yVZ6cQ1y16qEfgPnk"",""BD M Sangrias!a:i""),""select Col6 whe"&amp;"re Col7 = 'Caixa Atendimento' and Col9 = '""&amp;K118&amp;""' and Col6 = ""&amp;M118&amp;"" and Col4 = date '""&amp;YEAR(C118)&amp;""-""&amp;MONTH(C118)&amp;""-""&amp;DAY(C118)&amp;""'""))&gt;0,""Caixa Atendimento"",""Caixa Sangria"")),""""),""Caixa Sangria"")"),"")</f>
        <v/>
      </c>
      <c r="M118" s="185">
        <f>IFERROR(__xludf.DUMMYFUNCTION("ifna(VALUE(REGEXEXTRACT(E118,""[0-9.]+[,]+[0-9]+"")))"),300.0)</f>
        <v>300</v>
      </c>
      <c r="N118" s="226"/>
      <c r="O118" s="220"/>
      <c r="P118" s="220"/>
      <c r="Q118" s="228" t="str">
        <f t="shared" si="2"/>
        <v/>
      </c>
      <c r="R118" s="220" t="str">
        <f t="shared" si="3"/>
        <v/>
      </c>
      <c r="S118" s="232" t="str">
        <f t="shared" si="4"/>
        <v/>
      </c>
      <c r="T118" s="185"/>
      <c r="U118" s="185"/>
      <c r="V118" s="185"/>
    </row>
    <row r="119" ht="14.25" customHeight="1">
      <c r="A119" s="178"/>
      <c r="B119" s="12">
        <v>1580035.0</v>
      </c>
      <c r="C119" s="13">
        <v>45857.67628472222</v>
      </c>
      <c r="D119" s="179" t="s">
        <v>81</v>
      </c>
      <c r="E119" s="180" t="s">
        <v>5866</v>
      </c>
      <c r="F119" s="181"/>
      <c r="G119" s="179" t="s">
        <v>5869</v>
      </c>
      <c r="H119" s="190"/>
      <c r="I119" s="190"/>
      <c r="J119" s="187" t="s">
        <v>3151</v>
      </c>
      <c r="K119" s="187"/>
      <c r="L119" s="184" t="str">
        <f>IFERROR(__xludf.DUMMYFUNCTION("ifna(IF(and(D119=""Saída"",J119=""Sangria""),if(sum(QUERY(IMPORTRANGE(""https://docs.google.com/spreadsheets/d/1E4szPcLzsqlw4uyBAoJ61L1ChCgpz4wVP8tHfHW1g_c"",""BD M Sangrias!a:i""),""select Col6 where Col7 = 'Depositada' and Col9 = '""&amp;K119&amp;""' and Col6 ="&amp;" ""&amp;M119&amp;"" and Col4 = date '""&amp;YEAR(C119)&amp;""-""&amp;MONTH(C119)&amp;""-""&amp;DAY(C119)&amp;""'""))&gt;0,""Depositada"",if(sum(QUERY(IMPORTRANGE(""https://docs.google.com/spreadsheets/d/1EcLIvUgMoBC5as4ikW0wuQsGH5yVZ6cQ1y16qEfgPnk"",""BD M Sangrias!a:i""),""select Col6 whe"&amp;"re Col7 = 'Caixa Atendimento' and Col9 = '""&amp;K119&amp;""' and Col6 = ""&amp;M119&amp;"" and Col4 = date '""&amp;YEAR(C119)&amp;""-""&amp;MONTH(C119)&amp;""-""&amp;DAY(C119)&amp;""'""))&gt;0,""Caixa Atendimento"",""Caixa Sangria"")),""""),""Caixa Sangria"")"),"")</f>
        <v/>
      </c>
      <c r="M119" s="185">
        <f>IFERROR(__xludf.DUMMYFUNCTION("ifna(VALUE(REGEXEXTRACT(E119,""[0-9.]+[,]+[0-9]+"")))"),289.9)</f>
        <v>289.9</v>
      </c>
      <c r="N119" s="229"/>
      <c r="O119" s="221"/>
      <c r="P119" s="221"/>
      <c r="Q119" s="231" t="str">
        <f t="shared" si="2"/>
        <v/>
      </c>
      <c r="R119" s="221" t="str">
        <f t="shared" si="3"/>
        <v/>
      </c>
      <c r="S119" s="232" t="str">
        <f t="shared" si="4"/>
        <v/>
      </c>
      <c r="T119" s="185"/>
      <c r="U119" s="185"/>
      <c r="V119" s="185"/>
    </row>
    <row r="120" ht="14.25" customHeight="1">
      <c r="A120" s="178"/>
      <c r="B120" s="12">
        <v>1580200.0</v>
      </c>
      <c r="C120" s="13">
        <v>45857.718298611115</v>
      </c>
      <c r="D120" s="179" t="s">
        <v>152</v>
      </c>
      <c r="E120" s="180" t="s">
        <v>350</v>
      </c>
      <c r="F120" s="181"/>
      <c r="G120" s="179" t="s">
        <v>158</v>
      </c>
      <c r="H120" s="190"/>
      <c r="I120" s="190"/>
      <c r="J120" s="187" t="s">
        <v>2669</v>
      </c>
      <c r="K120" s="187"/>
      <c r="L120" s="184" t="str">
        <f>IFERROR(__xludf.DUMMYFUNCTION("ifna(IF(and(D120=""Saída"",J120=""Sangria""),if(sum(QUERY(IMPORTRANGE(""https://docs.google.com/spreadsheets/d/1E4szPcLzsqlw4uyBAoJ61L1ChCgpz4wVP8tHfHW1g_c"",""BD M Sangrias!a:i""),""select Col6 where Col7 = 'Depositada' and Col9 = '""&amp;K120&amp;""' and Col6 ="&amp;" ""&amp;M120&amp;"" and Col4 = date '""&amp;YEAR(C120)&amp;""-""&amp;MONTH(C120)&amp;""-""&amp;DAY(C120)&amp;""'""))&gt;0,""Depositada"",if(sum(QUERY(IMPORTRANGE(""https://docs.google.com/spreadsheets/d/1EcLIvUgMoBC5as4ikW0wuQsGH5yVZ6cQ1y16qEfgPnk"",""BD M Sangrias!a:i""),""select Col6 whe"&amp;"re Col7 = 'Caixa Atendimento' and Col9 = '""&amp;K120&amp;""' and Col6 = ""&amp;M120&amp;"" and Col4 = date '""&amp;YEAR(C120)&amp;""-""&amp;MONTH(C120)&amp;""-""&amp;DAY(C120)&amp;""'""))&gt;0,""Caixa Atendimento"",""Caixa Sangria"")),""""),""Caixa Sangria"")"),"")</f>
        <v/>
      </c>
      <c r="M120" s="185">
        <f>IFERROR(__xludf.DUMMYFUNCTION("ifna(VALUE(REGEXEXTRACT(E120,""[0-9.]+[,]+[0-9]+"")))"),12.0)</f>
        <v>12</v>
      </c>
      <c r="N120" s="226"/>
      <c r="O120" s="220"/>
      <c r="P120" s="220"/>
      <c r="Q120" s="228" t="str">
        <f t="shared" si="2"/>
        <v/>
      </c>
      <c r="R120" s="220" t="str">
        <f t="shared" si="3"/>
        <v/>
      </c>
      <c r="S120" s="232" t="str">
        <f t="shared" si="4"/>
        <v/>
      </c>
      <c r="T120" s="185"/>
      <c r="U120" s="185"/>
      <c r="V120" s="185"/>
    </row>
    <row r="121" ht="14.25" customHeight="1">
      <c r="A121" s="178"/>
      <c r="B121" s="12">
        <v>1580317.0</v>
      </c>
      <c r="C121" s="13">
        <v>45857.752384259256</v>
      </c>
      <c r="D121" s="179" t="s">
        <v>81</v>
      </c>
      <c r="E121" s="180" t="s">
        <v>485</v>
      </c>
      <c r="F121" s="181"/>
      <c r="G121" s="179" t="s">
        <v>5895</v>
      </c>
      <c r="H121" s="190"/>
      <c r="I121" s="190"/>
      <c r="J121" s="187" t="s">
        <v>1782</v>
      </c>
      <c r="K121" s="187"/>
      <c r="L121" s="184" t="str">
        <f>IFERROR(__xludf.DUMMYFUNCTION("ifna(IF(and(D121=""Saída"",J121=""Sangria""),if(sum(QUERY(IMPORTRANGE(""https://docs.google.com/spreadsheets/d/1E4szPcLzsqlw4uyBAoJ61L1ChCgpz4wVP8tHfHW1g_c"",""BD M Sangrias!a:i""),""select Col6 where Col7 = 'Depositada' and Col9 = '""&amp;K121&amp;""' and Col6 ="&amp;" ""&amp;M121&amp;"" and Col4 = date '""&amp;YEAR(C121)&amp;""-""&amp;MONTH(C121)&amp;""-""&amp;DAY(C121)&amp;""'""))&gt;0,""Depositada"",if(sum(QUERY(IMPORTRANGE(""https://docs.google.com/spreadsheets/d/1EcLIvUgMoBC5as4ikW0wuQsGH5yVZ6cQ1y16qEfgPnk"",""BD M Sangrias!a:i""),""select Col6 whe"&amp;"re Col7 = 'Caixa Atendimento' and Col9 = '""&amp;K121&amp;""' and Col6 = ""&amp;M121&amp;"" and Col4 = date '""&amp;YEAR(C121)&amp;""-""&amp;MONTH(C121)&amp;""-""&amp;DAY(C121)&amp;""'""))&gt;0,""Caixa Atendimento"",""Caixa Sangria"")),""""),""Caixa Sangria"")"),"")</f>
        <v/>
      </c>
      <c r="M121" s="185">
        <f>IFERROR(__xludf.DUMMYFUNCTION("ifna(VALUE(REGEXEXTRACT(E121,""[0-9.]+[,]+[0-9]+"")))"),60.0)</f>
        <v>60</v>
      </c>
      <c r="N121" s="229"/>
      <c r="O121" s="221"/>
      <c r="P121" s="221"/>
      <c r="Q121" s="231" t="str">
        <f t="shared" si="2"/>
        <v/>
      </c>
      <c r="R121" s="221" t="str">
        <f t="shared" si="3"/>
        <v/>
      </c>
      <c r="S121" s="232" t="str">
        <f t="shared" si="4"/>
        <v/>
      </c>
      <c r="T121" s="185"/>
      <c r="U121" s="185"/>
      <c r="V121" s="185"/>
    </row>
    <row r="122" ht="14.25" customHeight="1">
      <c r="A122" s="178"/>
      <c r="B122" s="12">
        <v>1580348.0</v>
      </c>
      <c r="C122" s="13">
        <v>45857.76047453703</v>
      </c>
      <c r="D122" s="179" t="s">
        <v>81</v>
      </c>
      <c r="E122" s="180" t="s">
        <v>5496</v>
      </c>
      <c r="F122" s="181"/>
      <c r="G122" s="179" t="s">
        <v>5356</v>
      </c>
      <c r="H122" s="190"/>
      <c r="I122" s="190"/>
      <c r="J122" s="187" t="s">
        <v>3375</v>
      </c>
      <c r="K122" s="187"/>
      <c r="L122" s="184" t="str">
        <f>IFERROR(__xludf.DUMMYFUNCTION("ifna(IF(and(D122=""Saída"",J122=""Sangria""),if(sum(QUERY(IMPORTRANGE(""https://docs.google.com/spreadsheets/d/1E4szPcLzsqlw4uyBAoJ61L1ChCgpz4wVP8tHfHW1g_c"",""BD M Sangrias!a:i""),""select Col6 where Col7 = 'Depositada' and Col9 = '""&amp;K122&amp;""' and Col6 ="&amp;" ""&amp;M122&amp;"" and Col4 = date '""&amp;YEAR(C122)&amp;""-""&amp;MONTH(C122)&amp;""-""&amp;DAY(C122)&amp;""'""))&gt;0,""Depositada"",if(sum(QUERY(IMPORTRANGE(""https://docs.google.com/spreadsheets/d/1EcLIvUgMoBC5as4ikW0wuQsGH5yVZ6cQ1y16qEfgPnk"",""BD M Sangrias!a:i""),""select Col6 whe"&amp;"re Col7 = 'Caixa Atendimento' and Col9 = '""&amp;K122&amp;""' and Col6 = ""&amp;M122&amp;"" and Col4 = date '""&amp;YEAR(C122)&amp;""-""&amp;MONTH(C122)&amp;""-""&amp;DAY(C122)&amp;""'""))&gt;0,""Caixa Atendimento"",""Caixa Sangria"")),""""),""Caixa Sangria"")"),"")</f>
        <v/>
      </c>
      <c r="M122" s="185">
        <f>IFERROR(__xludf.DUMMYFUNCTION("ifna(VALUE(REGEXEXTRACT(E122,""[0-9.]+[,]+[0-9]+"")))"),24.0)</f>
        <v>24</v>
      </c>
      <c r="N122" s="226"/>
      <c r="O122" s="220"/>
      <c r="P122" s="220"/>
      <c r="Q122" s="228" t="str">
        <f t="shared" si="2"/>
        <v/>
      </c>
      <c r="R122" s="220" t="str">
        <f t="shared" si="3"/>
        <v/>
      </c>
      <c r="S122" s="232" t="str">
        <f t="shared" si="4"/>
        <v/>
      </c>
      <c r="T122" s="185"/>
      <c r="U122" s="185"/>
      <c r="V122" s="185"/>
    </row>
    <row r="123" ht="14.25" customHeight="1">
      <c r="A123" s="178"/>
      <c r="B123" s="12">
        <v>1580803.0</v>
      </c>
      <c r="C123" s="13">
        <v>45857.887650462966</v>
      </c>
      <c r="D123" s="179" t="s">
        <v>81</v>
      </c>
      <c r="E123" s="180" t="s">
        <v>1212</v>
      </c>
      <c r="F123" s="188"/>
      <c r="G123" s="179" t="s">
        <v>5055</v>
      </c>
      <c r="H123" s="190"/>
      <c r="I123" s="190"/>
      <c r="J123" s="187" t="s">
        <v>2735</v>
      </c>
      <c r="K123" s="187" t="s">
        <v>2018</v>
      </c>
      <c r="L123" s="184" t="str">
        <f>IFERROR(__xludf.DUMMYFUNCTION("ifna(IF(and(D123=""Saída"",J123=""Sangria""),if(sum(QUERY(IMPORTRANGE(""https://docs.google.com/spreadsheets/d/1E4szPcLzsqlw4uyBAoJ61L1ChCgpz4wVP8tHfHW1g_c"",""BD M Sangrias!a:i""),""select Col6 where Col7 = 'Depositada' and Col9 = '""&amp;K123&amp;""' and Col6 ="&amp;" ""&amp;M123&amp;"" and Col4 = date '""&amp;YEAR(C123)&amp;""-""&amp;MONTH(C123)&amp;""-""&amp;DAY(C123)&amp;""'""))&gt;0,""Depositada"",if(sum(QUERY(IMPORTRANGE(""https://docs.google.com/spreadsheets/d/1EcLIvUgMoBC5as4ikW0wuQsGH5yVZ6cQ1y16qEfgPnk"",""BD M Sangrias!a:i""),""select Col6 whe"&amp;"re Col7 = 'Caixa Atendimento' and Col9 = '""&amp;K123&amp;""' and Col6 = ""&amp;M123&amp;"" and Col4 = date '""&amp;YEAR(C123)&amp;""-""&amp;MONTH(C123)&amp;""-""&amp;DAY(C123)&amp;""'""))&gt;0,""Caixa Atendimento"",""Caixa Sangria"")),""""),""Caixa Sangria"")"),"#REF!")</f>
        <v>#REF!</v>
      </c>
      <c r="M123" s="185">
        <f>IFERROR(__xludf.DUMMYFUNCTION("ifna(VALUE(REGEXEXTRACT(E123,""[0-9.]+[,]+[0-9]+"")))"),1300.0)</f>
        <v>1300</v>
      </c>
      <c r="N123" s="229"/>
      <c r="O123" s="221"/>
      <c r="P123" s="221"/>
      <c r="Q123" s="231" t="str">
        <f t="shared" si="2"/>
        <v/>
      </c>
      <c r="R123" s="221" t="str">
        <f t="shared" si="3"/>
        <v/>
      </c>
      <c r="S123" s="232" t="str">
        <f t="shared" si="4"/>
        <v/>
      </c>
      <c r="T123" s="185"/>
      <c r="U123" s="185"/>
      <c r="V123" s="185"/>
    </row>
    <row r="124" ht="14.25" customHeight="1">
      <c r="A124" s="178"/>
      <c r="B124" s="12">
        <v>1581914.0</v>
      </c>
      <c r="C124" s="13">
        <v>45858.67969907408</v>
      </c>
      <c r="D124" s="179" t="s">
        <v>152</v>
      </c>
      <c r="E124" s="180" t="s">
        <v>5924</v>
      </c>
      <c r="F124" s="181"/>
      <c r="G124" s="179" t="s">
        <v>158</v>
      </c>
      <c r="H124" s="190"/>
      <c r="I124" s="190"/>
      <c r="J124" s="187" t="s">
        <v>2669</v>
      </c>
      <c r="K124" s="187"/>
      <c r="L124" s="184" t="str">
        <f>IFERROR(__xludf.DUMMYFUNCTION("ifna(IF(and(D124=""Saída"",J124=""Sangria""),if(sum(QUERY(IMPORTRANGE(""https://docs.google.com/spreadsheets/d/1E4szPcLzsqlw4uyBAoJ61L1ChCgpz4wVP8tHfHW1g_c"",""BD M Sangrias!a:i""),""select Col6 where Col7 = 'Depositada' and Col9 = '""&amp;K124&amp;""' and Col6 ="&amp;" ""&amp;M124&amp;"" and Col4 = date '""&amp;YEAR(C124)&amp;""-""&amp;MONTH(C124)&amp;""-""&amp;DAY(C124)&amp;""'""))&gt;0,""Depositada"",if(sum(QUERY(IMPORTRANGE(""https://docs.google.com/spreadsheets/d/1EcLIvUgMoBC5as4ikW0wuQsGH5yVZ6cQ1y16qEfgPnk"",""BD M Sangrias!a:i""),""select Col6 whe"&amp;"re Col7 = 'Caixa Atendimento' and Col9 = '""&amp;K124&amp;""' and Col6 = ""&amp;M124&amp;"" and Col4 = date '""&amp;YEAR(C124)&amp;""-""&amp;MONTH(C124)&amp;""-""&amp;DAY(C124)&amp;""'""))&gt;0,""Caixa Atendimento"",""Caixa Sangria"")),""""),""Caixa Sangria"")"),"")</f>
        <v/>
      </c>
      <c r="M124" s="185">
        <f>IFERROR(__xludf.DUMMYFUNCTION("ifna(VALUE(REGEXEXTRACT(E124,""[0-9.]+[,]+[0-9]+"")))"),24.2)</f>
        <v>24.2</v>
      </c>
      <c r="N124" s="226"/>
      <c r="O124" s="220"/>
      <c r="P124" s="220"/>
      <c r="Q124" s="228" t="str">
        <f t="shared" si="2"/>
        <v/>
      </c>
      <c r="R124" s="220" t="str">
        <f t="shared" si="3"/>
        <v/>
      </c>
      <c r="S124" s="232" t="str">
        <f t="shared" si="4"/>
        <v/>
      </c>
      <c r="T124" s="185"/>
      <c r="U124" s="185"/>
      <c r="V124" s="185"/>
    </row>
    <row r="125" ht="14.25" customHeight="1">
      <c r="A125" s="178"/>
      <c r="B125" s="12">
        <v>1582427.0</v>
      </c>
      <c r="C125" s="13">
        <v>45858.78010416667</v>
      </c>
      <c r="D125" s="179" t="s">
        <v>81</v>
      </c>
      <c r="E125" s="180" t="s">
        <v>120</v>
      </c>
      <c r="F125" s="181"/>
      <c r="G125" s="179" t="s">
        <v>193</v>
      </c>
      <c r="H125" s="190"/>
      <c r="I125" s="190"/>
      <c r="J125" s="187" t="s">
        <v>3151</v>
      </c>
      <c r="K125" s="187"/>
      <c r="L125" s="184" t="str">
        <f>IFERROR(__xludf.DUMMYFUNCTION("ifna(IF(and(D125=""Saída"",J125=""Sangria""),if(sum(QUERY(IMPORTRANGE(""https://docs.google.com/spreadsheets/d/1E4szPcLzsqlw4uyBAoJ61L1ChCgpz4wVP8tHfHW1g_c"",""BD M Sangrias!a:i""),""select Col6 where Col7 = 'Depositada' and Col9 = '""&amp;K125&amp;""' and Col6 ="&amp;" ""&amp;M125&amp;"" and Col4 = date '""&amp;YEAR(C125)&amp;""-""&amp;MONTH(C125)&amp;""-""&amp;DAY(C125)&amp;""'""))&gt;0,""Depositada"",if(sum(QUERY(IMPORTRANGE(""https://docs.google.com/spreadsheets/d/1EcLIvUgMoBC5as4ikW0wuQsGH5yVZ6cQ1y16qEfgPnk"",""BD M Sangrias!a:i""),""select Col6 whe"&amp;"re Col7 = 'Caixa Atendimento' and Col9 = '""&amp;K125&amp;""' and Col6 = ""&amp;M125&amp;"" and Col4 = date '""&amp;YEAR(C125)&amp;""-""&amp;MONTH(C125)&amp;""-""&amp;DAY(C125)&amp;""'""))&gt;0,""Caixa Atendimento"",""Caixa Sangria"")),""""),""Caixa Sangria"")"),"")</f>
        <v/>
      </c>
      <c r="M125" s="185">
        <f>IFERROR(__xludf.DUMMYFUNCTION("ifna(VALUE(REGEXEXTRACT(E125,""[0-9.]+[,]+[0-9]+"")))"),71.27)</f>
        <v>71.27</v>
      </c>
      <c r="N125" s="229"/>
      <c r="O125" s="221"/>
      <c r="P125" s="221"/>
      <c r="Q125" s="231" t="str">
        <f t="shared" si="2"/>
        <v/>
      </c>
      <c r="R125" s="221" t="str">
        <f t="shared" si="3"/>
        <v/>
      </c>
      <c r="S125" s="232" t="str">
        <f t="shared" si="4"/>
        <v/>
      </c>
      <c r="T125" s="185"/>
      <c r="U125" s="185"/>
      <c r="V125" s="185"/>
    </row>
    <row r="126" ht="14.25" customHeight="1">
      <c r="A126" s="178"/>
      <c r="B126" s="12">
        <v>1583431.0</v>
      </c>
      <c r="C126" s="13">
        <v>45858.92828703704</v>
      </c>
      <c r="D126" s="179" t="s">
        <v>81</v>
      </c>
      <c r="E126" s="180" t="s">
        <v>5946</v>
      </c>
      <c r="F126" s="181"/>
      <c r="G126" s="179" t="s">
        <v>5948</v>
      </c>
      <c r="H126" s="190"/>
      <c r="I126" s="190"/>
      <c r="J126" s="187" t="s">
        <v>1782</v>
      </c>
      <c r="K126" s="187"/>
      <c r="L126" s="184" t="str">
        <f>IFERROR(__xludf.DUMMYFUNCTION("ifna(IF(and(D126=""Saída"",J126=""Sangria""),if(sum(QUERY(IMPORTRANGE(""https://docs.google.com/spreadsheets/d/1E4szPcLzsqlw4uyBAoJ61L1ChCgpz4wVP8tHfHW1g_c"",""BD M Sangrias!a:i""),""select Col6 where Col7 = 'Depositada' and Col9 = '""&amp;K126&amp;""' and Col6 ="&amp;" ""&amp;M126&amp;"" and Col4 = date '""&amp;YEAR(C126)&amp;""-""&amp;MONTH(C126)&amp;""-""&amp;DAY(C126)&amp;""'""))&gt;0,""Depositada"",if(sum(QUERY(IMPORTRANGE(""https://docs.google.com/spreadsheets/d/1EcLIvUgMoBC5as4ikW0wuQsGH5yVZ6cQ1y16qEfgPnk"",""BD M Sangrias!a:i""),""select Col6 whe"&amp;"re Col7 = 'Caixa Atendimento' and Col9 = '""&amp;K126&amp;""' and Col6 = ""&amp;M126&amp;"" and Col4 = date '""&amp;YEAR(C126)&amp;""-""&amp;MONTH(C126)&amp;""-""&amp;DAY(C126)&amp;""'""))&gt;0,""Caixa Atendimento"",""Caixa Sangria"")),""""),""Caixa Sangria"")"),"")</f>
        <v/>
      </c>
      <c r="M126" s="185">
        <f>IFERROR(__xludf.DUMMYFUNCTION("ifna(VALUE(REGEXEXTRACT(E126,""[0-9.]+[,]+[0-9]+"")))"),201.11)</f>
        <v>201.11</v>
      </c>
      <c r="N126" s="226"/>
      <c r="O126" s="220"/>
      <c r="P126" s="220"/>
      <c r="Q126" s="228" t="str">
        <f t="shared" si="2"/>
        <v/>
      </c>
      <c r="R126" s="220" t="str">
        <f t="shared" si="3"/>
        <v/>
      </c>
      <c r="S126" s="232" t="str">
        <f t="shared" si="4"/>
        <v/>
      </c>
      <c r="T126" s="185"/>
      <c r="U126" s="185"/>
      <c r="V126" s="185"/>
    </row>
    <row r="127" ht="14.25" customHeight="1">
      <c r="A127" s="178"/>
      <c r="B127" s="12">
        <v>1583433.0</v>
      </c>
      <c r="C127" s="13">
        <v>45858.92854166667</v>
      </c>
      <c r="D127" s="179" t="s">
        <v>81</v>
      </c>
      <c r="E127" s="180" t="s">
        <v>5958</v>
      </c>
      <c r="F127" s="181"/>
      <c r="G127" s="179" t="s">
        <v>5962</v>
      </c>
      <c r="H127" s="190"/>
      <c r="I127" s="190"/>
      <c r="J127" s="187" t="s">
        <v>1782</v>
      </c>
      <c r="K127" s="187"/>
      <c r="L127" s="184" t="str">
        <f>IFERROR(__xludf.DUMMYFUNCTION("ifna(IF(and(D127=""Saída"",J127=""Sangria""),if(sum(QUERY(IMPORTRANGE(""https://docs.google.com/spreadsheets/d/1E4szPcLzsqlw4uyBAoJ61L1ChCgpz4wVP8tHfHW1g_c"",""BD M Sangrias!a:i""),""select Col6 where Col7 = 'Depositada' and Col9 = '""&amp;K127&amp;""' and Col6 ="&amp;" ""&amp;M127&amp;"" and Col4 = date '""&amp;YEAR(C127)&amp;""-""&amp;MONTH(C127)&amp;""-""&amp;DAY(C127)&amp;""'""))&gt;0,""Depositada"",if(sum(QUERY(IMPORTRANGE(""https://docs.google.com/spreadsheets/d/1EcLIvUgMoBC5as4ikW0wuQsGH5yVZ6cQ1y16qEfgPnk"",""BD M Sangrias!a:i""),""select Col6 whe"&amp;"re Col7 = 'Caixa Atendimento' and Col9 = '""&amp;K127&amp;""' and Col6 = ""&amp;M127&amp;"" and Col4 = date '""&amp;YEAR(C127)&amp;""-""&amp;MONTH(C127)&amp;""-""&amp;DAY(C127)&amp;""'""))&gt;0,""Caixa Atendimento"",""Caixa Sangria"")),""""),""Caixa Sangria"")"),"")</f>
        <v/>
      </c>
      <c r="M127" s="185">
        <f>IFERROR(__xludf.DUMMYFUNCTION("ifna(VALUE(REGEXEXTRACT(E127,""[0-9.]+[,]+[0-9]+"")))"),212.42)</f>
        <v>212.42</v>
      </c>
      <c r="N127" s="229"/>
      <c r="O127" s="221"/>
      <c r="P127" s="221"/>
      <c r="Q127" s="231" t="str">
        <f t="shared" si="2"/>
        <v/>
      </c>
      <c r="R127" s="221" t="str">
        <f t="shared" si="3"/>
        <v/>
      </c>
      <c r="S127" s="232" t="str">
        <f t="shared" si="4"/>
        <v/>
      </c>
      <c r="T127" s="185"/>
      <c r="U127" s="185"/>
      <c r="V127" s="185"/>
    </row>
    <row r="128" ht="14.25" customHeight="1">
      <c r="A128" s="178"/>
      <c r="B128" s="12">
        <v>1583442.0</v>
      </c>
      <c r="C128" s="13">
        <v>45858.92994212963</v>
      </c>
      <c r="D128" s="179" t="s">
        <v>81</v>
      </c>
      <c r="E128" s="180" t="s">
        <v>2900</v>
      </c>
      <c r="F128" s="188"/>
      <c r="G128" s="179" t="s">
        <v>381</v>
      </c>
      <c r="H128" s="190"/>
      <c r="I128" s="190"/>
      <c r="J128" s="187" t="s">
        <v>2735</v>
      </c>
      <c r="K128" s="187" t="s">
        <v>1894</v>
      </c>
      <c r="L128" s="184" t="str">
        <f>IFERROR(__xludf.DUMMYFUNCTION("ifna(IF(and(D128=""Saída"",J128=""Sangria""),if(sum(QUERY(IMPORTRANGE(""https://docs.google.com/spreadsheets/d/1E4szPcLzsqlw4uyBAoJ61L1ChCgpz4wVP8tHfHW1g_c"",""BD M Sangrias!a:i""),""select Col6 where Col7 = 'Depositada' and Col9 = '""&amp;K128&amp;""' and Col6 ="&amp;" ""&amp;M128&amp;"" and Col4 = date '""&amp;YEAR(C128)&amp;""-""&amp;MONTH(C128)&amp;""-""&amp;DAY(C128)&amp;""'""))&gt;0,""Depositada"",if(sum(QUERY(IMPORTRANGE(""https://docs.google.com/spreadsheets/d/1EcLIvUgMoBC5as4ikW0wuQsGH5yVZ6cQ1y16qEfgPnk"",""BD M Sangrias!a:i""),""select Col6 whe"&amp;"re Col7 = 'Caixa Atendimento' and Col9 = '""&amp;K128&amp;""' and Col6 = ""&amp;M128&amp;"" and Col4 = date '""&amp;YEAR(C128)&amp;""-""&amp;MONTH(C128)&amp;""-""&amp;DAY(C128)&amp;""'""))&gt;0,""Caixa Atendimento"",""Caixa Sangria"")),""""),""Caixa Sangria"")"),"#REF!")</f>
        <v>#REF!</v>
      </c>
      <c r="M128" s="185">
        <f>IFERROR(__xludf.DUMMYFUNCTION("ifna(VALUE(REGEXEXTRACT(E128,""[0-9.]+[,]+[0-9]+"")))"),2300.0)</f>
        <v>2300</v>
      </c>
      <c r="N128" s="226"/>
      <c r="O128" s="220"/>
      <c r="P128" s="220"/>
      <c r="Q128" s="228" t="str">
        <f t="shared" si="2"/>
        <v/>
      </c>
      <c r="R128" s="220" t="str">
        <f t="shared" si="3"/>
        <v/>
      </c>
      <c r="S128" s="232" t="str">
        <f t="shared" si="4"/>
        <v/>
      </c>
      <c r="T128" s="185"/>
      <c r="U128" s="185"/>
      <c r="V128" s="185"/>
    </row>
    <row r="129" ht="14.25" customHeight="1">
      <c r="A129" s="178"/>
      <c r="B129" s="12">
        <v>1584372.0</v>
      </c>
      <c r="C129" s="13">
        <v>45859.675</v>
      </c>
      <c r="D129" s="179" t="s">
        <v>152</v>
      </c>
      <c r="E129" s="180" t="s">
        <v>5984</v>
      </c>
      <c r="F129" s="181"/>
      <c r="G129" s="179" t="s">
        <v>267</v>
      </c>
      <c r="H129" s="190"/>
      <c r="I129" s="190"/>
      <c r="J129" s="187" t="s">
        <v>2669</v>
      </c>
      <c r="K129" s="187"/>
      <c r="L129" s="184" t="str">
        <f>IFERROR(__xludf.DUMMYFUNCTION("ifna(IF(and(D129=""Saída"",J129=""Sangria""),if(sum(QUERY(IMPORTRANGE(""https://docs.google.com/spreadsheets/d/1E4szPcLzsqlw4uyBAoJ61L1ChCgpz4wVP8tHfHW1g_c"",""BD M Sangrias!a:i""),""select Col6 where Col7 = 'Depositada' and Col9 = '""&amp;K129&amp;""' and Col6 ="&amp;" ""&amp;M129&amp;"" and Col4 = date '""&amp;YEAR(C129)&amp;""-""&amp;MONTH(C129)&amp;""-""&amp;DAY(C129)&amp;""'""))&gt;0,""Depositada"",if(sum(QUERY(IMPORTRANGE(""https://docs.google.com/spreadsheets/d/1EcLIvUgMoBC5as4ikW0wuQsGH5yVZ6cQ1y16qEfgPnk"",""BD M Sangrias!a:i""),""select Col6 whe"&amp;"re Col7 = 'Caixa Atendimento' and Col9 = '""&amp;K129&amp;""' and Col6 = ""&amp;M129&amp;"" and Col4 = date '""&amp;YEAR(C129)&amp;""-""&amp;MONTH(C129)&amp;""-""&amp;DAY(C129)&amp;""'""))&gt;0,""Caixa Atendimento"",""Caixa Sangria"")),""""),""Caixa Sangria"")"),"")</f>
        <v/>
      </c>
      <c r="M129" s="185">
        <f>IFERROR(__xludf.DUMMYFUNCTION("ifna(VALUE(REGEXEXTRACT(E129,""[0-9.]+[,]+[0-9]+"")))"),33.0)</f>
        <v>33</v>
      </c>
      <c r="N129" s="229"/>
      <c r="O129" s="221"/>
      <c r="P129" s="221"/>
      <c r="Q129" s="231" t="str">
        <f t="shared" si="2"/>
        <v/>
      </c>
      <c r="R129" s="221" t="str">
        <f t="shared" si="3"/>
        <v/>
      </c>
      <c r="S129" s="232" t="str">
        <f t="shared" si="4"/>
        <v/>
      </c>
      <c r="T129" s="185"/>
      <c r="U129" s="185"/>
      <c r="V129" s="185"/>
    </row>
    <row r="130" ht="14.25" customHeight="1">
      <c r="A130" s="178"/>
      <c r="B130" s="12">
        <v>1584476.0</v>
      </c>
      <c r="C130" s="13">
        <v>45859.698483796295</v>
      </c>
      <c r="D130" s="179" t="s">
        <v>152</v>
      </c>
      <c r="E130" s="180" t="s">
        <v>402</v>
      </c>
      <c r="F130" s="181"/>
      <c r="G130" s="179" t="s">
        <v>267</v>
      </c>
      <c r="H130" s="190"/>
      <c r="I130" s="190"/>
      <c r="J130" s="187" t="s">
        <v>2669</v>
      </c>
      <c r="K130" s="187"/>
      <c r="L130" s="184" t="str">
        <f>IFERROR(__xludf.DUMMYFUNCTION("ifna(IF(and(D130=""Saída"",J130=""Sangria""),if(sum(QUERY(IMPORTRANGE(""https://docs.google.com/spreadsheets/d/1E4szPcLzsqlw4uyBAoJ61L1ChCgpz4wVP8tHfHW1g_c"",""BD M Sangrias!a:i""),""select Col6 where Col7 = 'Depositada' and Col9 = '""&amp;K130&amp;""' and Col6 ="&amp;" ""&amp;M130&amp;"" and Col4 = date '""&amp;YEAR(C130)&amp;""-""&amp;MONTH(C130)&amp;""-""&amp;DAY(C130)&amp;""'""))&gt;0,""Depositada"",if(sum(QUERY(IMPORTRANGE(""https://docs.google.com/spreadsheets/d/1EcLIvUgMoBC5as4ikW0wuQsGH5yVZ6cQ1y16qEfgPnk"",""BD M Sangrias!a:i""),""select Col6 whe"&amp;"re Col7 = 'Caixa Atendimento' and Col9 = '""&amp;K130&amp;""' and Col6 = ""&amp;M130&amp;"" and Col4 = date '""&amp;YEAR(C130)&amp;""-""&amp;MONTH(C130)&amp;""-""&amp;DAY(C130)&amp;""'""))&gt;0,""Caixa Atendimento"",""Caixa Sangria"")),""""),""Caixa Sangria"")"),"")</f>
        <v/>
      </c>
      <c r="M130" s="185">
        <f>IFERROR(__xludf.DUMMYFUNCTION("ifna(VALUE(REGEXEXTRACT(E130,""[0-9.]+[,]+[0-9]+"")))"),20.0)</f>
        <v>20</v>
      </c>
      <c r="N130" s="226"/>
      <c r="O130" s="220"/>
      <c r="P130" s="220"/>
      <c r="Q130" s="228" t="str">
        <f t="shared" si="2"/>
        <v/>
      </c>
      <c r="R130" s="220" t="str">
        <f t="shared" si="3"/>
        <v/>
      </c>
      <c r="S130" s="232" t="str">
        <f t="shared" si="4"/>
        <v/>
      </c>
      <c r="T130" s="185"/>
      <c r="U130" s="185"/>
      <c r="V130" s="185"/>
    </row>
    <row r="131" ht="14.25" customHeight="1">
      <c r="A131" s="178"/>
      <c r="B131" s="12">
        <v>1584702.0</v>
      </c>
      <c r="C131" s="13">
        <v>45859.75866898148</v>
      </c>
      <c r="D131" s="179" t="s">
        <v>81</v>
      </c>
      <c r="E131" s="180" t="s">
        <v>378</v>
      </c>
      <c r="F131" s="181"/>
      <c r="G131" s="179" t="s">
        <v>4071</v>
      </c>
      <c r="H131" s="190"/>
      <c r="I131" s="190"/>
      <c r="J131" s="233" t="s">
        <v>2735</v>
      </c>
      <c r="K131" s="187" t="s">
        <v>2018</v>
      </c>
      <c r="L131" s="184" t="str">
        <f>IFERROR(__xludf.DUMMYFUNCTION("ifna(IF(and(D131=""Saída"",J131=""Sangria""),if(sum(QUERY(IMPORTRANGE(""https://docs.google.com/spreadsheets/d/1E4szPcLzsqlw4uyBAoJ61L1ChCgpz4wVP8tHfHW1g_c"",""BD M Sangrias!a:i""),""select Col6 where Col7 = 'Depositada' and Col9 = '""&amp;K131&amp;""' and Col6 ="&amp;" ""&amp;M131&amp;"" and Col4 = date '""&amp;YEAR(C131)&amp;""-""&amp;MONTH(C131)&amp;""-""&amp;DAY(C131)&amp;""'""))&gt;0,""Depositada"",if(sum(QUERY(IMPORTRANGE(""https://docs.google.com/spreadsheets/d/1EcLIvUgMoBC5as4ikW0wuQsGH5yVZ6cQ1y16qEfgPnk"",""BD M Sangrias!a:i""),""select Col6 whe"&amp;"re Col7 = 'Caixa Atendimento' and Col9 = '""&amp;K131&amp;""' and Col6 = ""&amp;M131&amp;"" and Col4 = date '""&amp;YEAR(C131)&amp;""-""&amp;MONTH(C131)&amp;""-""&amp;DAY(C131)&amp;""'""))&gt;0,""Caixa Atendimento"",""Caixa Sangria"")),""""),""Caixa Sangria"")"),"#REF!")</f>
        <v>#REF!</v>
      </c>
      <c r="M131" s="185">
        <f>IFERROR(__xludf.DUMMYFUNCTION("ifna(VALUE(REGEXEXTRACT(E131,""[0-9.]+[,]+[0-9]+"")))"),1350.0)</f>
        <v>1350</v>
      </c>
      <c r="N131" s="229"/>
      <c r="O131" s="221"/>
      <c r="P131" s="221"/>
      <c r="Q131" s="231" t="str">
        <f t="shared" si="2"/>
        <v/>
      </c>
      <c r="R131" s="221" t="str">
        <f t="shared" si="3"/>
        <v/>
      </c>
      <c r="S131" s="232" t="str">
        <f t="shared" si="4"/>
        <v/>
      </c>
      <c r="T131" s="185"/>
      <c r="U131" s="185"/>
      <c r="V131" s="185"/>
    </row>
    <row r="132" ht="14.25" customHeight="1">
      <c r="A132" s="178"/>
      <c r="B132" s="12">
        <v>1585382.0</v>
      </c>
      <c r="C132" s="13">
        <v>45859.945381944446</v>
      </c>
      <c r="D132" s="179" t="s">
        <v>81</v>
      </c>
      <c r="E132" s="180" t="s">
        <v>590</v>
      </c>
      <c r="F132" s="188"/>
      <c r="G132" s="179" t="s">
        <v>381</v>
      </c>
      <c r="H132" s="190"/>
      <c r="I132" s="190"/>
      <c r="J132" s="187" t="s">
        <v>2735</v>
      </c>
      <c r="K132" s="187" t="s">
        <v>1894</v>
      </c>
      <c r="L132" s="184" t="str">
        <f>IFERROR(__xludf.DUMMYFUNCTION("ifna(IF(and(D132=""Saída"",J132=""Sangria""),if(sum(QUERY(IMPORTRANGE(""https://docs.google.com/spreadsheets/d/1E4szPcLzsqlw4uyBAoJ61L1ChCgpz4wVP8tHfHW1g_c"",""BD M Sangrias!a:i""),""select Col6 where Col7 = 'Depositada' and Col9 = '""&amp;K132&amp;""' and Col6 ="&amp;" ""&amp;M132&amp;"" and Col4 = date '""&amp;YEAR(C132)&amp;""-""&amp;MONTH(C132)&amp;""-""&amp;DAY(C132)&amp;""'""))&gt;0,""Depositada"",if(sum(QUERY(IMPORTRANGE(""https://docs.google.com/spreadsheets/d/1EcLIvUgMoBC5as4ikW0wuQsGH5yVZ6cQ1y16qEfgPnk"",""BD M Sangrias!a:i""),""select Col6 whe"&amp;"re Col7 = 'Caixa Atendimento' and Col9 = '""&amp;K132&amp;""' and Col6 = ""&amp;M132&amp;"" and Col4 = date '""&amp;YEAR(C132)&amp;""-""&amp;MONTH(C132)&amp;""-""&amp;DAY(C132)&amp;""'""))&gt;0,""Caixa Atendimento"",""Caixa Sangria"")),""""),""Caixa Sangria"")"),"#REF!")</f>
        <v>#REF!</v>
      </c>
      <c r="M132" s="185">
        <f>IFERROR(__xludf.DUMMYFUNCTION("ifna(VALUE(REGEXEXTRACT(E132,""[0-9.]+[,]+[0-9]+"")))"),350.0)</f>
        <v>350</v>
      </c>
      <c r="N132" s="226"/>
      <c r="O132" s="220"/>
      <c r="P132" s="220"/>
      <c r="Q132" s="228" t="str">
        <f t="shared" si="2"/>
        <v/>
      </c>
      <c r="R132" s="220" t="str">
        <f t="shared" si="3"/>
        <v/>
      </c>
      <c r="S132" s="232" t="str">
        <f t="shared" si="4"/>
        <v/>
      </c>
      <c r="T132" s="185"/>
      <c r="U132" s="185"/>
      <c r="V132" s="185"/>
    </row>
    <row r="133" ht="14.25" customHeight="1">
      <c r="A133" s="178"/>
      <c r="B133" s="12">
        <v>1585911.0</v>
      </c>
      <c r="C133" s="13">
        <v>45860.66484953704</v>
      </c>
      <c r="D133" s="179" t="s">
        <v>152</v>
      </c>
      <c r="E133" s="180" t="s">
        <v>6027</v>
      </c>
      <c r="F133" s="181"/>
      <c r="G133" s="179" t="s">
        <v>267</v>
      </c>
      <c r="H133" s="190"/>
      <c r="I133" s="190"/>
      <c r="J133" s="16" t="s">
        <v>2669</v>
      </c>
      <c r="K133" s="187"/>
      <c r="L133" s="184" t="str">
        <f>IFERROR(__xludf.DUMMYFUNCTION("ifna(IF(and(D133=""Saída"",J132=""Sangria""),if(sum(QUERY(IMPORTRANGE(""https://docs.google.com/spreadsheets/d/1E4szPcLzsqlw4uyBAoJ61L1ChCgpz4wVP8tHfHW1g_c"",""BD M Sangrias!a:i""),""select Col6 where Col7 = 'Depositada' and Col9 = '""&amp;K133&amp;""' and Col6 ="&amp;" ""&amp;M133&amp;"" and Col4 = date '""&amp;YEAR(C133)&amp;""-""&amp;MONTH(C133)&amp;""-""&amp;DAY(C133)&amp;""'""))&gt;0,""Depositada"",if(sum(QUERY(IMPORTRANGE(""https://docs.google.com/spreadsheets/d/1EcLIvUgMoBC5as4ikW0wuQsGH5yVZ6cQ1y16qEfgPnk"",""BD M Sangrias!a:i""),""select Col6 whe"&amp;"re Col7 = 'Caixa Atendimento' and Col9 = '""&amp;K133&amp;""' and Col6 = ""&amp;M133&amp;"" and Col4 = date '""&amp;YEAR(C133)&amp;""-""&amp;MONTH(C133)&amp;""-""&amp;DAY(C133)&amp;""'""))&gt;0,""Caixa Atendimento"",""Caixa Sangria"")),""""),""Caixa Sangria"")"),"")</f>
        <v/>
      </c>
      <c r="M133" s="185">
        <f>IFERROR(__xludf.DUMMYFUNCTION("ifna(VALUE(REGEXEXTRACT(E133,""[0-9.]+[,]+[0-9]+"")))"),25.2)</f>
        <v>25.2</v>
      </c>
      <c r="N133" s="235"/>
      <c r="O133" s="236"/>
      <c r="P133" s="236"/>
      <c r="Q133" s="237" t="str">
        <f t="shared" si="2"/>
        <v/>
      </c>
      <c r="R133" s="236" t="str">
        <f t="shared" si="3"/>
        <v/>
      </c>
      <c r="S133" s="232" t="str">
        <f t="shared" si="4"/>
        <v/>
      </c>
      <c r="T133" s="185"/>
      <c r="U133" s="185"/>
      <c r="V133" s="185"/>
    </row>
    <row r="134" ht="14.25" customHeight="1">
      <c r="A134" s="178"/>
      <c r="B134" s="12">
        <v>1585941.0</v>
      </c>
      <c r="C134" s="13">
        <v>45860.67459490741</v>
      </c>
      <c r="D134" s="179" t="s">
        <v>81</v>
      </c>
      <c r="E134" s="180" t="s">
        <v>296</v>
      </c>
      <c r="F134" s="181"/>
      <c r="G134" s="179" t="s">
        <v>5335</v>
      </c>
      <c r="H134" s="190"/>
      <c r="I134" s="190"/>
      <c r="J134" s="187" t="s">
        <v>2735</v>
      </c>
      <c r="K134" s="187" t="s">
        <v>2018</v>
      </c>
      <c r="L134" s="184" t="str">
        <f>IFERROR(__xludf.DUMMYFUNCTION("ifna(IF(and(D134=""Saída"",J134=""Sangria""),if(sum(QUERY(IMPORTRANGE(""https://docs.google.com/spreadsheets/d/1E4szPcLzsqlw4uyBAoJ61L1ChCgpz4wVP8tHfHW1g_c"",""BD M Sangrias!a:i""),""select Col6 where Col7 = 'Depositada' and Col9 = '""&amp;K134&amp;""' and Col6 ="&amp;" ""&amp;M134&amp;"" and Col4 = date '""&amp;YEAR(C134)&amp;""-""&amp;MONTH(C134)&amp;""-""&amp;DAY(C134)&amp;""'""))&gt;0,""Depositada"",if(sum(QUERY(IMPORTRANGE(""https://docs.google.com/spreadsheets/d/1EcLIvUgMoBC5as4ikW0wuQsGH5yVZ6cQ1y16qEfgPnk"",""BD M Sangrias!a:i""),""select Col6 whe"&amp;"re Col7 = 'Caixa Atendimento' and Col9 = '""&amp;K134&amp;""' and Col6 = ""&amp;M134&amp;"" and Col4 = date '""&amp;YEAR(C134)&amp;""-""&amp;MONTH(C134)&amp;""-""&amp;DAY(C134)&amp;""'""))&gt;0,""Caixa Atendimento"",""Caixa Sangria"")),""""),""Caixa Sangria"")"),"#REF!")</f>
        <v>#REF!</v>
      </c>
      <c r="M134" s="185">
        <f>IFERROR(__xludf.DUMMYFUNCTION("ifna(VALUE(REGEXEXTRACT(E134,""[0-9.]+[,]+[0-9]+"")))"),650.0)</f>
        <v>650</v>
      </c>
      <c r="N134" s="235"/>
      <c r="O134" s="236"/>
      <c r="P134" s="236"/>
      <c r="Q134" s="237" t="str">
        <f t="shared" si="2"/>
        <v/>
      </c>
      <c r="R134" s="236" t="str">
        <f t="shared" si="3"/>
        <v/>
      </c>
      <c r="S134" s="232" t="str">
        <f t="shared" si="4"/>
        <v/>
      </c>
      <c r="T134" s="185"/>
      <c r="U134" s="185"/>
      <c r="V134" s="185"/>
    </row>
    <row r="135" ht="14.25" customHeight="1">
      <c r="A135" s="178"/>
      <c r="B135" s="12">
        <v>1586103.0</v>
      </c>
      <c r="C135" s="13">
        <v>45860.71659722222</v>
      </c>
      <c r="D135" s="179" t="s">
        <v>152</v>
      </c>
      <c r="E135" s="180" t="s">
        <v>402</v>
      </c>
      <c r="F135" s="181"/>
      <c r="G135" s="179" t="s">
        <v>267</v>
      </c>
      <c r="H135" s="190"/>
      <c r="I135" s="190"/>
      <c r="J135" s="187" t="s">
        <v>2669</v>
      </c>
      <c r="K135" s="187"/>
      <c r="L135" s="184" t="str">
        <f>IFERROR(__xludf.DUMMYFUNCTION("ifna(IF(and(D135=""Saída"",J135=""Sangria""),if(sum(QUERY(IMPORTRANGE(""https://docs.google.com/spreadsheets/d/1E4szPcLzsqlw4uyBAoJ61L1ChCgpz4wVP8tHfHW1g_c"",""BD M Sangrias!a:i""),""select Col6 where Col7 = 'Depositada' and Col9 = '""&amp;K135&amp;""' and Col6 ="&amp;" ""&amp;M135&amp;"" and Col4 = date '""&amp;YEAR(C135)&amp;""-""&amp;MONTH(C135)&amp;""-""&amp;DAY(C135)&amp;""'""))&gt;0,""Depositada"",if(sum(QUERY(IMPORTRANGE(""https://docs.google.com/spreadsheets/d/1EcLIvUgMoBC5as4ikW0wuQsGH5yVZ6cQ1y16qEfgPnk"",""BD M Sangrias!a:i""),""select Col6 whe"&amp;"re Col7 = 'Caixa Atendimento' and Col9 = '""&amp;K135&amp;""' and Col6 = ""&amp;M135&amp;"" and Col4 = date '""&amp;YEAR(C135)&amp;""-""&amp;MONTH(C135)&amp;""-""&amp;DAY(C135)&amp;""'""))&gt;0,""Caixa Atendimento"",""Caixa Sangria"")),""""),""Caixa Sangria"")"),"")</f>
        <v/>
      </c>
      <c r="M135" s="185">
        <f>IFERROR(__xludf.DUMMYFUNCTION("ifna(VALUE(REGEXEXTRACT(E135,""[0-9.]+[,]+[0-9]+"")))"),20.0)</f>
        <v>20</v>
      </c>
      <c r="N135" s="235"/>
      <c r="O135" s="236"/>
      <c r="P135" s="236"/>
      <c r="Q135" s="237" t="str">
        <f t="shared" si="2"/>
        <v/>
      </c>
      <c r="R135" s="236" t="str">
        <f t="shared" si="3"/>
        <v/>
      </c>
      <c r="S135" s="232" t="str">
        <f t="shared" si="4"/>
        <v/>
      </c>
      <c r="T135" s="185"/>
      <c r="U135" s="185"/>
      <c r="V135" s="185"/>
    </row>
    <row r="136" ht="14.25" customHeight="1">
      <c r="A136" s="178"/>
      <c r="B136" s="12">
        <v>1586899.0</v>
      </c>
      <c r="C136" s="13">
        <v>45860.9291087963</v>
      </c>
      <c r="D136" s="179" t="s">
        <v>81</v>
      </c>
      <c r="E136" s="180" t="s">
        <v>6039</v>
      </c>
      <c r="F136" s="188"/>
      <c r="G136" s="179" t="s">
        <v>3104</v>
      </c>
      <c r="H136" s="190"/>
      <c r="I136" s="190"/>
      <c r="J136" s="187" t="s">
        <v>2735</v>
      </c>
      <c r="K136" s="187" t="s">
        <v>1894</v>
      </c>
      <c r="L136" s="184" t="str">
        <f>IFERROR(__xludf.DUMMYFUNCTION("ifna(IF(and(D136=""Saída"",J136=""Sangria""),if(sum(QUERY(IMPORTRANGE(""https://docs.google.com/spreadsheets/d/1E4szPcLzsqlw4uyBAoJ61L1ChCgpz4wVP8tHfHW1g_c"",""BD M Sangrias!a:i""),""select Col6 where Col7 = 'Depositada' and Col9 = '""&amp;K136&amp;""' and Col6 ="&amp;" ""&amp;M136&amp;"" and Col4 = date '""&amp;YEAR(C136)&amp;""-""&amp;MONTH(C136)&amp;""-""&amp;DAY(C136)&amp;""'""))&gt;0,""Depositada"",if(sum(QUERY(IMPORTRANGE(""https://docs.google.com/spreadsheets/d/1EcLIvUgMoBC5as4ikW0wuQsGH5yVZ6cQ1y16qEfgPnk"",""BD M Sangrias!a:i""),""select Col6 whe"&amp;"re Col7 = 'Caixa Atendimento' and Col9 = '""&amp;K136&amp;""' and Col6 = ""&amp;M136&amp;"" and Col4 = date '""&amp;YEAR(C136)&amp;""-""&amp;MONTH(C136)&amp;""-""&amp;DAY(C136)&amp;""'""))&gt;0,""Caixa Atendimento"",""Caixa Sangria"")),""""),""Caixa Sangria"")"),"#REF!")</f>
        <v>#REF!</v>
      </c>
      <c r="M136" s="185">
        <f>IFERROR(__xludf.DUMMYFUNCTION("ifna(VALUE(REGEXEXTRACT(E136,""[0-9.]+[,]+[0-9]+"")))"),1230.0)</f>
        <v>1230</v>
      </c>
      <c r="N136" s="235"/>
      <c r="O136" s="236"/>
      <c r="P136" s="236"/>
      <c r="Q136" s="237" t="str">
        <f t="shared" si="2"/>
        <v/>
      </c>
      <c r="R136" s="236" t="str">
        <f t="shared" si="3"/>
        <v/>
      </c>
      <c r="S136" s="232" t="str">
        <f t="shared" si="4"/>
        <v/>
      </c>
      <c r="T136" s="185"/>
      <c r="U136" s="185"/>
      <c r="V136" s="185"/>
    </row>
    <row r="137" ht="14.25" customHeight="1">
      <c r="A137" s="178"/>
      <c r="B137" s="12">
        <v>1587671.0</v>
      </c>
      <c r="C137" s="13">
        <v>45861.70582175926</v>
      </c>
      <c r="D137" s="179" t="s">
        <v>81</v>
      </c>
      <c r="E137" s="180" t="s">
        <v>184</v>
      </c>
      <c r="F137" s="181"/>
      <c r="G137" s="179" t="s">
        <v>5055</v>
      </c>
      <c r="H137" s="190"/>
      <c r="I137" s="190"/>
      <c r="J137" s="187" t="s">
        <v>2735</v>
      </c>
      <c r="K137" s="187" t="s">
        <v>2018</v>
      </c>
      <c r="L137" s="184" t="str">
        <f>IFERROR(__xludf.DUMMYFUNCTION("ifna(IF(and(D137=""Saída"",J137=""Sangria""),if(sum(QUERY(IMPORTRANGE(""https://docs.google.com/spreadsheets/d/1E4szPcLzsqlw4uyBAoJ61L1ChCgpz4wVP8tHfHW1g_c"",""BD M Sangrias!a:i""),""select Col6 where Col7 = 'Depositada' and Col9 = '""&amp;K137&amp;""' and Col6 ="&amp;" ""&amp;M137&amp;"" and Col4 = date '""&amp;YEAR(C137)&amp;""-""&amp;MONTH(C137)&amp;""-""&amp;DAY(C137)&amp;""'""))&gt;0,""Depositada"",if(sum(QUERY(IMPORTRANGE(""https://docs.google.com/spreadsheets/d/1EcLIvUgMoBC5as4ikW0wuQsGH5yVZ6cQ1y16qEfgPnk"",""BD M Sangrias!a:i""),""select Col6 whe"&amp;"re Col7 = 'Caixa Atendimento' and Col9 = '""&amp;K137&amp;""' and Col6 = ""&amp;M137&amp;"" and Col4 = date '""&amp;YEAR(C137)&amp;""-""&amp;MONTH(C137)&amp;""-""&amp;DAY(C137)&amp;""'""))&gt;0,""Caixa Atendimento"",""Caixa Sangria"")),""""),""Caixa Sangria"")"),"#REF!")</f>
        <v>#REF!</v>
      </c>
      <c r="M137" s="185">
        <f>IFERROR(__xludf.DUMMYFUNCTION("ifna(VALUE(REGEXEXTRACT(E137,""[0-9.]+[,]+[0-9]+"")))"),450.0)</f>
        <v>450</v>
      </c>
      <c r="N137" s="235"/>
      <c r="O137" s="236"/>
      <c r="P137" s="236"/>
      <c r="Q137" s="237" t="str">
        <f t="shared" si="2"/>
        <v/>
      </c>
      <c r="R137" s="236" t="str">
        <f t="shared" si="3"/>
        <v/>
      </c>
      <c r="S137" s="232" t="str">
        <f t="shared" si="4"/>
        <v/>
      </c>
      <c r="T137" s="185"/>
      <c r="U137" s="185"/>
      <c r="V137" s="185"/>
    </row>
    <row r="138" ht="14.25" customHeight="1">
      <c r="A138" s="178"/>
      <c r="B138" s="12">
        <v>1588310.0</v>
      </c>
      <c r="C138" s="13">
        <v>45861.908483796295</v>
      </c>
      <c r="D138" s="179" t="s">
        <v>81</v>
      </c>
      <c r="E138" s="180" t="s">
        <v>4106</v>
      </c>
      <c r="F138" s="188"/>
      <c r="G138" s="179" t="s">
        <v>3104</v>
      </c>
      <c r="H138" s="190"/>
      <c r="I138" s="190"/>
      <c r="J138" s="187" t="s">
        <v>2735</v>
      </c>
      <c r="K138" s="187" t="s">
        <v>1894</v>
      </c>
      <c r="L138" s="184" t="str">
        <f>IFERROR(__xludf.DUMMYFUNCTION("ifna(IF(and(D138=""Saída"",J138=""Sangria""),if(sum(QUERY(IMPORTRANGE(""https://docs.google.com/spreadsheets/d/1E4szPcLzsqlw4uyBAoJ61L1ChCgpz4wVP8tHfHW1g_c"",""BD M Sangrias!a:i""),""select Col6 where Col7 = 'Depositada' and Col9 = '""&amp;K138&amp;""' and Col6 ="&amp;" ""&amp;M138&amp;"" and Col4 = date '""&amp;YEAR(C138)&amp;""-""&amp;MONTH(C138)&amp;""-""&amp;DAY(C138)&amp;""'""))&gt;0,""Depositada"",if(sum(QUERY(IMPORTRANGE(""https://docs.google.com/spreadsheets/d/1EcLIvUgMoBC5as4ikW0wuQsGH5yVZ6cQ1y16qEfgPnk"",""BD M Sangrias!a:i""),""select Col6 whe"&amp;"re Col7 = 'Caixa Atendimento' and Col9 = '""&amp;K138&amp;""' and Col6 = ""&amp;M138&amp;"" and Col4 = date '""&amp;YEAR(C138)&amp;""-""&amp;MONTH(C138)&amp;""-""&amp;DAY(C138)&amp;""'""))&gt;0,""Caixa Atendimento"",""Caixa Sangria"")),""""),""Caixa Sangria"")"),"#REF!")</f>
        <v>#REF!</v>
      </c>
      <c r="M138" s="185">
        <f>IFERROR(__xludf.DUMMYFUNCTION("ifna(VALUE(REGEXEXTRACT(E138,""[0-9.]+[,]+[0-9]+"")))"),750.0)</f>
        <v>750</v>
      </c>
      <c r="N138" s="239"/>
      <c r="O138" s="240"/>
      <c r="P138" s="240"/>
      <c r="Q138" s="241" t="str">
        <f t="shared" si="2"/>
        <v/>
      </c>
      <c r="R138" s="240" t="str">
        <f t="shared" si="3"/>
        <v/>
      </c>
      <c r="S138" s="242" t="str">
        <f t="shared" si="4"/>
        <v/>
      </c>
      <c r="T138" s="185"/>
      <c r="U138" s="185"/>
      <c r="V138" s="185"/>
    </row>
    <row r="139" ht="14.25" customHeight="1">
      <c r="A139" s="178"/>
      <c r="B139" s="12">
        <v>1588959.0</v>
      </c>
      <c r="C139" s="13">
        <v>45862.65195601852</v>
      </c>
      <c r="D139" s="179" t="s">
        <v>152</v>
      </c>
      <c r="E139" s="180" t="s">
        <v>200</v>
      </c>
      <c r="F139" s="181"/>
      <c r="G139" s="179" t="s">
        <v>5192</v>
      </c>
      <c r="H139" s="190"/>
      <c r="I139" s="190"/>
      <c r="J139" s="187" t="s">
        <v>5195</v>
      </c>
      <c r="K139" s="187"/>
      <c r="L139" s="184" t="str">
        <f>IFERROR(__xludf.DUMMYFUNCTION("ifna(IF(and(D139=""Saída"",J139=""Sangria""),if(sum(QUERY(IMPORTRANGE(""https://docs.google.com/spreadsheets/d/1E4szPcLzsqlw4uyBAoJ61L1ChCgpz4wVP8tHfHW1g_c"",""BD M Sangrias!a:i""),""select Col6 where Col7 = 'Depositada' and Col9 = '""&amp;K139&amp;""' and Col6 ="&amp;" ""&amp;M139&amp;"" and Col4 = date '""&amp;YEAR(C139)&amp;""-""&amp;MONTH(C139)&amp;""-""&amp;DAY(C139)&amp;""'""))&gt;0,""Depositada"",if(sum(QUERY(IMPORTRANGE(""https://docs.google.com/spreadsheets/d/1EcLIvUgMoBC5as4ikW0wuQsGH5yVZ6cQ1y16qEfgPnk"",""BD M Sangrias!a:i""),""select Col6 whe"&amp;"re Col7 = 'Caixa Atendimento' and Col9 = '""&amp;K139&amp;""' and Col6 = ""&amp;M139&amp;"" and Col4 = date '""&amp;YEAR(C139)&amp;""-""&amp;MONTH(C139)&amp;""-""&amp;DAY(C139)&amp;""'""))&gt;0,""Caixa Atendimento"",""Caixa Sangria"")),""""),""Caixa Sangria"")"),"")</f>
        <v/>
      </c>
      <c r="M139" s="185">
        <f>IFERROR(__xludf.DUMMYFUNCTION("ifna(VALUE(REGEXEXTRACT(E139,""[0-9.]+[,]+[0-9]+"")))"),300.0)</f>
        <v>300</v>
      </c>
      <c r="N139" s="185"/>
      <c r="O139" s="185"/>
      <c r="P139" s="185"/>
      <c r="Q139" s="185"/>
      <c r="R139" s="185"/>
      <c r="S139" s="185"/>
      <c r="T139" s="185"/>
      <c r="U139" s="185"/>
      <c r="V139" s="185"/>
    </row>
    <row r="140" ht="14.25" customHeight="1">
      <c r="A140" s="178"/>
      <c r="B140" s="12">
        <v>1588964.0</v>
      </c>
      <c r="C140" s="13">
        <v>45862.65243055556</v>
      </c>
      <c r="D140" s="179" t="s">
        <v>81</v>
      </c>
      <c r="E140" s="180" t="s">
        <v>6050</v>
      </c>
      <c r="F140" s="181"/>
      <c r="G140" s="179" t="s">
        <v>6051</v>
      </c>
      <c r="H140" s="190"/>
      <c r="I140" s="190"/>
      <c r="J140" s="187" t="s">
        <v>3151</v>
      </c>
      <c r="K140" s="187"/>
      <c r="L140" s="184" t="str">
        <f>IFERROR(__xludf.DUMMYFUNCTION("ifna(IF(and(D140=""Saída"",J140=""Sangria""),if(sum(QUERY(IMPORTRANGE(""https://docs.google.com/spreadsheets/d/1E4szPcLzsqlw4uyBAoJ61L1ChCgpz4wVP8tHfHW1g_c"",""BD M Sangrias!a:i""),""select Col6 where Col7 = 'Depositada' and Col9 = '""&amp;K140&amp;""' and Col6 ="&amp;" ""&amp;M140&amp;"" and Col4 = date '""&amp;YEAR(C140)&amp;""-""&amp;MONTH(C140)&amp;""-""&amp;DAY(C140)&amp;""'""))&gt;0,""Depositada"",if(sum(QUERY(IMPORTRANGE(""https://docs.google.com/spreadsheets/d/1EcLIvUgMoBC5as4ikW0wuQsGH5yVZ6cQ1y16qEfgPnk"",""BD M Sangrias!a:i""),""select Col6 whe"&amp;"re Col7 = 'Caixa Atendimento' and Col9 = '""&amp;K140&amp;""' and Col6 = ""&amp;M140&amp;"" and Col4 = date '""&amp;YEAR(C140)&amp;""-""&amp;MONTH(C140)&amp;""-""&amp;DAY(C140)&amp;""'""))&gt;0,""Caixa Atendimento"",""Caixa Sangria"")),""""),""Caixa Sangria"")"),"")</f>
        <v/>
      </c>
      <c r="M140" s="185">
        <f>IFERROR(__xludf.DUMMYFUNCTION("ifna(VALUE(REGEXEXTRACT(E140,""[0-9.]+[,]+[0-9]+"")))"),130.0)</f>
        <v>130</v>
      </c>
      <c r="N140" s="185"/>
      <c r="O140" s="185"/>
      <c r="P140" s="185"/>
      <c r="Q140" s="185"/>
      <c r="R140" s="185"/>
      <c r="S140" s="185"/>
      <c r="T140" s="185"/>
      <c r="U140" s="185"/>
      <c r="V140" s="185"/>
    </row>
    <row r="141" ht="14.25" customHeight="1">
      <c r="A141" s="178"/>
      <c r="B141" s="12">
        <v>1588966.0</v>
      </c>
      <c r="C141" s="13">
        <v>45862.652708333335</v>
      </c>
      <c r="D141" s="179" t="s">
        <v>81</v>
      </c>
      <c r="E141" s="180" t="s">
        <v>6054</v>
      </c>
      <c r="F141" s="181"/>
      <c r="G141" s="179" t="s">
        <v>193</v>
      </c>
      <c r="H141" s="190"/>
      <c r="I141" s="190"/>
      <c r="J141" s="187" t="s">
        <v>3151</v>
      </c>
      <c r="K141" s="187"/>
      <c r="L141" s="184" t="str">
        <f>IFERROR(__xludf.DUMMYFUNCTION("ifna(IF(and(D141=""Saída"",J141=""Sangria""),if(sum(QUERY(IMPORTRANGE(""https://docs.google.com/spreadsheets/d/1E4szPcLzsqlw4uyBAoJ61L1ChCgpz4wVP8tHfHW1g_c"",""BD M Sangrias!a:i""),""select Col6 where Col7 = 'Depositada' and Col9 = '""&amp;K141&amp;""' and Col6 ="&amp;" ""&amp;M141&amp;"" and Col4 = date '""&amp;YEAR(C141)&amp;""-""&amp;MONTH(C141)&amp;""-""&amp;DAY(C141)&amp;""'""))&gt;0,""Depositada"",if(sum(QUERY(IMPORTRANGE(""https://docs.google.com/spreadsheets/d/1EcLIvUgMoBC5as4ikW0wuQsGH5yVZ6cQ1y16qEfgPnk"",""BD M Sangrias!a:i""),""select Col6 whe"&amp;"re Col7 = 'Caixa Atendimento' and Col9 = '""&amp;K141&amp;""' and Col6 = ""&amp;M141&amp;"" and Col4 = date '""&amp;YEAR(C141)&amp;""-""&amp;MONTH(C141)&amp;""-""&amp;DAY(C141)&amp;""'""))&gt;0,""Caixa Atendimento"",""Caixa Sangria"")),""""),""Caixa Sangria"")"),"")</f>
        <v/>
      </c>
      <c r="M141" s="185">
        <f>IFERROR(__xludf.DUMMYFUNCTION("ifna(VALUE(REGEXEXTRACT(E141,""[0-9.]+[,]+[0-9]+"")))"),137.16)</f>
        <v>137.16</v>
      </c>
      <c r="N141" s="185"/>
      <c r="O141" s="185"/>
      <c r="P141" s="185"/>
      <c r="Q141" s="185"/>
      <c r="R141" s="185"/>
      <c r="S141" s="185"/>
      <c r="T141" s="185"/>
      <c r="U141" s="185"/>
      <c r="V141" s="185"/>
    </row>
    <row r="142" ht="14.25" customHeight="1">
      <c r="A142" s="178"/>
      <c r="B142" s="12">
        <v>1588990.0</v>
      </c>
      <c r="C142" s="13">
        <v>45862.66101851852</v>
      </c>
      <c r="D142" s="179" t="s">
        <v>152</v>
      </c>
      <c r="E142" s="180" t="s">
        <v>713</v>
      </c>
      <c r="F142" s="181"/>
      <c r="G142" s="179" t="s">
        <v>5192</v>
      </c>
      <c r="H142" s="190"/>
      <c r="I142" s="190"/>
      <c r="J142" s="187" t="s">
        <v>5195</v>
      </c>
      <c r="K142" s="187"/>
      <c r="L142" s="184" t="str">
        <f>IFERROR(__xludf.DUMMYFUNCTION("ifna(IF(and(D142=""Saída"",J142=""Sangria""),if(sum(QUERY(IMPORTRANGE(""https://docs.google.com/spreadsheets/d/1E4szPcLzsqlw4uyBAoJ61L1ChCgpz4wVP8tHfHW1g_c"",""BD M Sangrias!a:i""),""select Col6 where Col7 = 'Depositada' and Col9 = '""&amp;K142&amp;""' and Col6 ="&amp;" ""&amp;M142&amp;"" and Col4 = date '""&amp;YEAR(C142)&amp;""-""&amp;MONTH(C142)&amp;""-""&amp;DAY(C142)&amp;""'""))&gt;0,""Depositada"",if(sum(QUERY(IMPORTRANGE(""https://docs.google.com/spreadsheets/d/1EcLIvUgMoBC5as4ikW0wuQsGH5yVZ6cQ1y16qEfgPnk"",""BD M Sangrias!a:i""),""select Col6 whe"&amp;"re Col7 = 'Caixa Atendimento' and Col9 = '""&amp;K142&amp;""' and Col6 = ""&amp;M142&amp;"" and Col4 = date '""&amp;YEAR(C142)&amp;""-""&amp;MONTH(C142)&amp;""-""&amp;DAY(C142)&amp;""'""))&gt;0,""Caixa Atendimento"",""Caixa Sangria"")),""""),""Caixa Sangria"")"),"")</f>
        <v/>
      </c>
      <c r="M142" s="185">
        <f>IFERROR(__xludf.DUMMYFUNCTION("ifna(VALUE(REGEXEXTRACT(E142,""[0-9.]+[,]+[0-9]+"")))"),50.0)</f>
        <v>50</v>
      </c>
      <c r="N142" s="185"/>
      <c r="O142" s="185"/>
      <c r="P142" s="185"/>
      <c r="Q142" s="185"/>
      <c r="R142" s="185"/>
      <c r="S142" s="185"/>
      <c r="T142" s="185"/>
      <c r="U142" s="185"/>
      <c r="V142" s="185"/>
    </row>
    <row r="143" ht="14.25" customHeight="1">
      <c r="A143" s="178"/>
      <c r="B143" s="12">
        <v>1588992.0</v>
      </c>
      <c r="C143" s="13">
        <v>45862.66159722222</v>
      </c>
      <c r="D143" s="179" t="s">
        <v>81</v>
      </c>
      <c r="E143" s="180" t="s">
        <v>713</v>
      </c>
      <c r="F143" s="181"/>
      <c r="G143" s="179" t="s">
        <v>6061</v>
      </c>
      <c r="H143" s="190"/>
      <c r="I143" s="190"/>
      <c r="J143" s="187" t="s">
        <v>3151</v>
      </c>
      <c r="K143" s="187"/>
      <c r="L143" s="184" t="str">
        <f>IFERROR(__xludf.DUMMYFUNCTION("ifna(IF(and(D143=""Saída"",J143=""Sangria""),if(sum(QUERY(IMPORTRANGE(""https://docs.google.com/spreadsheets/d/1E4szPcLzsqlw4uyBAoJ61L1ChCgpz4wVP8tHfHW1g_c"",""BD M Sangrias!a:i""),""select Col6 where Col7 = 'Depositada' and Col9 = '""&amp;K143&amp;""' and Col6 ="&amp;" ""&amp;M143&amp;"" and Col4 = date '""&amp;YEAR(C143)&amp;""-""&amp;MONTH(C143)&amp;""-""&amp;DAY(C143)&amp;""'""))&gt;0,""Depositada"",if(sum(QUERY(IMPORTRANGE(""https://docs.google.com/spreadsheets/d/1EcLIvUgMoBC5as4ikW0wuQsGH5yVZ6cQ1y16qEfgPnk"",""BD M Sangrias!a:i""),""select Col6 whe"&amp;"re Col7 = 'Caixa Atendimento' and Col9 = '""&amp;K143&amp;""' and Col6 = ""&amp;M143&amp;"" and Col4 = date '""&amp;YEAR(C143)&amp;""-""&amp;MONTH(C143)&amp;""-""&amp;DAY(C143)&amp;""'""))&gt;0,""Caixa Atendimento"",""Caixa Sangria"")),""""),""Caixa Sangria"")"),"")</f>
        <v/>
      </c>
      <c r="M143" s="185">
        <f>IFERROR(__xludf.DUMMYFUNCTION("ifna(VALUE(REGEXEXTRACT(E143,""[0-9.]+[,]+[0-9]+"")))"),50.0)</f>
        <v>50</v>
      </c>
      <c r="N143" s="185"/>
      <c r="O143" s="185"/>
      <c r="P143" s="185"/>
      <c r="Q143" s="185"/>
      <c r="R143" s="185"/>
      <c r="S143" s="185"/>
      <c r="T143" s="185"/>
      <c r="U143" s="185"/>
      <c r="V143" s="185"/>
    </row>
    <row r="144" ht="14.25" customHeight="1">
      <c r="A144" s="178"/>
      <c r="B144" s="12">
        <v>1589060.0</v>
      </c>
      <c r="C144" s="13">
        <v>45862.68782407408</v>
      </c>
      <c r="D144" s="179" t="s">
        <v>81</v>
      </c>
      <c r="E144" s="180" t="s">
        <v>6062</v>
      </c>
      <c r="F144" s="181"/>
      <c r="G144" s="179" t="s">
        <v>6063</v>
      </c>
      <c r="H144" s="190"/>
      <c r="I144" s="190"/>
      <c r="J144" s="187" t="s">
        <v>3151</v>
      </c>
      <c r="K144" s="187"/>
      <c r="L144" s="184" t="str">
        <f>IFERROR(__xludf.DUMMYFUNCTION("ifna(IF(and(D144=""Saída"",J144=""Sangria""),if(sum(QUERY(IMPORTRANGE(""https://docs.google.com/spreadsheets/d/1E4szPcLzsqlw4uyBAoJ61L1ChCgpz4wVP8tHfHW1g_c"",""BD M Sangrias!a:i""),""select Col6 where Col7 = 'Depositada' and Col9 = '""&amp;K144&amp;""' and Col6 ="&amp;" ""&amp;M144&amp;"" and Col4 = date '""&amp;YEAR(C144)&amp;""-""&amp;MONTH(C144)&amp;""-""&amp;DAY(C144)&amp;""'""))&gt;0,""Depositada"",if(sum(QUERY(IMPORTRANGE(""https://docs.google.com/spreadsheets/d/1EcLIvUgMoBC5as4ikW0wuQsGH5yVZ6cQ1y16qEfgPnk"",""BD M Sangrias!a:i""),""select Col6 whe"&amp;"re Col7 = 'Caixa Atendimento' and Col9 = '""&amp;K144&amp;""' and Col6 = ""&amp;M144&amp;"" and Col4 = date '""&amp;YEAR(C144)&amp;""-""&amp;MONTH(C144)&amp;""-""&amp;DAY(C144)&amp;""'""))&gt;0,""Caixa Atendimento"",""Caixa Sangria"")),""""),""Caixa Sangria"")"),"")</f>
        <v/>
      </c>
      <c r="M144" s="185">
        <f>IFERROR(__xludf.DUMMYFUNCTION("ifna(VALUE(REGEXEXTRACT(E144,""[0-9.]+[,]+[0-9]+"")))"),10.98)</f>
        <v>10.98</v>
      </c>
      <c r="N144" s="185"/>
      <c r="O144" s="185"/>
      <c r="P144" s="185"/>
      <c r="Q144" s="185"/>
      <c r="R144" s="185"/>
      <c r="S144" s="185"/>
      <c r="T144" s="185"/>
      <c r="U144" s="185"/>
      <c r="V144" s="185"/>
    </row>
    <row r="145" ht="14.25" customHeight="1">
      <c r="A145" s="178"/>
      <c r="B145" s="12">
        <v>1589675.0</v>
      </c>
      <c r="C145" s="13">
        <v>45862.924421296295</v>
      </c>
      <c r="D145" s="179" t="s">
        <v>81</v>
      </c>
      <c r="E145" s="180" t="s">
        <v>6064</v>
      </c>
      <c r="F145" s="181"/>
      <c r="G145" s="179" t="s">
        <v>6066</v>
      </c>
      <c r="H145" s="190"/>
      <c r="I145" s="190"/>
      <c r="J145" s="187" t="s">
        <v>2438</v>
      </c>
      <c r="K145" s="187"/>
      <c r="L145" s="184" t="str">
        <f>IFERROR(__xludf.DUMMYFUNCTION("ifna(IF(and(D145=""Saída"",J145=""Sangria""),if(sum(QUERY(IMPORTRANGE(""https://docs.google.com/spreadsheets/d/1E4szPcLzsqlw4uyBAoJ61L1ChCgpz4wVP8tHfHW1g_c"",""BD M Sangrias!a:i""),""select Col6 where Col7 = 'Depositada' and Col9 = '""&amp;K145&amp;""' and Col6 ="&amp;" ""&amp;M145&amp;"" and Col4 = date '""&amp;YEAR(C145)&amp;""-""&amp;MONTH(C145)&amp;""-""&amp;DAY(C145)&amp;""'""))&gt;0,""Depositada"",if(sum(QUERY(IMPORTRANGE(""https://docs.google.com/spreadsheets/d/1EcLIvUgMoBC5as4ikW0wuQsGH5yVZ6cQ1y16qEfgPnk"",""BD M Sangrias!a:i""),""select Col6 whe"&amp;"re Col7 = 'Caixa Atendimento' and Col9 = '""&amp;K145&amp;""' and Col6 = ""&amp;M145&amp;"" and Col4 = date '""&amp;YEAR(C145)&amp;""-""&amp;MONTH(C145)&amp;""-""&amp;DAY(C145)&amp;""'""))&gt;0,""Caixa Atendimento"",""Caixa Sangria"")),""""),""Caixa Sangria"")"),"")</f>
        <v/>
      </c>
      <c r="M145" s="185">
        <f>IFERROR(__xludf.DUMMYFUNCTION("ifna(VALUE(REGEXEXTRACT(E145,""[0-9.]+[,]+[0-9]+"")))"),72.96)</f>
        <v>72.96</v>
      </c>
      <c r="N145" s="185"/>
      <c r="O145" s="185"/>
      <c r="P145" s="185"/>
      <c r="Q145" s="185"/>
      <c r="R145" s="185"/>
      <c r="S145" s="185"/>
      <c r="T145" s="185"/>
      <c r="U145" s="185"/>
      <c r="V145" s="185"/>
    </row>
    <row r="146" ht="14.25" customHeight="1">
      <c r="A146" s="178"/>
      <c r="B146" s="12">
        <v>1589685.0</v>
      </c>
      <c r="C146" s="13">
        <v>45862.92561342593</v>
      </c>
      <c r="D146" s="179" t="s">
        <v>81</v>
      </c>
      <c r="E146" s="180" t="s">
        <v>146</v>
      </c>
      <c r="F146" s="181"/>
      <c r="G146" s="179" t="s">
        <v>5192</v>
      </c>
      <c r="H146" s="190"/>
      <c r="I146" s="190"/>
      <c r="J146" s="187" t="s">
        <v>5195</v>
      </c>
      <c r="K146" s="187"/>
      <c r="L146" s="184" t="str">
        <f>IFERROR(__xludf.DUMMYFUNCTION("ifna(IF(and(D146=""Saída"",J146=""Sangria""),if(sum(QUERY(IMPORTRANGE(""https://docs.google.com/spreadsheets/d/1E4szPcLzsqlw4uyBAoJ61L1ChCgpz4wVP8tHfHW1g_c"",""BD M Sangrias!a:i""),""select Col6 where Col7 = 'Depositada' and Col9 = '""&amp;K146&amp;""' and Col6 ="&amp;" ""&amp;M146&amp;"" and Col4 = date '""&amp;YEAR(C146)&amp;""-""&amp;MONTH(C146)&amp;""-""&amp;DAY(C146)&amp;""'""))&gt;0,""Depositada"",if(sum(QUERY(IMPORTRANGE(""https://docs.google.com/spreadsheets/d/1EcLIvUgMoBC5as4ikW0wuQsGH5yVZ6cQ1y16qEfgPnk"",""BD M Sangrias!a:i""),""select Col6 whe"&amp;"re Col7 = 'Caixa Atendimento' and Col9 = '""&amp;K146&amp;""' and Col6 = ""&amp;M146&amp;"" and Col4 = date '""&amp;YEAR(C146)&amp;""-""&amp;MONTH(C146)&amp;""-""&amp;DAY(C146)&amp;""'""))&gt;0,""Caixa Atendimento"",""Caixa Sangria"")),""""),""Caixa Sangria"")"),"")</f>
        <v/>
      </c>
      <c r="M146" s="185">
        <f>IFERROR(__xludf.DUMMYFUNCTION("ifna(VALUE(REGEXEXTRACT(E146,""[0-9.]+[,]+[0-9]+"")))"),400.0)</f>
        <v>400</v>
      </c>
      <c r="N146" s="185"/>
      <c r="O146" s="185"/>
      <c r="P146" s="185"/>
      <c r="Q146" s="185"/>
      <c r="R146" s="185"/>
      <c r="S146" s="185"/>
      <c r="T146" s="185"/>
      <c r="U146" s="185"/>
      <c r="V146" s="185"/>
    </row>
    <row r="147" ht="14.25" customHeight="1">
      <c r="A147" s="178"/>
      <c r="B147" s="12">
        <v>1590395.0</v>
      </c>
      <c r="C147" s="13">
        <v>45863.696388888886</v>
      </c>
      <c r="D147" s="179" t="s">
        <v>152</v>
      </c>
      <c r="E147" s="180" t="s">
        <v>335</v>
      </c>
      <c r="F147" s="181"/>
      <c r="G147" s="179" t="s">
        <v>267</v>
      </c>
      <c r="H147" s="190"/>
      <c r="I147" s="190"/>
      <c r="J147" s="187" t="s">
        <v>2669</v>
      </c>
      <c r="K147" s="187"/>
      <c r="L147" s="184" t="str">
        <f>IFERROR(__xludf.DUMMYFUNCTION("ifna(IF(and(D147=""Saída"",J147=""Sangria""),if(sum(QUERY(IMPORTRANGE(""https://docs.google.com/spreadsheets/d/1E4szPcLzsqlw4uyBAoJ61L1ChCgpz4wVP8tHfHW1g_c"",""BD M Sangrias!a:i""),""select Col6 where Col7 = 'Depositada' and Col9 = '""&amp;K147&amp;""' and Col6 ="&amp;" ""&amp;M147&amp;"" and Col4 = date '""&amp;YEAR(C147)&amp;""-""&amp;MONTH(C147)&amp;""-""&amp;DAY(C147)&amp;""'""))&gt;0,""Depositada"",if(sum(QUERY(IMPORTRANGE(""https://docs.google.com/spreadsheets/d/1EcLIvUgMoBC5as4ikW0wuQsGH5yVZ6cQ1y16qEfgPnk"",""BD M Sangrias!a:i""),""select Col6 whe"&amp;"re Col7 = 'Caixa Atendimento' and Col9 = '""&amp;K147&amp;""' and Col6 = ""&amp;M147&amp;"" and Col4 = date '""&amp;YEAR(C147)&amp;""-""&amp;MONTH(C147)&amp;""-""&amp;DAY(C147)&amp;""'""))&gt;0,""Caixa Atendimento"",""Caixa Sangria"")),""""),""Caixa Sangria"")"),"")</f>
        <v/>
      </c>
      <c r="M147" s="185">
        <f>IFERROR(__xludf.DUMMYFUNCTION("ifna(VALUE(REGEXEXTRACT(E147,""[0-9.]+[,]+[0-9]+"")))"),10.0)</f>
        <v>10</v>
      </c>
      <c r="N147" s="185"/>
      <c r="O147" s="185"/>
      <c r="P147" s="185"/>
      <c r="Q147" s="185"/>
      <c r="R147" s="185"/>
      <c r="S147" s="185"/>
      <c r="T147" s="185"/>
      <c r="U147" s="185"/>
      <c r="V147" s="185"/>
    </row>
    <row r="148" ht="14.25" customHeight="1">
      <c r="A148" s="178"/>
      <c r="B148" s="12">
        <v>1590445.0</v>
      </c>
      <c r="C148" s="13">
        <v>45863.70751157407</v>
      </c>
      <c r="D148" s="179" t="s">
        <v>81</v>
      </c>
      <c r="E148" s="180" t="s">
        <v>590</v>
      </c>
      <c r="F148" s="188"/>
      <c r="G148" s="179" t="s">
        <v>4071</v>
      </c>
      <c r="H148" s="190"/>
      <c r="I148" s="190"/>
      <c r="J148" s="187" t="s">
        <v>2735</v>
      </c>
      <c r="K148" s="187" t="s">
        <v>2018</v>
      </c>
      <c r="L148" s="184" t="str">
        <f>IFERROR(__xludf.DUMMYFUNCTION("ifna(IF(and(D148=""Saída"",J148=""Sangria""),if(sum(QUERY(IMPORTRANGE(""https://docs.google.com/spreadsheets/d/1E4szPcLzsqlw4uyBAoJ61L1ChCgpz4wVP8tHfHW1g_c"",""BD M Sangrias!a:i""),""select Col6 where Col7 = 'Depositada' and Col9 = '""&amp;K148&amp;""' and Col6 ="&amp;" ""&amp;M148&amp;"" and Col4 = date '""&amp;YEAR(C148)&amp;""-""&amp;MONTH(C148)&amp;""-""&amp;DAY(C148)&amp;""'""))&gt;0,""Depositada"",if(sum(QUERY(IMPORTRANGE(""https://docs.google.com/spreadsheets/d/1EcLIvUgMoBC5as4ikW0wuQsGH5yVZ6cQ1y16qEfgPnk"",""BD M Sangrias!a:i""),""select Col6 whe"&amp;"re Col7 = 'Caixa Atendimento' and Col9 = '""&amp;K148&amp;""' and Col6 = ""&amp;M148&amp;"" and Col4 = date '""&amp;YEAR(C148)&amp;""-""&amp;MONTH(C148)&amp;""-""&amp;DAY(C148)&amp;""'""))&gt;0,""Caixa Atendimento"",""Caixa Sangria"")),""""),""Caixa Sangria"")"),"#REF!")</f>
        <v>#REF!</v>
      </c>
      <c r="M148" s="185">
        <f>IFERROR(__xludf.DUMMYFUNCTION("ifna(VALUE(REGEXEXTRACT(E148,""[0-9.]+[,]+[0-9]+"")))"),350.0)</f>
        <v>350</v>
      </c>
      <c r="N148" s="185"/>
      <c r="O148" s="185"/>
      <c r="P148" s="185"/>
      <c r="Q148" s="185"/>
      <c r="R148" s="185"/>
      <c r="S148" s="185"/>
      <c r="T148" s="185"/>
      <c r="U148" s="185"/>
      <c r="V148" s="185"/>
    </row>
    <row r="149" ht="14.25" customHeight="1">
      <c r="A149" s="178"/>
      <c r="B149" s="12">
        <v>1591398.0</v>
      </c>
      <c r="C149" s="13">
        <v>45863.96980324074</v>
      </c>
      <c r="D149" s="179" t="s">
        <v>81</v>
      </c>
      <c r="E149" s="180" t="s">
        <v>457</v>
      </c>
      <c r="F149" s="188"/>
      <c r="G149" s="179" t="s">
        <v>6078</v>
      </c>
      <c r="H149" s="190"/>
      <c r="I149" s="190"/>
      <c r="J149" s="187" t="s">
        <v>2735</v>
      </c>
      <c r="K149" s="187" t="s">
        <v>1894</v>
      </c>
      <c r="L149" s="184" t="str">
        <f>IFERROR(__xludf.DUMMYFUNCTION("ifna(IF(and(D149=""Saída"",J149=""Sangria""),if(sum(QUERY(IMPORTRANGE(""https://docs.google.com/spreadsheets/d/1E4szPcLzsqlw4uyBAoJ61L1ChCgpz4wVP8tHfHW1g_c"",""BD M Sangrias!a:i""),""select Col6 where Col7 = 'Depositada' and Col9 = '""&amp;K149&amp;""' and Col6 ="&amp;" ""&amp;M149&amp;"" and Col4 = date '""&amp;YEAR(C149)&amp;""-""&amp;MONTH(C149)&amp;""-""&amp;DAY(C149)&amp;""'""))&gt;0,""Depositada"",if(sum(QUERY(IMPORTRANGE(""https://docs.google.com/spreadsheets/d/1EcLIvUgMoBC5as4ikW0wuQsGH5yVZ6cQ1y16qEfgPnk"",""BD M Sangrias!a:i""),""select Col6 whe"&amp;"re Col7 = 'Caixa Atendimento' and Col9 = '""&amp;K149&amp;""' and Col6 = ""&amp;M149&amp;"" and Col4 = date '""&amp;YEAR(C149)&amp;""-""&amp;MONTH(C149)&amp;""-""&amp;DAY(C149)&amp;""'""))&gt;0,""Caixa Atendimento"",""Caixa Sangria"")),""""),""Caixa Sangria"")"),"#REF!")</f>
        <v>#REF!</v>
      </c>
      <c r="M149" s="185">
        <f>IFERROR(__xludf.DUMMYFUNCTION("ifna(VALUE(REGEXEXTRACT(E149,""[0-9.]+[,]+[0-9]+"")))"),200.0)</f>
        <v>200</v>
      </c>
      <c r="N149" s="185"/>
      <c r="O149" s="185"/>
      <c r="P149" s="185"/>
      <c r="Q149" s="185"/>
      <c r="R149" s="185"/>
      <c r="S149" s="185"/>
      <c r="T149" s="185"/>
      <c r="U149" s="185"/>
      <c r="V149" s="185"/>
    </row>
    <row r="150" ht="14.25" customHeight="1">
      <c r="A150" s="178"/>
      <c r="B150" s="12"/>
      <c r="C150" s="13"/>
      <c r="D150" s="179"/>
      <c r="E150" s="180"/>
      <c r="F150" s="181"/>
      <c r="G150" s="179"/>
      <c r="H150" s="190"/>
      <c r="I150" s="190"/>
      <c r="J150" s="187"/>
      <c r="K150" s="187"/>
      <c r="L150" s="184" t="str">
        <f>IFERROR(__xludf.DUMMYFUNCTION("ifna(IF(and(D150=""Saída"",J150=""Sangria""),if(sum(QUERY(IMPORTRANGE(""https://docs.google.com/spreadsheets/d/1E4szPcLzsqlw4uyBAoJ61L1ChCgpz4wVP8tHfHW1g_c"",""BD M Sangrias!a:i""),""select Col6 where Col7 = 'Depositada' and Col9 = '""&amp;K150&amp;""' and Col6 ="&amp;" ""&amp;M150&amp;"" and Col4 = date '""&amp;YEAR(C150)&amp;""-""&amp;MONTH(C150)&amp;""-""&amp;DAY(C150)&amp;""'""))&gt;0,""Depositada"",if(sum(QUERY(IMPORTRANGE(""https://docs.google.com/spreadsheets/d/1EcLIvUgMoBC5as4ikW0wuQsGH5yVZ6cQ1y16qEfgPnk"",""BD M Sangrias!a:i""),""select Col6 whe"&amp;"re Col7 = 'Caixa Atendimento' and Col9 = '""&amp;K150&amp;""' and Col6 = ""&amp;M150&amp;"" and Col4 = date '""&amp;YEAR(C150)&amp;""-""&amp;MONTH(C150)&amp;""-""&amp;DAY(C150)&amp;""'""))&gt;0,""Caixa Atendimento"",""Caixa Sangria"")),""""),""Caixa Sangria"")"),"")</f>
        <v/>
      </c>
      <c r="M150" s="185" t="str">
        <f>IFERROR(__xludf.DUMMYFUNCTION("ifna(VALUE(REGEXEXTRACT(E150,""[0-9.]+[,]+[0-9]+"")))"),"")</f>
        <v/>
      </c>
      <c r="N150" s="185"/>
      <c r="O150" s="185"/>
      <c r="P150" s="185"/>
      <c r="Q150" s="185"/>
      <c r="R150" s="185"/>
      <c r="S150" s="185"/>
      <c r="T150" s="185"/>
      <c r="U150" s="185"/>
      <c r="V150" s="185"/>
    </row>
    <row r="151" ht="14.25" customHeight="1">
      <c r="A151" s="178"/>
      <c r="B151" s="12"/>
      <c r="C151" s="13"/>
      <c r="D151" s="179"/>
      <c r="E151" s="180"/>
      <c r="F151" s="181"/>
      <c r="G151" s="179"/>
      <c r="H151" s="190"/>
      <c r="I151" s="190"/>
      <c r="J151" s="187"/>
      <c r="K151" s="187"/>
      <c r="L151" s="184" t="str">
        <f>IFERROR(__xludf.DUMMYFUNCTION("ifna(IF(and(D151=""Saída"",J151=""Sangria""),if(sum(QUERY(IMPORTRANGE(""https://docs.google.com/spreadsheets/d/1E4szPcLzsqlw4uyBAoJ61L1ChCgpz4wVP8tHfHW1g_c"",""BD M Sangrias!a:i""),""select Col6 where Col7 = 'Depositada' and Col9 = '""&amp;K151&amp;""' and Col6 ="&amp;" ""&amp;M151&amp;"" and Col4 = date '""&amp;YEAR(#REF!)&amp;""-""&amp;MONTH(#REF!)&amp;""-""&amp;DAY(#REF!)&amp;""'""))&gt;0,""Depositada"",if(sum(QUERY(IMPORTRANGE(""https://docs.google.com/spreadsheets/d/1EcLIvUgMoBC5as4ikW0wuQsGH5yVZ6cQ1y16qEfgPnk"",""BD M Sangrias!a:i""),""select Col6 "&amp;"where Col7 = 'Caixa Atendimento' and Col9 = '""&amp;K151&amp;""' and Col6 = ""&amp;M151&amp;"" and Col4 = date '""&amp;YEAR(#REF!)&amp;""-""&amp;MONTH(#REF!)&amp;""-""&amp;DAY(#REF!)&amp;""'""))&gt;0,""Caixa Atendimento"",""Caixa Sangria"")),""""),""Caixa Sangria"")"),"")</f>
        <v/>
      </c>
      <c r="M151" s="185" t="str">
        <f>IFERROR(__xludf.DUMMYFUNCTION("ifna(VALUE(REGEXEXTRACT(E151,""[0-9.]+[,]+[0-9]+"")))"),"")</f>
        <v/>
      </c>
      <c r="N151" s="185"/>
      <c r="O151" s="185"/>
      <c r="P151" s="185"/>
      <c r="Q151" s="185"/>
      <c r="R151" s="185"/>
      <c r="S151" s="185"/>
      <c r="T151" s="185"/>
      <c r="U151" s="185"/>
      <c r="V151" s="185"/>
    </row>
    <row r="152" ht="14.25" customHeight="1">
      <c r="A152" s="178"/>
      <c r="B152" s="12"/>
      <c r="C152" s="13"/>
      <c r="D152" s="179"/>
      <c r="E152" s="180"/>
      <c r="F152" s="181"/>
      <c r="G152" s="179"/>
      <c r="H152" s="190"/>
      <c r="I152" s="190"/>
      <c r="J152" s="187"/>
      <c r="K152" s="187"/>
      <c r="L152" s="184" t="str">
        <f>IFERROR(__xludf.DUMMYFUNCTION("ifna(IF(and(D152=""Saída"",J152=""Sangria""),if(sum(QUERY(IMPORTRANGE(""https://docs.google.com/spreadsheets/d/1E4szPcLzsqlw4uyBAoJ61L1ChCgpz4wVP8tHfHW1g_c"",""BD M Sangrias!a:i""),""select Col6 where Col7 = 'Depositada' and Col9 = '""&amp;K152&amp;""' and Col6 ="&amp;" ""&amp;M152&amp;"" and Col4 = date '""&amp;YEAR(C151)&amp;""-""&amp;MONTH(C151)&amp;""-""&amp;DAY(C151)&amp;""'""))&gt;0,""Depositada"",if(sum(QUERY(IMPORTRANGE(""https://docs.google.com/spreadsheets/d/1EcLIvUgMoBC5as4ikW0wuQsGH5yVZ6cQ1y16qEfgPnk"",""BD M Sangrias!a:i""),""select Col6 whe"&amp;"re Col7 = 'Caixa Atendimento' and Col9 = '""&amp;K152&amp;""' and Col6 = ""&amp;M152&amp;"" and Col4 = date '""&amp;YEAR(C151)&amp;""-""&amp;MONTH(C151)&amp;""-""&amp;DAY(C151)&amp;""'""))&gt;0,""Caixa Atendimento"",""Caixa Sangria"")),""""),""Caixa Sangria"")"),"")</f>
        <v/>
      </c>
      <c r="M152" s="185" t="str">
        <f>IFERROR(__xludf.DUMMYFUNCTION("ifna(VALUE(REGEXEXTRACT(E152,""[0-9.]+[,]+[0-9]+"")))"),"")</f>
        <v/>
      </c>
      <c r="N152" s="185"/>
      <c r="O152" s="185"/>
      <c r="P152" s="185"/>
      <c r="Q152" s="185"/>
      <c r="R152" s="185"/>
      <c r="S152" s="185"/>
      <c r="T152" s="185"/>
      <c r="U152" s="185"/>
      <c r="V152" s="185"/>
    </row>
    <row r="153" ht="14.25" customHeight="1">
      <c r="A153" s="178"/>
      <c r="B153" s="12"/>
      <c r="C153" s="13"/>
      <c r="D153" s="179"/>
      <c r="E153" s="180"/>
      <c r="F153" s="188"/>
      <c r="G153" s="179">
        <f>SUMIF(J67:J149,"Cortesias",M67:M149)</f>
        <v>312.87</v>
      </c>
      <c r="H153" s="190"/>
      <c r="I153" s="190"/>
      <c r="J153" s="187"/>
      <c r="K153" s="187"/>
      <c r="L153" s="184" t="str">
        <f>IFERROR(__xludf.DUMMYFUNCTION("ifna(IF(and(D153=""Saída"",J153=""Sangria""),if(sum(QUERY(IMPORTRANGE(""https://docs.google.com/spreadsheets/d/1E4szPcLzsqlw4uyBAoJ61L1ChCgpz4wVP8tHfHW1g_c"",""BD M Sangrias!a:i""),""select Col6 where Col7 = 'Depositada' and Col9 = '""&amp;K153&amp;""' and Col6 ="&amp;" ""&amp;M153&amp;"" and Col4 = date '""&amp;YEAR(#REF!)&amp;""-""&amp;MONTH(#REF!)&amp;""-""&amp;DAY(#REF!)&amp;""'""))&gt;0,""Depositada"",if(sum(QUERY(IMPORTRANGE(""https://docs.google.com/spreadsheets/d/1EcLIvUgMoBC5as4ikW0wuQsGH5yVZ6cQ1y16qEfgPnk"",""BD M Sangrias!a:i""),""select Col6 "&amp;"where Col7 = 'Caixa Atendimento' and Col9 = '""&amp;K153&amp;""' and Col6 = ""&amp;M153&amp;"" and Col4 = date '""&amp;YEAR(#REF!)&amp;""-""&amp;MONTH(#REF!)&amp;""-""&amp;DAY(#REF!)&amp;""'""))&gt;0,""Caixa Atendimento"",""Caixa Sangria"")),""""),""Caixa Sangria"")"),"")</f>
        <v/>
      </c>
      <c r="M153" s="185" t="str">
        <f>IFERROR(__xludf.DUMMYFUNCTION("ifna(VALUE(REGEXEXTRACT(E153,""[0-9.]+[,]+[0-9]+"")))"),"")</f>
        <v/>
      </c>
      <c r="N153" s="185"/>
      <c r="O153" s="185"/>
      <c r="P153" s="185"/>
      <c r="Q153" s="185"/>
      <c r="R153" s="185"/>
      <c r="S153" s="185"/>
      <c r="T153" s="185"/>
      <c r="U153" s="185"/>
      <c r="V153" s="185"/>
    </row>
    <row r="154" ht="14.25" customHeight="1">
      <c r="A154" s="178"/>
      <c r="B154" s="12"/>
      <c r="C154" s="13"/>
      <c r="D154" s="179"/>
      <c r="E154" s="180"/>
      <c r="F154" s="188"/>
      <c r="G154" s="179"/>
      <c r="H154" s="190"/>
      <c r="I154" s="190"/>
      <c r="J154" s="187"/>
      <c r="K154" s="187"/>
      <c r="L154" s="184" t="str">
        <f>IFERROR(__xludf.DUMMYFUNCTION("ifna(IF(and(D154=""Saída"",J154=""Sangria""),if(sum(QUERY(IMPORTRANGE(""https://docs.google.com/spreadsheets/d/1E4szPcLzsqlw4uyBAoJ61L1ChCgpz4wVP8tHfHW1g_c"",""BD M Sangrias!a:i""),""select Col6 where Col7 = 'Depositada' and Col9 = '""&amp;K154&amp;""' and Col6 ="&amp;" ""&amp;M154&amp;"" and Col4 = date '""&amp;YEAR(C153)&amp;""-""&amp;MONTH(C153)&amp;""-""&amp;DAY(C153)&amp;""'""))&gt;0,""Depositada"",if(sum(QUERY(IMPORTRANGE(""https://docs.google.com/spreadsheets/d/1EcLIvUgMoBC5as4ikW0wuQsGH5yVZ6cQ1y16qEfgPnk"",""BD M Sangrias!a:i""),""select Col6 whe"&amp;"re Col7 = 'Caixa Atendimento' and Col9 = '""&amp;K154&amp;""' and Col6 = ""&amp;M154&amp;"" and Col4 = date '""&amp;YEAR(C153)&amp;""-""&amp;MONTH(C153)&amp;""-""&amp;DAY(C153)&amp;""'""))&gt;0,""Caixa Atendimento"",""Caixa Sangria"")),""""),""Caixa Sangria"")"),"")</f>
        <v/>
      </c>
      <c r="M154" s="185" t="str">
        <f>IFERROR(__xludf.DUMMYFUNCTION("ifna(VALUE(REGEXEXTRACT(E154,""[0-9.]+[,]+[0-9]+"")))"),"")</f>
        <v/>
      </c>
      <c r="N154" s="185"/>
      <c r="O154" s="185"/>
      <c r="P154" s="185"/>
      <c r="Q154" s="185"/>
      <c r="R154" s="185"/>
      <c r="S154" s="185"/>
      <c r="T154" s="185"/>
      <c r="U154" s="185"/>
      <c r="V154" s="185"/>
    </row>
    <row r="155" ht="14.25" customHeight="1">
      <c r="A155" s="178"/>
      <c r="B155" s="12"/>
      <c r="C155" s="13"/>
      <c r="D155" s="179"/>
      <c r="E155" s="180"/>
      <c r="F155" s="181"/>
      <c r="G155" s="179"/>
      <c r="H155" s="190"/>
      <c r="I155" s="190"/>
      <c r="J155" s="187"/>
      <c r="K155" s="187"/>
      <c r="L155" s="184" t="str">
        <f>IFERROR(__xludf.DUMMYFUNCTION("ifna(IF(and(D155=""Saída"",J155=""Sangria""),if(sum(QUERY(IMPORTRANGE(""https://docs.google.com/spreadsheets/d/1E4szPcLzsqlw4uyBAoJ61L1ChCgpz4wVP8tHfHW1g_c"",""BD M Sangrias!a:i""),""select Col6 where Col7 = 'Depositada' and Col9 = '""&amp;K155&amp;""' and Col6 ="&amp;" ""&amp;M155&amp;"" and Col4 = date '""&amp;YEAR(C155)&amp;""-""&amp;MONTH(C155)&amp;""-""&amp;DAY(C155)&amp;""'""))&gt;0,""Depositada"",if(sum(QUERY(IMPORTRANGE(""https://docs.google.com/spreadsheets/d/1EcLIvUgMoBC5as4ikW0wuQsGH5yVZ6cQ1y16qEfgPnk"",""BD M Sangrias!a:i""),""select Col6 whe"&amp;"re Col7 = 'Caixa Atendimento' and Col9 = '""&amp;K155&amp;""' and Col6 = ""&amp;M155&amp;"" and Col4 = date '""&amp;YEAR(C155)&amp;""-""&amp;MONTH(C155)&amp;""-""&amp;DAY(C155)&amp;""'""))&gt;0,""Caixa Atendimento"",""Caixa Sangria"")),""""),""Caixa Sangria"")"),"")</f>
        <v/>
      </c>
      <c r="M155" s="185" t="str">
        <f>IFERROR(__xludf.DUMMYFUNCTION("ifna(VALUE(REGEXEXTRACT(E155,""[0-9.]+[,]+[0-9]+"")))"),"")</f>
        <v/>
      </c>
      <c r="N155" s="185"/>
      <c r="O155" s="185"/>
      <c r="P155" s="185"/>
      <c r="Q155" s="185"/>
      <c r="R155" s="185"/>
      <c r="S155" s="185"/>
      <c r="T155" s="185"/>
      <c r="U155" s="185"/>
      <c r="V155" s="185"/>
    </row>
    <row r="156" ht="14.25" customHeight="1">
      <c r="A156" s="178"/>
      <c r="B156" s="12"/>
      <c r="C156" s="13"/>
      <c r="D156" s="179"/>
      <c r="E156" s="180"/>
      <c r="F156" s="181"/>
      <c r="G156" s="179"/>
      <c r="H156" s="190"/>
      <c r="I156" s="190"/>
      <c r="J156" s="187"/>
      <c r="K156" s="187"/>
      <c r="L156" s="184" t="str">
        <f>IFERROR(__xludf.DUMMYFUNCTION("ifna(IF(and(D156=""Saída"",J156=""Sangria""),if(sum(QUERY(IMPORTRANGE(""https://docs.google.com/spreadsheets/d/1E4szPcLzsqlw4uyBAoJ61L1ChCgpz4wVP8tHfHW1g_c"",""BD M Sangrias!a:i""),""select Col6 where Col7 = 'Depositada' and Col9 = '""&amp;K156&amp;""' and Col6 ="&amp;" ""&amp;M156&amp;"" and Col4 = date '""&amp;YEAR(C156)&amp;""-""&amp;MONTH(C156)&amp;""-""&amp;DAY(C156)&amp;""'""))&gt;0,""Depositada"",if(sum(QUERY(IMPORTRANGE(""https://docs.google.com/spreadsheets/d/1EcLIvUgMoBC5as4ikW0wuQsGH5yVZ6cQ1y16qEfgPnk"",""BD M Sangrias!a:i""),""select Col6 whe"&amp;"re Col7 = 'Caixa Atendimento' and Col9 = '""&amp;K156&amp;""' and Col6 = ""&amp;M156&amp;"" and Col4 = date '""&amp;YEAR(C156)&amp;""-""&amp;MONTH(C156)&amp;""-""&amp;DAY(C156)&amp;""'""))&gt;0,""Caixa Atendimento"",""Caixa Sangria"")),""""),""Caixa Sangria"")"),"")</f>
        <v/>
      </c>
      <c r="M156" s="185" t="str">
        <f>IFERROR(__xludf.DUMMYFUNCTION("ifna(VALUE(REGEXEXTRACT(E156,""[0-9.]+[,]+[0-9]+"")))"),"")</f>
        <v/>
      </c>
      <c r="N156" s="185"/>
      <c r="O156" s="185"/>
      <c r="P156" s="185"/>
      <c r="Q156" s="185"/>
      <c r="R156" s="185"/>
      <c r="S156" s="185"/>
      <c r="T156" s="185"/>
      <c r="U156" s="185"/>
      <c r="V156" s="185"/>
    </row>
    <row r="157" ht="14.25" customHeight="1">
      <c r="A157" s="178"/>
      <c r="B157" s="12"/>
      <c r="C157" s="13"/>
      <c r="D157" s="179"/>
      <c r="E157" s="180"/>
      <c r="F157" s="181"/>
      <c r="G157" s="179"/>
      <c r="H157" s="190"/>
      <c r="I157" s="190"/>
      <c r="J157" s="187"/>
      <c r="K157" s="187"/>
      <c r="L157" s="184" t="str">
        <f>IFERROR(__xludf.DUMMYFUNCTION("ifna(IF(and(D157=""Saída"",J157=""Sangria""),if(sum(QUERY(IMPORTRANGE(""https://docs.google.com/spreadsheets/d/1E4szPcLzsqlw4uyBAoJ61L1ChCgpz4wVP8tHfHW1g_c"",""BD M Sangrias!a:i""),""select Col6 where Col7 = 'Depositada' and Col9 = '""&amp;K157&amp;""' and Col6 ="&amp;" ""&amp;M157&amp;"" and Col4 = date '""&amp;YEAR(C157)&amp;""-""&amp;MONTH(C157)&amp;""-""&amp;DAY(C157)&amp;""'""))&gt;0,""Depositada"",if(sum(QUERY(IMPORTRANGE(""https://docs.google.com/spreadsheets/d/1EcLIvUgMoBC5as4ikW0wuQsGH5yVZ6cQ1y16qEfgPnk"",""BD M Sangrias!a:i""),""select Col6 whe"&amp;"re Col7 = 'Caixa Atendimento' and Col9 = '""&amp;K157&amp;""' and Col6 = ""&amp;M157&amp;"" and Col4 = date '""&amp;YEAR(C157)&amp;""-""&amp;MONTH(C157)&amp;""-""&amp;DAY(C157)&amp;""'""))&gt;0,""Caixa Atendimento"",""Caixa Sangria"")),""""),""Caixa Sangria"")"),"")</f>
        <v/>
      </c>
      <c r="M157" s="185" t="str">
        <f>IFERROR(__xludf.DUMMYFUNCTION("ifna(VALUE(REGEXEXTRACT(E157,""[0-9.]+[,]+[0-9]+"")))"),"")</f>
        <v/>
      </c>
      <c r="N157" s="185"/>
      <c r="O157" s="185"/>
      <c r="P157" s="185"/>
      <c r="Q157" s="185"/>
      <c r="R157" s="185"/>
      <c r="S157" s="185"/>
      <c r="T157" s="185"/>
      <c r="U157" s="185"/>
      <c r="V157" s="185"/>
    </row>
    <row r="158" ht="14.25" customHeight="1">
      <c r="A158" s="178"/>
      <c r="B158" s="12"/>
      <c r="C158" s="13"/>
      <c r="D158" s="179"/>
      <c r="E158" s="180"/>
      <c r="F158" s="188"/>
      <c r="G158" s="179"/>
      <c r="H158" s="190"/>
      <c r="I158" s="190"/>
      <c r="J158" s="187"/>
      <c r="K158" s="187"/>
      <c r="L158" s="184" t="str">
        <f>IFERROR(__xludf.DUMMYFUNCTION("ifna(IF(and(D158=""Saída"",J158=""Sangria""),if(sum(QUERY(IMPORTRANGE(""https://docs.google.com/spreadsheets/d/1E4szPcLzsqlw4uyBAoJ61L1ChCgpz4wVP8tHfHW1g_c"",""BD M Sangrias!a:i""),""select Col6 where Col7 = 'Depositada' and Col9 = '""&amp;K158&amp;""' and Col6 ="&amp;" ""&amp;M158&amp;"" and Col4 = date '""&amp;YEAR(C158)&amp;""-""&amp;MONTH(C158)&amp;""-""&amp;DAY(C158)&amp;""'""))&gt;0,""Depositada"",if(sum(QUERY(IMPORTRANGE(""https://docs.google.com/spreadsheets/d/1EcLIvUgMoBC5as4ikW0wuQsGH5yVZ6cQ1y16qEfgPnk"",""BD M Sangrias!a:i""),""select Col6 whe"&amp;"re Col7 = 'Caixa Atendimento' and Col9 = '""&amp;K158&amp;""' and Col6 = ""&amp;M158&amp;"" and Col4 = date '""&amp;YEAR(C158)&amp;""-""&amp;MONTH(C158)&amp;""-""&amp;DAY(C158)&amp;""'""))&gt;0,""Caixa Atendimento"",""Caixa Sangria"")),""""),""Caixa Sangria"")"),"")</f>
        <v/>
      </c>
      <c r="M158" s="185" t="str">
        <f>IFERROR(__xludf.DUMMYFUNCTION("ifna(VALUE(REGEXEXTRACT(E158,""[0-9.]+[,]+[0-9]+"")))"),"")</f>
        <v/>
      </c>
      <c r="N158" s="185"/>
      <c r="O158" s="185"/>
      <c r="P158" s="185"/>
      <c r="Q158" s="185"/>
      <c r="R158" s="185"/>
      <c r="S158" s="185"/>
      <c r="T158" s="185"/>
      <c r="U158" s="185"/>
      <c r="V158" s="185"/>
    </row>
    <row r="159" ht="14.25" customHeight="1">
      <c r="A159" s="178"/>
      <c r="B159" s="12"/>
      <c r="C159" s="13"/>
      <c r="D159" s="179"/>
      <c r="E159" s="180"/>
      <c r="F159" s="181"/>
      <c r="G159" s="179"/>
      <c r="H159" s="190"/>
      <c r="I159" s="190"/>
      <c r="J159" s="187"/>
      <c r="K159" s="187"/>
      <c r="L159" s="184" t="str">
        <f>IFERROR(__xludf.DUMMYFUNCTION("ifna(IF(and(D159=""Saída"",J159=""Sangria""),if(sum(QUERY(IMPORTRANGE(""https://docs.google.com/spreadsheets/d/1E4szPcLzsqlw4uyBAoJ61L1ChCgpz4wVP8tHfHW1g_c"",""BD M Sangrias!a:i""),""select Col6 where Col7 = 'Depositada' and Col9 = '""&amp;K159&amp;""' and Col6 ="&amp;" ""&amp;M159&amp;"" and Col4 = date '""&amp;YEAR(C159)&amp;""-""&amp;MONTH(C159)&amp;""-""&amp;DAY(C159)&amp;""'""))&gt;0,""Depositada"",if(sum(QUERY(IMPORTRANGE(""https://docs.google.com/spreadsheets/d/1EcLIvUgMoBC5as4ikW0wuQsGH5yVZ6cQ1y16qEfgPnk"",""BD M Sangrias!a:i""),""select Col6 whe"&amp;"re Col7 = 'Caixa Atendimento' and Col9 = '""&amp;K159&amp;""' and Col6 = ""&amp;M159&amp;"" and Col4 = date '""&amp;YEAR(C159)&amp;""-""&amp;MONTH(C159)&amp;""-""&amp;DAY(C159)&amp;""'""))&gt;0,""Caixa Atendimento"",""Caixa Sangria"")),""""),""Caixa Sangria"")"),"")</f>
        <v/>
      </c>
      <c r="M159" s="185" t="str">
        <f>IFERROR(__xludf.DUMMYFUNCTION("ifna(VALUE(REGEXEXTRACT(E159,""[0-9.]+[,]+[0-9]+"")))"),"")</f>
        <v/>
      </c>
      <c r="N159" s="185"/>
      <c r="O159" s="185"/>
      <c r="P159" s="185"/>
      <c r="Q159" s="185"/>
      <c r="R159" s="185"/>
      <c r="S159" s="185"/>
      <c r="T159" s="185"/>
      <c r="U159" s="185"/>
      <c r="V159" s="185"/>
    </row>
    <row r="160" ht="14.25" customHeight="1">
      <c r="A160" s="178"/>
      <c r="B160" s="12"/>
      <c r="C160" s="13"/>
      <c r="D160" s="179"/>
      <c r="E160" s="180"/>
      <c r="F160" s="181"/>
      <c r="G160" s="179"/>
      <c r="H160" s="190"/>
      <c r="I160" s="190"/>
      <c r="J160" s="187"/>
      <c r="K160" s="187"/>
      <c r="L160" s="184" t="str">
        <f>IFERROR(__xludf.DUMMYFUNCTION("ifna(IF(and(D160=""Saída"",J160=""Sangria""),if(sum(QUERY(IMPORTRANGE(""https://docs.google.com/spreadsheets/d/1E4szPcLzsqlw4uyBAoJ61L1ChCgpz4wVP8tHfHW1g_c"",""BD M Sangrias!a:i""),""select Col6 where Col7 = 'Depositada' and Col9 = '""&amp;K160&amp;""' and Col6 ="&amp;" ""&amp;M160&amp;"" and Col4 = date '""&amp;YEAR(C160)&amp;""-""&amp;MONTH(C160)&amp;""-""&amp;DAY(C160)&amp;""'""))&gt;0,""Depositada"",if(sum(QUERY(IMPORTRANGE(""https://docs.google.com/spreadsheets/d/1EcLIvUgMoBC5as4ikW0wuQsGH5yVZ6cQ1y16qEfgPnk"",""BD M Sangrias!a:i""),""select Col6 whe"&amp;"re Col7 = 'Caixa Atendimento' and Col9 = '""&amp;K160&amp;""' and Col6 = ""&amp;M160&amp;"" and Col4 = date '""&amp;YEAR(C160)&amp;""-""&amp;MONTH(C160)&amp;""-""&amp;DAY(C160)&amp;""'""))&gt;0,""Caixa Atendimento"",""Caixa Sangria"")),""""),""Caixa Sangria"")"),"")</f>
        <v/>
      </c>
      <c r="M160" s="185" t="str">
        <f>IFERROR(__xludf.DUMMYFUNCTION("ifna(VALUE(REGEXEXTRACT(E160,""[0-9.]+[,]+[0-9]+"")))"),"")</f>
        <v/>
      </c>
      <c r="N160" s="185"/>
      <c r="O160" s="185"/>
      <c r="P160" s="185"/>
      <c r="Q160" s="185"/>
      <c r="R160" s="185"/>
      <c r="S160" s="185"/>
      <c r="T160" s="185"/>
      <c r="U160" s="185"/>
      <c r="V160" s="185"/>
    </row>
    <row r="161" ht="14.25" customHeight="1">
      <c r="A161" s="178"/>
      <c r="B161" s="12"/>
      <c r="C161" s="13"/>
      <c r="D161" s="179"/>
      <c r="E161" s="180"/>
      <c r="F161" s="188"/>
      <c r="G161" s="179"/>
      <c r="H161" s="190"/>
      <c r="I161" s="190"/>
      <c r="J161" s="187"/>
      <c r="K161" s="187"/>
      <c r="L161" s="184" t="str">
        <f>IFERROR(__xludf.DUMMYFUNCTION("ifna(IF(and(D161=""Saída"",J161=""Sangria""),if(sum(QUERY(IMPORTRANGE(""https://docs.google.com/spreadsheets/d/1E4szPcLzsqlw4uyBAoJ61L1ChCgpz4wVP8tHfHW1g_c"",""BD M Sangrias!a:i""),""select Col6 where Col7 = 'Depositada' and Col9 = '""&amp;K161&amp;""' and Col6 ="&amp;" ""&amp;M161&amp;"" and Col4 = date '""&amp;YEAR(C161)&amp;""-""&amp;MONTH(C161)&amp;""-""&amp;DAY(C161)&amp;""'""))&gt;0,""Depositada"",if(sum(QUERY(IMPORTRANGE(""https://docs.google.com/spreadsheets/d/1EcLIvUgMoBC5as4ikW0wuQsGH5yVZ6cQ1y16qEfgPnk"",""BD M Sangrias!a:i""),""select Col6 whe"&amp;"re Col7 = 'Caixa Atendimento' and Col9 = '""&amp;K161&amp;""' and Col6 = ""&amp;M161&amp;"" and Col4 = date '""&amp;YEAR(C161)&amp;""-""&amp;MONTH(C161)&amp;""-""&amp;DAY(C161)&amp;""'""))&gt;0,""Caixa Atendimento"",""Caixa Sangria"")),""""),""Caixa Sangria"")"),"")</f>
        <v/>
      </c>
      <c r="M161" s="185" t="str">
        <f>IFERROR(__xludf.DUMMYFUNCTION("ifna(VALUE(REGEXEXTRACT(E161,""[0-9.]+[,]+[0-9]+"")))"),"")</f>
        <v/>
      </c>
      <c r="N161" s="185"/>
      <c r="O161" s="185"/>
      <c r="P161" s="185"/>
      <c r="Q161" s="185"/>
      <c r="R161" s="185"/>
      <c r="S161" s="185"/>
      <c r="T161" s="185"/>
      <c r="U161" s="185"/>
      <c r="V161" s="185"/>
    </row>
    <row r="162" ht="14.25" customHeight="1">
      <c r="A162" s="178"/>
      <c r="B162" s="12"/>
      <c r="C162" s="13"/>
      <c r="D162" s="179"/>
      <c r="E162" s="180"/>
      <c r="F162" s="181"/>
      <c r="G162" s="179"/>
      <c r="H162" s="190"/>
      <c r="I162" s="190"/>
      <c r="J162" s="187"/>
      <c r="K162" s="187"/>
      <c r="L162" s="184" t="str">
        <f>IFERROR(__xludf.DUMMYFUNCTION("ifna(IF(and(D162=""Saída"",J162=""Sangria""),if(sum(QUERY(IMPORTRANGE(""https://docs.google.com/spreadsheets/d/1E4szPcLzsqlw4uyBAoJ61L1ChCgpz4wVP8tHfHW1g_c"",""BD M Sangrias!a:i""),""select Col6 where Col7 = 'Depositada' and Col9 = '""&amp;K162&amp;""' and Col6 ="&amp;" ""&amp;M162&amp;"" and Col4 = date '""&amp;YEAR(C162)&amp;""-""&amp;MONTH(C162)&amp;""-""&amp;DAY(C162)&amp;""'""))&gt;0,""Depositada"",if(sum(QUERY(IMPORTRANGE(""https://docs.google.com/spreadsheets/d/1EcLIvUgMoBC5as4ikW0wuQsGH5yVZ6cQ1y16qEfgPnk"",""BD M Sangrias!a:i""),""select Col6 whe"&amp;"re Col7 = 'Caixa Atendimento' and Col9 = '""&amp;K162&amp;""' and Col6 = ""&amp;M162&amp;"" and Col4 = date '""&amp;YEAR(C162)&amp;""-""&amp;MONTH(C162)&amp;""-""&amp;DAY(C162)&amp;""'""))&gt;0,""Caixa Atendimento"",""Caixa Sangria"")),""""),""Caixa Sangria"")"),"")</f>
        <v/>
      </c>
      <c r="M162" s="185" t="str">
        <f>IFERROR(__xludf.DUMMYFUNCTION("ifna(VALUE(REGEXEXTRACT(E162,""[0-9.]+[,]+[0-9]+"")))"),"")</f>
        <v/>
      </c>
      <c r="N162" s="185"/>
      <c r="O162" s="185"/>
      <c r="P162" s="185"/>
      <c r="Q162" s="185"/>
      <c r="R162" s="185"/>
      <c r="S162" s="185"/>
      <c r="T162" s="185"/>
      <c r="U162" s="185"/>
      <c r="V162" s="185"/>
    </row>
    <row r="163" ht="14.25" customHeight="1">
      <c r="A163" s="178"/>
      <c r="B163" s="12"/>
      <c r="C163" s="13"/>
      <c r="D163" s="179"/>
      <c r="E163" s="180"/>
      <c r="F163" s="181"/>
      <c r="G163" s="179"/>
      <c r="H163" s="190"/>
      <c r="I163" s="190"/>
      <c r="J163" s="187"/>
      <c r="K163" s="187"/>
      <c r="L163" s="184" t="str">
        <f>IFERROR(__xludf.DUMMYFUNCTION("ifna(IF(and(D163=""Saída"",J163=""Sangria""),if(sum(QUERY(IMPORTRANGE(""https://docs.google.com/spreadsheets/d/1E4szPcLzsqlw4uyBAoJ61L1ChCgpz4wVP8tHfHW1g_c"",""BD M Sangrias!a:i""),""select Col6 where Col7 = 'Depositada' and Col9 = '""&amp;K163&amp;""' and Col6 ="&amp;" ""&amp;M163&amp;"" and Col4 = date '""&amp;YEAR(C163)&amp;""-""&amp;MONTH(C163)&amp;""-""&amp;DAY(C163)&amp;""'""))&gt;0,""Depositada"",if(sum(QUERY(IMPORTRANGE(""https://docs.google.com/spreadsheets/d/1EcLIvUgMoBC5as4ikW0wuQsGH5yVZ6cQ1y16qEfgPnk"",""BD M Sangrias!a:i""),""select Col6 whe"&amp;"re Col7 = 'Caixa Atendimento' and Col9 = '""&amp;K163&amp;""' and Col6 = ""&amp;M163&amp;"" and Col4 = date '""&amp;YEAR(C163)&amp;""-""&amp;MONTH(C163)&amp;""-""&amp;DAY(C163)&amp;""'""))&gt;0,""Caixa Atendimento"",""Caixa Sangria"")),""""),""Caixa Sangria"")"),"")</f>
        <v/>
      </c>
      <c r="M163" s="185" t="str">
        <f>IFERROR(__xludf.DUMMYFUNCTION("ifna(VALUE(REGEXEXTRACT(E163,""[0-9.]+[,]+[0-9]+"")))"),"")</f>
        <v/>
      </c>
      <c r="N163" s="185"/>
      <c r="O163" s="185"/>
      <c r="P163" s="185"/>
      <c r="Q163" s="185"/>
      <c r="R163" s="185"/>
      <c r="S163" s="185"/>
      <c r="T163" s="185"/>
      <c r="U163" s="185"/>
      <c r="V163" s="185"/>
    </row>
    <row r="164" ht="14.25" customHeight="1">
      <c r="A164" s="178"/>
      <c r="B164" s="12"/>
      <c r="C164" s="13"/>
      <c r="D164" s="179"/>
      <c r="E164" s="180"/>
      <c r="F164" s="181"/>
      <c r="G164" s="179"/>
      <c r="H164" s="190"/>
      <c r="I164" s="190"/>
      <c r="J164" s="187"/>
      <c r="K164" s="187"/>
      <c r="L164" s="184" t="str">
        <f>IFERROR(__xludf.DUMMYFUNCTION("ifna(IF(and(D164=""Saída"",J164=""Sangria""),if(sum(QUERY(IMPORTRANGE(""https://docs.google.com/spreadsheets/d/1E4szPcLzsqlw4uyBAoJ61L1ChCgpz4wVP8tHfHW1g_c"",""BD M Sangrias!a:i""),""select Col6 where Col7 = 'Depositada' and Col9 = '""&amp;K164&amp;""' and Col6 ="&amp;" ""&amp;M164&amp;"" and Col4 = date '""&amp;YEAR(C164)&amp;""-""&amp;MONTH(C164)&amp;""-""&amp;DAY(C164)&amp;""'""))&gt;0,""Depositada"",if(sum(QUERY(IMPORTRANGE(""https://docs.google.com/spreadsheets/d/1EcLIvUgMoBC5as4ikW0wuQsGH5yVZ6cQ1y16qEfgPnk"",""BD M Sangrias!a:i""),""select Col6 whe"&amp;"re Col7 = 'Caixa Atendimento' and Col9 = '""&amp;K164&amp;""' and Col6 = ""&amp;M164&amp;"" and Col4 = date '""&amp;YEAR(C164)&amp;""-""&amp;MONTH(C164)&amp;""-""&amp;DAY(C164)&amp;""'""))&gt;0,""Caixa Atendimento"",""Caixa Sangria"")),""""),""Caixa Sangria"")"),"")</f>
        <v/>
      </c>
      <c r="M164" s="185" t="str">
        <f>IFERROR(__xludf.DUMMYFUNCTION("ifna(VALUE(REGEXEXTRACT(E164,""[0-9.]+[,]+[0-9]+"")))"),"")</f>
        <v/>
      </c>
      <c r="N164" s="185"/>
      <c r="O164" s="185"/>
      <c r="P164" s="185"/>
      <c r="Q164" s="185"/>
      <c r="R164" s="185"/>
      <c r="S164" s="185"/>
      <c r="T164" s="185"/>
      <c r="U164" s="185"/>
      <c r="V164" s="185"/>
    </row>
    <row r="165" ht="14.25" customHeight="1">
      <c r="A165" s="178"/>
      <c r="B165" s="12"/>
      <c r="C165" s="13"/>
      <c r="D165" s="179"/>
      <c r="E165" s="180"/>
      <c r="F165" s="181"/>
      <c r="G165" s="179"/>
      <c r="H165" s="190"/>
      <c r="I165" s="190"/>
      <c r="J165" s="187"/>
      <c r="K165" s="187"/>
      <c r="L165" s="184" t="str">
        <f>IFERROR(__xludf.DUMMYFUNCTION("ifna(IF(and(D165=""Saída"",J165=""Sangria""),if(sum(QUERY(IMPORTRANGE(""https://docs.google.com/spreadsheets/d/1E4szPcLzsqlw4uyBAoJ61L1ChCgpz4wVP8tHfHW1g_c"",""BD M Sangrias!a:i""),""select Col6 where Col7 = 'Depositada' and Col9 = '""&amp;K165&amp;""' and Col6 ="&amp;" ""&amp;M165&amp;"" and Col4 = date '""&amp;YEAR(C165)&amp;""-""&amp;MONTH(C165)&amp;""-""&amp;DAY(C165)&amp;""'""))&gt;0,""Depositada"",if(sum(QUERY(IMPORTRANGE(""https://docs.google.com/spreadsheets/d/1EcLIvUgMoBC5as4ikW0wuQsGH5yVZ6cQ1y16qEfgPnk"",""BD M Sangrias!a:i""),""select Col6 whe"&amp;"re Col7 = 'Caixa Atendimento' and Col9 = '""&amp;K165&amp;""' and Col6 = ""&amp;M165&amp;"" and Col4 = date '""&amp;YEAR(C165)&amp;""-""&amp;MONTH(C165)&amp;""-""&amp;DAY(C165)&amp;""'""))&gt;0,""Caixa Atendimento"",""Caixa Sangria"")),""""),""Caixa Sangria"")"),"")</f>
        <v/>
      </c>
      <c r="M165" s="185" t="str">
        <f>IFERROR(__xludf.DUMMYFUNCTION("ifna(VALUE(REGEXEXTRACT(E165,""[0-9.]+[,]+[0-9]+"")))"),"")</f>
        <v/>
      </c>
      <c r="N165" s="185"/>
      <c r="O165" s="185"/>
      <c r="P165" s="185"/>
      <c r="Q165" s="185"/>
      <c r="R165" s="185"/>
      <c r="S165" s="185"/>
      <c r="T165" s="185"/>
      <c r="U165" s="185"/>
      <c r="V165" s="185"/>
    </row>
    <row r="166" ht="14.25" customHeight="1">
      <c r="A166" s="178"/>
      <c r="B166" s="12"/>
      <c r="C166" s="13"/>
      <c r="D166" s="179"/>
      <c r="E166" s="180"/>
      <c r="F166" s="188"/>
      <c r="G166" s="179"/>
      <c r="H166" s="190"/>
      <c r="I166" s="190"/>
      <c r="J166" s="187"/>
      <c r="K166" s="187"/>
      <c r="L166" s="184" t="str">
        <f>IFERROR(__xludf.DUMMYFUNCTION("ifna(IF(and(D166=""Saída"",J166=""Sangria""),if(sum(QUERY(IMPORTRANGE(""https://docs.google.com/spreadsheets/d/1E4szPcLzsqlw4uyBAoJ61L1ChCgpz4wVP8tHfHW1g_c"",""BD M Sangrias!a:i""),""select Col6 where Col7 = 'Depositada' and Col9 = '""&amp;K166&amp;""' and Col6 ="&amp;" ""&amp;M166&amp;"" and Col4 = date '""&amp;YEAR(C166)&amp;""-""&amp;MONTH(C166)&amp;""-""&amp;DAY(C166)&amp;""'""))&gt;0,""Depositada"",if(sum(QUERY(IMPORTRANGE(""https://docs.google.com/spreadsheets/d/1EcLIvUgMoBC5as4ikW0wuQsGH5yVZ6cQ1y16qEfgPnk"",""BD M Sangrias!a:i""),""select Col6 whe"&amp;"re Col7 = 'Caixa Atendimento' and Col9 = '""&amp;K166&amp;""' and Col6 = ""&amp;M166&amp;"" and Col4 = date '""&amp;YEAR(C166)&amp;""-""&amp;MONTH(C166)&amp;""-""&amp;DAY(C166)&amp;""'""))&gt;0,""Caixa Atendimento"",""Caixa Sangria"")),""""),""Caixa Sangria"")"),"")</f>
        <v/>
      </c>
      <c r="M166" s="185" t="str">
        <f>IFERROR(__xludf.DUMMYFUNCTION("ifna(VALUE(REGEXEXTRACT(E166,""[0-9.]+[,]+[0-9]+"")))"),"")</f>
        <v/>
      </c>
      <c r="N166" s="185"/>
      <c r="O166" s="185"/>
      <c r="P166" s="185"/>
      <c r="Q166" s="185"/>
      <c r="R166" s="185"/>
      <c r="S166" s="185"/>
      <c r="T166" s="185"/>
      <c r="U166" s="185"/>
      <c r="V166" s="185"/>
    </row>
    <row r="167" ht="14.25" customHeight="1">
      <c r="A167" s="178"/>
      <c r="B167" s="12"/>
      <c r="C167" s="13"/>
      <c r="D167" s="179"/>
      <c r="E167" s="180"/>
      <c r="F167" s="181"/>
      <c r="G167" s="179"/>
      <c r="H167" s="190"/>
      <c r="I167" s="190"/>
      <c r="J167" s="187"/>
      <c r="K167" s="187"/>
      <c r="L167" s="184" t="str">
        <f>IFERROR(__xludf.DUMMYFUNCTION("ifna(IF(and(D167=""Saída"",J167=""Sangria""),if(sum(QUERY(IMPORTRANGE(""https://docs.google.com/spreadsheets/d/1E4szPcLzsqlw4uyBAoJ61L1ChCgpz4wVP8tHfHW1g_c"",""BD M Sangrias!a:i""),""select Col6 where Col7 = 'Depositada' and Col9 = '""&amp;K167&amp;""' and Col6 ="&amp;" ""&amp;M167&amp;"" and Col4 = date '""&amp;YEAR(C167)&amp;""-""&amp;MONTH(C167)&amp;""-""&amp;DAY(C167)&amp;""'""))&gt;0,""Depositada"",if(sum(QUERY(IMPORTRANGE(""https://docs.google.com/spreadsheets/d/1EcLIvUgMoBC5as4ikW0wuQsGH5yVZ6cQ1y16qEfgPnk"",""BD M Sangrias!a:i""),""select Col6 whe"&amp;"re Col7 = 'Caixa Atendimento' and Col9 = '""&amp;K167&amp;""' and Col6 = ""&amp;M167&amp;"" and Col4 = date '""&amp;YEAR(C167)&amp;""-""&amp;MONTH(C167)&amp;""-""&amp;DAY(C167)&amp;""'""))&gt;0,""Caixa Atendimento"",""Caixa Sangria"")),""""),""Caixa Sangria"")"),"")</f>
        <v/>
      </c>
      <c r="M167" s="185" t="str">
        <f>IFERROR(__xludf.DUMMYFUNCTION("ifna(VALUE(REGEXEXTRACT(E167,""[0-9.]+[,]+[0-9]+"")))"),"")</f>
        <v/>
      </c>
      <c r="N167" s="185"/>
      <c r="O167" s="185"/>
      <c r="P167" s="185"/>
      <c r="Q167" s="185"/>
      <c r="R167" s="185"/>
      <c r="S167" s="185"/>
      <c r="T167" s="185"/>
      <c r="U167" s="185"/>
      <c r="V167" s="185"/>
    </row>
    <row r="168" ht="14.25" customHeight="1">
      <c r="A168" s="178"/>
      <c r="B168" s="12"/>
      <c r="C168" s="13"/>
      <c r="D168" s="179"/>
      <c r="E168" s="180"/>
      <c r="F168" s="181"/>
      <c r="G168" s="179"/>
      <c r="H168" s="190"/>
      <c r="I168" s="190"/>
      <c r="J168" s="187"/>
      <c r="K168" s="187"/>
      <c r="L168" s="184" t="str">
        <f>IFERROR(__xludf.DUMMYFUNCTION("ifna(IF(and(D168=""Saída"",J168=""Sangria""),if(sum(QUERY(IMPORTRANGE(""https://docs.google.com/spreadsheets/d/1E4szPcLzsqlw4uyBAoJ61L1ChCgpz4wVP8tHfHW1g_c"",""BD M Sangrias!a:i""),""select Col6 where Col7 = 'Depositada' and Col9 = '""&amp;K168&amp;""' and Col6 ="&amp;" ""&amp;M168&amp;"" and Col4 = date '""&amp;YEAR(C168)&amp;""-""&amp;MONTH(C168)&amp;""-""&amp;DAY(C168)&amp;""'""))&gt;0,""Depositada"",if(sum(QUERY(IMPORTRANGE(""https://docs.google.com/spreadsheets/d/1EcLIvUgMoBC5as4ikW0wuQsGH5yVZ6cQ1y16qEfgPnk"",""BD M Sangrias!a:i""),""select Col6 whe"&amp;"re Col7 = 'Caixa Atendimento' and Col9 = '""&amp;K168&amp;""' and Col6 = ""&amp;M168&amp;"" and Col4 = date '""&amp;YEAR(C168)&amp;""-""&amp;MONTH(C168)&amp;""-""&amp;DAY(C168)&amp;""'""))&gt;0,""Caixa Atendimento"",""Caixa Sangria"")),""""),""Caixa Sangria"")"),"")</f>
        <v/>
      </c>
      <c r="M168" s="185" t="str">
        <f>IFERROR(__xludf.DUMMYFUNCTION("ifna(VALUE(REGEXEXTRACT(E168,""[0-9.]+[,]+[0-9]+"")))"),"")</f>
        <v/>
      </c>
      <c r="N168" s="185"/>
      <c r="O168" s="185"/>
      <c r="P168" s="185"/>
      <c r="Q168" s="185"/>
      <c r="R168" s="185"/>
      <c r="S168" s="185"/>
      <c r="T168" s="185"/>
      <c r="U168" s="185"/>
      <c r="V168" s="185"/>
    </row>
    <row r="169" ht="14.25" customHeight="1">
      <c r="A169" s="178"/>
      <c r="B169" s="12"/>
      <c r="C169" s="13"/>
      <c r="D169" s="179"/>
      <c r="E169" s="180"/>
      <c r="F169" s="181"/>
      <c r="G169" s="179"/>
      <c r="H169" s="190"/>
      <c r="I169" s="190"/>
      <c r="J169" s="187"/>
      <c r="K169" s="187"/>
      <c r="L169" s="184" t="str">
        <f>IFERROR(__xludf.DUMMYFUNCTION("ifna(IF(and(D169=""Saída"",J169=""Sangria""),if(sum(QUERY(IMPORTRANGE(""https://docs.google.com/spreadsheets/d/1E4szPcLzsqlw4uyBAoJ61L1ChCgpz4wVP8tHfHW1g_c"",""BD M Sangrias!a:i""),""select Col6 where Col7 = 'Depositada' and Col9 = '""&amp;K169&amp;""' and Col6 ="&amp;" ""&amp;M169&amp;"" and Col4 = date '""&amp;YEAR(C169)&amp;""-""&amp;MONTH(C169)&amp;""-""&amp;DAY(C169)&amp;""'""))&gt;0,""Depositada"",if(sum(QUERY(IMPORTRANGE(""https://docs.google.com/spreadsheets/d/1EcLIvUgMoBC5as4ikW0wuQsGH5yVZ6cQ1y16qEfgPnk"",""BD M Sangrias!a:i""),""select Col6 whe"&amp;"re Col7 = 'Caixa Atendimento' and Col9 = '""&amp;K169&amp;""' and Col6 = ""&amp;M169&amp;"" and Col4 = date '""&amp;YEAR(C169)&amp;""-""&amp;MONTH(C169)&amp;""-""&amp;DAY(C169)&amp;""'""))&gt;0,""Caixa Atendimento"",""Caixa Sangria"")),""""),""Caixa Sangria"")"),"")</f>
        <v/>
      </c>
      <c r="M169" s="185" t="str">
        <f>IFERROR(__xludf.DUMMYFUNCTION("ifna(VALUE(REGEXEXTRACT(E169,""[0-9.]+[,]+[0-9]+"")))"),"")</f>
        <v/>
      </c>
      <c r="N169" s="185"/>
      <c r="O169" s="185"/>
      <c r="P169" s="185"/>
      <c r="Q169" s="185"/>
      <c r="R169" s="185"/>
      <c r="S169" s="185"/>
      <c r="T169" s="185"/>
      <c r="U169" s="185"/>
      <c r="V169" s="185"/>
    </row>
    <row r="170" ht="14.25" customHeight="1">
      <c r="A170" s="178"/>
      <c r="B170" s="12"/>
      <c r="C170" s="13"/>
      <c r="D170" s="179"/>
      <c r="E170" s="180"/>
      <c r="F170" s="181"/>
      <c r="G170" s="179"/>
      <c r="H170" s="190"/>
      <c r="I170" s="190"/>
      <c r="J170" s="187"/>
      <c r="K170" s="187"/>
      <c r="L170" s="184" t="str">
        <f>IFERROR(__xludf.DUMMYFUNCTION("ifna(IF(and(D170=""Saída"",J170=""Sangria""),if(sum(QUERY(IMPORTRANGE(""https://docs.google.com/spreadsheets/d/1E4szPcLzsqlw4uyBAoJ61L1ChCgpz4wVP8tHfHW1g_c"",""BD M Sangrias!a:i""),""select Col6 where Col7 = 'Depositada' and Col9 = '""&amp;K170&amp;""' and Col6 ="&amp;" ""&amp;M170&amp;"" and Col4 = date '""&amp;YEAR(C170)&amp;""-""&amp;MONTH(C170)&amp;""-""&amp;DAY(C170)&amp;""'""))&gt;0,""Depositada"",if(sum(QUERY(IMPORTRANGE(""https://docs.google.com/spreadsheets/d/1EcLIvUgMoBC5as4ikW0wuQsGH5yVZ6cQ1y16qEfgPnk"",""BD M Sangrias!a:i""),""select Col6 whe"&amp;"re Col7 = 'Caixa Atendimento' and Col9 = '""&amp;K170&amp;""' and Col6 = ""&amp;M170&amp;"" and Col4 = date '""&amp;YEAR(C170)&amp;""-""&amp;MONTH(C170)&amp;""-""&amp;DAY(C170)&amp;""'""))&gt;0,""Caixa Atendimento"",""Caixa Sangria"")),""""),""Caixa Sangria"")"),"")</f>
        <v/>
      </c>
      <c r="M170" s="185" t="str">
        <f>IFERROR(__xludf.DUMMYFUNCTION("ifna(VALUE(REGEXEXTRACT(E170,""[0-9.]+[,]+[0-9]+"")))"),"")</f>
        <v/>
      </c>
      <c r="N170" s="185"/>
      <c r="O170" s="185"/>
      <c r="P170" s="185"/>
      <c r="Q170" s="185"/>
      <c r="R170" s="185"/>
      <c r="S170" s="185"/>
      <c r="T170" s="185"/>
      <c r="U170" s="185"/>
      <c r="V170" s="185"/>
    </row>
    <row r="171" ht="14.25" customHeight="1">
      <c r="A171" s="178"/>
      <c r="B171" s="12"/>
      <c r="C171" s="13"/>
      <c r="D171" s="179"/>
      <c r="E171" s="180"/>
      <c r="F171" s="181"/>
      <c r="G171" s="179"/>
      <c r="H171" s="190"/>
      <c r="I171" s="190"/>
      <c r="J171" s="187"/>
      <c r="K171" s="187"/>
      <c r="L171" s="184" t="str">
        <f>IFERROR(__xludf.DUMMYFUNCTION("ifna(IF(and(D171=""Saída"",J171=""Sangria""),if(sum(QUERY(IMPORTRANGE(""https://docs.google.com/spreadsheets/d/1E4szPcLzsqlw4uyBAoJ61L1ChCgpz4wVP8tHfHW1g_c"",""BD M Sangrias!a:i""),""select Col6 where Col7 = 'Depositada' and Col9 = '""&amp;K171&amp;""' and Col6 ="&amp;" ""&amp;M171&amp;"" and Col4 = date '""&amp;YEAR(C171)&amp;""-""&amp;MONTH(C171)&amp;""-""&amp;DAY(C171)&amp;""'""))&gt;0,""Depositada"",if(sum(QUERY(IMPORTRANGE(""https://docs.google.com/spreadsheets/d/1EcLIvUgMoBC5as4ikW0wuQsGH5yVZ6cQ1y16qEfgPnk"",""BD M Sangrias!a:i""),""select Col6 whe"&amp;"re Col7 = 'Caixa Atendimento' and Col9 = '""&amp;K171&amp;""' and Col6 = ""&amp;M171&amp;"" and Col4 = date '""&amp;YEAR(C171)&amp;""-""&amp;MONTH(C171)&amp;""-""&amp;DAY(C171)&amp;""'""))&gt;0,""Caixa Atendimento"",""Caixa Sangria"")),""""),""Caixa Sangria"")"),"")</f>
        <v/>
      </c>
      <c r="M171" s="185" t="str">
        <f>IFERROR(__xludf.DUMMYFUNCTION("ifna(VALUE(REGEXEXTRACT(E171,""[0-9.]+[,]+[0-9]+"")))"),"")</f>
        <v/>
      </c>
      <c r="N171" s="185"/>
      <c r="O171" s="185"/>
      <c r="P171" s="185"/>
      <c r="Q171" s="185"/>
      <c r="R171" s="185"/>
      <c r="S171" s="185"/>
      <c r="T171" s="185"/>
      <c r="U171" s="185"/>
      <c r="V171" s="185"/>
    </row>
    <row r="172" ht="14.25" customHeight="1">
      <c r="A172" s="178"/>
      <c r="B172" s="12"/>
      <c r="C172" s="13"/>
      <c r="D172" s="179"/>
      <c r="E172" s="180"/>
      <c r="F172" s="181"/>
      <c r="G172" s="179"/>
      <c r="H172" s="190"/>
      <c r="I172" s="190"/>
      <c r="J172" s="187"/>
      <c r="K172" s="187"/>
      <c r="L172" s="184" t="str">
        <f>IFERROR(__xludf.DUMMYFUNCTION("ifna(IF(and(D172=""Saída"",J172=""Sangria""),if(sum(QUERY(IMPORTRANGE(""https://docs.google.com/spreadsheets/d/1E4szPcLzsqlw4uyBAoJ61L1ChCgpz4wVP8tHfHW1g_c"",""BD M Sangrias!a:i""),""select Col6 where Col7 = 'Depositada' and Col9 = '""&amp;K172&amp;""' and Col6 ="&amp;" ""&amp;M172&amp;"" and Col4 = date '""&amp;YEAR(C172)&amp;""-""&amp;MONTH(C172)&amp;""-""&amp;DAY(C172)&amp;""'""))&gt;0,""Depositada"",if(sum(QUERY(IMPORTRANGE(""https://docs.google.com/spreadsheets/d/1EcLIvUgMoBC5as4ikW0wuQsGH5yVZ6cQ1y16qEfgPnk"",""BD M Sangrias!a:i""),""select Col6 whe"&amp;"re Col7 = 'Caixa Atendimento' and Col9 = '""&amp;K172&amp;""' and Col6 = ""&amp;M172&amp;"" and Col4 = date '""&amp;YEAR(C172)&amp;""-""&amp;MONTH(C172)&amp;""-""&amp;DAY(C172)&amp;""'""))&gt;0,""Caixa Atendimento"",""Caixa Sangria"")),""""),""Caixa Sangria"")"),"")</f>
        <v/>
      </c>
      <c r="M172" s="185" t="str">
        <f>IFERROR(__xludf.DUMMYFUNCTION("ifna(VALUE(REGEXEXTRACT(E172,""[0-9.]+[,]+[0-9]+"")))"),"")</f>
        <v/>
      </c>
      <c r="N172" s="185"/>
      <c r="O172" s="185"/>
      <c r="P172" s="185"/>
      <c r="Q172" s="185"/>
      <c r="R172" s="185"/>
      <c r="S172" s="185"/>
      <c r="T172" s="185"/>
      <c r="U172" s="185"/>
      <c r="V172" s="185"/>
    </row>
    <row r="173" ht="14.25" customHeight="1">
      <c r="A173" s="178"/>
      <c r="B173" s="12"/>
      <c r="C173" s="13"/>
      <c r="D173" s="179"/>
      <c r="E173" s="180"/>
      <c r="F173" s="181"/>
      <c r="G173" s="179"/>
      <c r="H173" s="190"/>
      <c r="I173" s="190"/>
      <c r="J173" s="187"/>
      <c r="K173" s="187"/>
      <c r="L173" s="184" t="str">
        <f>IFERROR(__xludf.DUMMYFUNCTION("ifna(IF(and(D173=""Saída"",J173=""Sangria""),if(sum(QUERY(IMPORTRANGE(""https://docs.google.com/spreadsheets/d/1E4szPcLzsqlw4uyBAoJ61L1ChCgpz4wVP8tHfHW1g_c"",""BD M Sangrias!a:i""),""select Col6 where Col7 = 'Depositada' and Col9 = '""&amp;K173&amp;""' and Col6 ="&amp;" ""&amp;M173&amp;"" and Col4 = date '""&amp;YEAR(C173)&amp;""-""&amp;MONTH(C173)&amp;""-""&amp;DAY(C173)&amp;""'""))&gt;0,""Depositada"",if(sum(QUERY(IMPORTRANGE(""https://docs.google.com/spreadsheets/d/1EcLIvUgMoBC5as4ikW0wuQsGH5yVZ6cQ1y16qEfgPnk"",""BD M Sangrias!a:i""),""select Col6 whe"&amp;"re Col7 = 'Caixa Atendimento' and Col9 = '""&amp;K173&amp;""' and Col6 = ""&amp;M173&amp;"" and Col4 = date '""&amp;YEAR(C173)&amp;""-""&amp;MONTH(C173)&amp;""-""&amp;DAY(C173)&amp;""'""))&gt;0,""Caixa Atendimento"",""Caixa Sangria"")),""""),""Caixa Sangria"")"),"")</f>
        <v/>
      </c>
      <c r="M173" s="185" t="str">
        <f>IFERROR(__xludf.DUMMYFUNCTION("ifna(VALUE(REGEXEXTRACT(E173,""[0-9.]+[,]+[0-9]+"")))"),"")</f>
        <v/>
      </c>
      <c r="N173" s="185"/>
      <c r="O173" s="185"/>
      <c r="P173" s="185"/>
      <c r="Q173" s="185"/>
      <c r="R173" s="185"/>
      <c r="S173" s="185"/>
      <c r="T173" s="185"/>
      <c r="U173" s="185"/>
      <c r="V173" s="185"/>
    </row>
    <row r="174" ht="14.25" customHeight="1">
      <c r="A174" s="178"/>
      <c r="B174" s="12"/>
      <c r="C174" s="13"/>
      <c r="D174" s="179"/>
      <c r="E174" s="180"/>
      <c r="F174" s="181"/>
      <c r="G174" s="179"/>
      <c r="H174" s="190"/>
      <c r="I174" s="190"/>
      <c r="J174" s="187"/>
      <c r="K174" s="187"/>
      <c r="L174" s="184" t="str">
        <f>IFERROR(__xludf.DUMMYFUNCTION("ifna(IF(and(D174=""Saída"",J174=""Sangria""),if(sum(QUERY(IMPORTRANGE(""https://docs.google.com/spreadsheets/d/1E4szPcLzsqlw4uyBAoJ61L1ChCgpz4wVP8tHfHW1g_c"",""BD M Sangrias!a:i""),""select Col6 where Col7 = 'Depositada' and Col9 = '""&amp;K174&amp;""' and Col6 ="&amp;" ""&amp;M174&amp;"" and Col4 = date '""&amp;YEAR(C174)&amp;""-""&amp;MONTH(C174)&amp;""-""&amp;DAY(C174)&amp;""'""))&gt;0,""Depositada"",if(sum(QUERY(IMPORTRANGE(""https://docs.google.com/spreadsheets/d/1EcLIvUgMoBC5as4ikW0wuQsGH5yVZ6cQ1y16qEfgPnk"",""BD M Sangrias!a:i""),""select Col6 whe"&amp;"re Col7 = 'Caixa Atendimento' and Col9 = '""&amp;K174&amp;""' and Col6 = ""&amp;M174&amp;"" and Col4 = date '""&amp;YEAR(C174)&amp;""-""&amp;MONTH(C174)&amp;""-""&amp;DAY(C174)&amp;""'""))&gt;0,""Caixa Atendimento"",""Caixa Sangria"")),""""),""Caixa Sangria"")"),"")</f>
        <v/>
      </c>
      <c r="M174" s="185" t="str">
        <f>IFERROR(__xludf.DUMMYFUNCTION("ifna(VALUE(REGEXEXTRACT(E174,""[0-9.]+[,]+[0-9]+"")))"),"")</f>
        <v/>
      </c>
      <c r="N174" s="185"/>
      <c r="O174" s="185"/>
      <c r="P174" s="185"/>
      <c r="Q174" s="185"/>
      <c r="R174" s="185"/>
      <c r="S174" s="185"/>
      <c r="T174" s="185"/>
      <c r="U174" s="185"/>
      <c r="V174" s="185"/>
    </row>
    <row r="175" ht="14.25" customHeight="1">
      <c r="A175" s="178"/>
      <c r="B175" s="12"/>
      <c r="C175" s="13"/>
      <c r="D175" s="179"/>
      <c r="E175" s="180"/>
      <c r="F175" s="181"/>
      <c r="G175" s="179"/>
      <c r="H175" s="190"/>
      <c r="I175" s="190"/>
      <c r="J175" s="187"/>
      <c r="K175" s="187"/>
      <c r="L175" s="184" t="str">
        <f>IFERROR(__xludf.DUMMYFUNCTION("ifna(IF(and(D175=""Saída"",J175=""Sangria""),if(sum(QUERY(IMPORTRANGE(""https://docs.google.com/spreadsheets/d/1E4szPcLzsqlw4uyBAoJ61L1ChCgpz4wVP8tHfHW1g_c"",""BD M Sangrias!a:i""),""select Col6 where Col7 = 'Depositada' and Col9 = '""&amp;K175&amp;""' and Col6 ="&amp;" ""&amp;M175&amp;"" and Col4 = date '""&amp;YEAR(C175)&amp;""-""&amp;MONTH(C175)&amp;""-""&amp;DAY(C175)&amp;""'""))&gt;0,""Depositada"",if(sum(QUERY(IMPORTRANGE(""https://docs.google.com/spreadsheets/d/1EcLIvUgMoBC5as4ikW0wuQsGH5yVZ6cQ1y16qEfgPnk"",""BD M Sangrias!a:i""),""select Col6 whe"&amp;"re Col7 = 'Caixa Atendimento' and Col9 = '""&amp;K175&amp;""' and Col6 = ""&amp;M175&amp;"" and Col4 = date '""&amp;YEAR(C175)&amp;""-""&amp;MONTH(C175)&amp;""-""&amp;DAY(C175)&amp;""'""))&gt;0,""Caixa Atendimento"",""Caixa Sangria"")),""""),""Caixa Sangria"")"),"")</f>
        <v/>
      </c>
      <c r="M175" s="185" t="str">
        <f>IFERROR(__xludf.DUMMYFUNCTION("ifna(VALUE(REGEXEXTRACT(E175,""[0-9.]+[,]+[0-9]+"")))"),"")</f>
        <v/>
      </c>
      <c r="N175" s="185"/>
      <c r="O175" s="185"/>
      <c r="P175" s="185"/>
      <c r="Q175" s="185"/>
      <c r="R175" s="185"/>
      <c r="S175" s="185"/>
      <c r="T175" s="185"/>
      <c r="U175" s="185"/>
      <c r="V175" s="185"/>
    </row>
    <row r="176" ht="14.25" customHeight="1">
      <c r="A176" s="178"/>
      <c r="B176" s="12"/>
      <c r="C176" s="13"/>
      <c r="D176" s="179"/>
      <c r="E176" s="180"/>
      <c r="F176" s="188"/>
      <c r="G176" s="179"/>
      <c r="H176" s="190"/>
      <c r="I176" s="190"/>
      <c r="J176" s="187"/>
      <c r="K176" s="187"/>
      <c r="L176" s="184" t="str">
        <f>IFERROR(__xludf.DUMMYFUNCTION("ifna(IF(and(D176=""Saída"",#REF!=""Sangria""),if(sum(QUERY(IMPORTRANGE(""https://docs.google.com/spreadsheets/d/1E4szPcLzsqlw4uyBAoJ61L1ChCgpz4wVP8tHfHW1g_c"",""BD M Sangrias!a:i""),""select Col6 where Col7 = 'Depositada' and Col9 = '""&amp;K176&amp;""' and Col6 "&amp;"= ""&amp;M176&amp;"" and Col4 = date '""&amp;YEAR(C176)&amp;""-""&amp;MONTH(C176)&amp;""-""&amp;DAY(C176)&amp;""'""))&gt;0,""Depositada"",if(sum(QUERY(IMPORTRANGE(""https://docs.google.com/spreadsheets/d/1EcLIvUgMoBC5as4ikW0wuQsGH5yVZ6cQ1y16qEfgPnk"",""BD M Sangrias!a:i""),""select Col6 wh"&amp;"ere Col7 = 'Caixa Atendimento' and Col9 = '""&amp;K176&amp;""' and Col6 = ""&amp;M176&amp;"" and Col4 = date '""&amp;YEAR(C176)&amp;""-""&amp;MONTH(C176)&amp;""-""&amp;DAY(C176)&amp;""'""))&gt;0,""Caixa Atendimento"",""Caixa Sangria"")),""""),""Caixa Sangria"")"),"#REF!")</f>
        <v>#REF!</v>
      </c>
      <c r="M176" s="185" t="str">
        <f>IFERROR(__xludf.DUMMYFUNCTION("ifna(VALUE(REGEXEXTRACT(E176,""[0-9.]+[,]+[0-9]+"")))"),"")</f>
        <v/>
      </c>
      <c r="N176" s="185"/>
      <c r="O176" s="185"/>
      <c r="P176" s="185"/>
      <c r="Q176" s="185"/>
      <c r="R176" s="185"/>
      <c r="S176" s="185"/>
      <c r="T176" s="185"/>
      <c r="U176" s="185"/>
      <c r="V176" s="185"/>
    </row>
    <row r="177" ht="14.25" customHeight="1">
      <c r="A177" s="178"/>
      <c r="B177" s="12"/>
      <c r="C177" s="13"/>
      <c r="D177" s="179"/>
      <c r="E177" s="180"/>
      <c r="F177" s="181"/>
      <c r="G177" s="179"/>
      <c r="H177" s="190"/>
      <c r="I177" s="190"/>
      <c r="K177" s="187"/>
      <c r="L177" s="184" t="str">
        <f>IFERROR(__xludf.DUMMYFUNCTION("ifna(IF(and(D177=""Saída"",J176=""Sangria""),if(sum(QUERY(IMPORTRANGE(""https://docs.google.com/spreadsheets/d/1E4szPcLzsqlw4uyBAoJ61L1ChCgpz4wVP8tHfHW1g_c"",""BD M Sangrias!a:i""),""select Col6 where Col7 = 'Depositada' and Col9 = '""&amp;K177&amp;""' and Col6 ="&amp;" ""&amp;M177&amp;"" and Col4 = date '""&amp;YEAR(C177)&amp;""-""&amp;MONTH(C177)&amp;""-""&amp;DAY(C177)&amp;""'""))&gt;0,""Depositada"",if(sum(QUERY(IMPORTRANGE(""https://docs.google.com/spreadsheets/d/1EcLIvUgMoBC5as4ikW0wuQsGH5yVZ6cQ1y16qEfgPnk"",""BD M Sangrias!a:i""),""select Col6 whe"&amp;"re Col7 = 'Caixa Atendimento' and Col9 = '""&amp;K177&amp;""' and Col6 = ""&amp;M177&amp;"" and Col4 = date '""&amp;YEAR(C177)&amp;""-""&amp;MONTH(C177)&amp;""-""&amp;DAY(C177)&amp;""'""))&gt;0,""Caixa Atendimento"",""Caixa Sangria"")),""""),""Caixa Sangria"")"),"")</f>
        <v/>
      </c>
      <c r="M177" s="185" t="str">
        <f>IFERROR(__xludf.DUMMYFUNCTION("ifna(VALUE(REGEXEXTRACT(E177,""[0-9.]+[,]+[0-9]+"")))"),"")</f>
        <v/>
      </c>
      <c r="N177" s="185"/>
      <c r="O177" s="185"/>
      <c r="P177" s="185"/>
      <c r="Q177" s="185"/>
      <c r="R177" s="185"/>
      <c r="S177" s="185"/>
      <c r="T177" s="185"/>
      <c r="U177" s="185"/>
      <c r="V177" s="185"/>
    </row>
    <row r="178" ht="14.25" customHeight="1">
      <c r="A178" s="178"/>
      <c r="B178" s="12"/>
      <c r="C178" s="13"/>
      <c r="D178" s="179"/>
      <c r="E178" s="180"/>
      <c r="F178" s="181"/>
      <c r="G178" s="179"/>
      <c r="H178" s="190"/>
      <c r="I178" s="190"/>
      <c r="J178" s="187"/>
      <c r="K178" s="187"/>
      <c r="L178" s="184" t="str">
        <f>IFERROR(__xludf.DUMMYFUNCTION("ifna(IF(and(D178=""Saída"",J178=""Sangria""),if(sum(QUERY(IMPORTRANGE(""https://docs.google.com/spreadsheets/d/1E4szPcLzsqlw4uyBAoJ61L1ChCgpz4wVP8tHfHW1g_c"",""BD M Sangrias!a:i""),""select Col6 where Col7 = 'Depositada' and Col9 = '""&amp;K178&amp;""' and Col6 ="&amp;" ""&amp;M178&amp;"" and Col4 = date '""&amp;YEAR(C178)&amp;""-""&amp;MONTH(C178)&amp;""-""&amp;DAY(C178)&amp;""'""))&gt;0,""Depositada"",if(sum(QUERY(IMPORTRANGE(""https://docs.google.com/spreadsheets/d/1EcLIvUgMoBC5as4ikW0wuQsGH5yVZ6cQ1y16qEfgPnk"",""BD M Sangrias!a:i""),""select Col6 whe"&amp;"re Col7 = 'Caixa Atendimento' and Col9 = '""&amp;K178&amp;""' and Col6 = ""&amp;M178&amp;"" and Col4 = date '""&amp;YEAR(C178)&amp;""-""&amp;MONTH(C178)&amp;""-""&amp;DAY(C178)&amp;""'""))&gt;0,""Caixa Atendimento"",""Caixa Sangria"")),""""),""Caixa Sangria"")"),"")</f>
        <v/>
      </c>
      <c r="M178" s="185" t="str">
        <f>IFERROR(__xludf.DUMMYFUNCTION("ifna(VALUE(REGEXEXTRACT(E178,""[0-9.]+[,]+[0-9]+"")))"),"")</f>
        <v/>
      </c>
      <c r="N178" s="185"/>
      <c r="O178" s="185"/>
      <c r="P178" s="185"/>
      <c r="Q178" s="185"/>
      <c r="R178" s="185"/>
      <c r="S178" s="185"/>
      <c r="T178" s="185"/>
      <c r="U178" s="185"/>
      <c r="V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184" t="str">
        <f>IFERROR(__xludf.DUMMYFUNCTION("ifna(IF(and(D179=""Saída"",J179=""Sangria""),if(sum(QUERY(IMPORTRANGE(""https://docs.google.com/spreadsheets/d/1E4szPcLzsqlw4uyBAoJ61L1ChCgpz4wVP8tHfHW1g_c"",""BD M Sangrias!a:i""),""select Col6 where Col7 = 'Depositada' and Col9 = '""&amp;K179&amp;""' and Col6 ="&amp;" ""&amp;M179&amp;"" and Col4 = date '""&amp;YEAR(C179)&amp;""-""&amp;MONTH(C179)&amp;""-""&amp;DAY(C179)&amp;""'""))&gt;0,""Depositada"",if(sum(QUERY(IMPORTRANGE(""https://docs.google.com/spreadsheets/d/1EcLIvUgMoBC5as4ikW0wuQsGH5yVZ6cQ1y16qEfgPnk"",""BD M Sangrias!a:i""),""select Col6 whe"&amp;"re Col7 = 'Caixa Atendimento' and Col9 = '""&amp;K179&amp;""' and Col6 = ""&amp;M179&amp;"" and Col4 = date '""&amp;YEAR(C179)&amp;""-""&amp;MONTH(C179)&amp;""-""&amp;DAY(C179)&amp;""'""))&gt;0,""Caixa Atendimento"",""Caixa Sangria"")),""""),""Caixa Sangria"")"),"")</f>
        <v/>
      </c>
      <c r="M179" s="185" t="str">
        <f>IFERROR(__xludf.DUMMYFUNCTION("ifna(VALUE(REGEXEXTRACT(E179,""[0-9.]+[,]+[0-9]+"")))"),"")</f>
        <v/>
      </c>
      <c r="N179" s="185"/>
      <c r="O179" s="185"/>
      <c r="P179" s="185"/>
      <c r="Q179" s="185"/>
      <c r="R179" s="185"/>
      <c r="S179" s="185"/>
      <c r="T179" s="185"/>
      <c r="U179" s="185"/>
      <c r="V179" s="185"/>
    </row>
    <row r="180" ht="14.25" customHeight="1">
      <c r="A180" s="178"/>
      <c r="B180" s="12"/>
      <c r="C180" s="13"/>
      <c r="D180" s="179"/>
      <c r="E180" s="180"/>
      <c r="F180" s="188"/>
      <c r="G180" s="179"/>
      <c r="H180" s="190"/>
      <c r="I180" s="190"/>
      <c r="K180" s="187"/>
      <c r="L180" s="184" t="str">
        <f>IFERROR(__xludf.DUMMYFUNCTION("ifna(IF(and(D180=""Saída"",J180=""Sangria""),if(sum(QUERY(IMPORTRANGE(""https://docs.google.com/spreadsheets/d/1E4szPcLzsqlw4uyBAoJ61L1ChCgpz4wVP8tHfHW1g_c"",""BD M Sangrias!a:i""),""select Col6 where Col7 = 'Depositada' and Col9 = '""&amp;K180&amp;""' and Col6 ="&amp;" ""&amp;M180&amp;"" and Col4 = date '""&amp;YEAR(C180)&amp;""-""&amp;MONTH(C180)&amp;""-""&amp;DAY(C180)&amp;""'""))&gt;0,""Depositada"",if(sum(QUERY(IMPORTRANGE(""https://docs.google.com/spreadsheets/d/1EcLIvUgMoBC5as4ikW0wuQsGH5yVZ6cQ1y16qEfgPnk"",""BD M Sangrias!a:i""),""select Col6 whe"&amp;"re Col7 = 'Caixa Atendimento' and Col9 = '""&amp;K180&amp;""' and Col6 = ""&amp;M180&amp;"" and Col4 = date '""&amp;YEAR(C180)&amp;""-""&amp;MONTH(C180)&amp;""-""&amp;DAY(C180)&amp;""'""))&gt;0,""Caixa Atendimento"",""Caixa Sangria"")),""""),""Caixa Sangria"")"),"")</f>
        <v/>
      </c>
      <c r="M180" s="185" t="str">
        <f>IFERROR(__xludf.DUMMYFUNCTION("ifna(VALUE(REGEXEXTRACT(E180,""[0-9.]+[,]+[0-9]+"")))"),"")</f>
        <v/>
      </c>
      <c r="N180" s="185"/>
      <c r="O180" s="185"/>
      <c r="P180" s="185"/>
      <c r="Q180" s="185"/>
      <c r="R180" s="185"/>
      <c r="S180" s="185"/>
      <c r="T180" s="185"/>
      <c r="U180" s="185"/>
      <c r="V180" s="185"/>
    </row>
    <row r="181" ht="14.25" customHeight="1">
      <c r="A181" s="178"/>
      <c r="B181" s="12"/>
      <c r="C181" s="13"/>
      <c r="D181" s="179"/>
      <c r="E181" s="180"/>
      <c r="F181" s="181"/>
      <c r="G181" s="179"/>
      <c r="H181" s="190"/>
      <c r="I181" s="190"/>
      <c r="J181" s="187"/>
      <c r="K181" s="187"/>
      <c r="L181" s="184" t="str">
        <f>IFERROR(__xludf.DUMMYFUNCTION("ifna(IF(and(D181=""Saída"",J181=""Sangria""),if(sum(QUERY(IMPORTRANGE(""https://docs.google.com/spreadsheets/d/1E4szPcLzsqlw4uyBAoJ61L1ChCgpz4wVP8tHfHW1g_c"",""BD M Sangrias!a:i""),""select Col6 where Col7 = 'Depositada' and Col9 = '""&amp;K181&amp;""' and Col6 ="&amp;" ""&amp;M181&amp;"" and Col4 = date '""&amp;YEAR(C181)&amp;""-""&amp;MONTH(C181)&amp;""-""&amp;DAY(C181)&amp;""'""))&gt;0,""Depositada"",if(sum(QUERY(IMPORTRANGE(""https://docs.google.com/spreadsheets/d/1EcLIvUgMoBC5as4ikW0wuQsGH5yVZ6cQ1y16qEfgPnk"",""BD M Sangrias!a:i""),""select Col6 whe"&amp;"re Col7 = 'Caixa Atendimento' and Col9 = '""&amp;K181&amp;""' and Col6 = ""&amp;M181&amp;"" and Col4 = date '""&amp;YEAR(C181)&amp;""-""&amp;MONTH(C181)&amp;""-""&amp;DAY(C181)&amp;""'""))&gt;0,""Caixa Atendimento"",""Caixa Sangria"")),""""),""Caixa Sangria"")"),"")</f>
        <v/>
      </c>
      <c r="M181" s="185" t="str">
        <f>IFERROR(__xludf.DUMMYFUNCTION("ifna(VALUE(REGEXEXTRACT(E181,""[0-9.]+[,]+[0-9]+"")))"),"")</f>
        <v/>
      </c>
      <c r="N181" s="185"/>
      <c r="O181" s="185"/>
      <c r="P181" s="185"/>
      <c r="Q181" s="185"/>
      <c r="R181" s="185"/>
      <c r="S181" s="185"/>
      <c r="T181" s="185"/>
      <c r="U181" s="185"/>
      <c r="V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184" t="str">
        <f>IFERROR(__xludf.DUMMYFUNCTION("ifna(IF(and(D182=""Saída"",J182=""Sangria""),if(sum(QUERY(IMPORTRANGE(""https://docs.google.com/spreadsheets/d/1E4szPcLzsqlw4uyBAoJ61L1ChCgpz4wVP8tHfHW1g_c"",""BD M Sangrias!a:i""),""select Col6 where Col7 = 'Depositada' and Col9 = '""&amp;K182&amp;""' and Col6 ="&amp;" ""&amp;M182&amp;"" and Col4 = date '""&amp;YEAR(C182)&amp;""-""&amp;MONTH(C182)&amp;""-""&amp;DAY(C182)&amp;""'""))&gt;0,""Depositada"",if(sum(QUERY(IMPORTRANGE(""https://docs.google.com/spreadsheets/d/1EcLIvUgMoBC5as4ikW0wuQsGH5yVZ6cQ1y16qEfgPnk"",""BD M Sangrias!a:i""),""select Col6 whe"&amp;"re Col7 = 'Caixa Atendimento' and Col9 = '""&amp;K182&amp;""' and Col6 = ""&amp;M182&amp;"" and Col4 = date '""&amp;YEAR(C182)&amp;""-""&amp;MONTH(C182)&amp;""-""&amp;DAY(C182)&amp;""'""))&gt;0,""Caixa Atendimento"",""Caixa Sangria"")),""""),""Caixa Sangria"")"),"")</f>
        <v/>
      </c>
      <c r="M182" s="185" t="str">
        <f>IFERROR(__xludf.DUMMYFUNCTION("ifna(VALUE(REGEXEXTRACT(E182,""[0-9.]+[,]+[0-9]+"")))"),"")</f>
        <v/>
      </c>
      <c r="N182" s="185"/>
      <c r="O182" s="185"/>
      <c r="P182" s="185"/>
      <c r="Q182" s="185"/>
      <c r="R182" s="185"/>
      <c r="S182" s="185"/>
      <c r="T182" s="185"/>
      <c r="U182" s="185"/>
      <c r="V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184" t="str">
        <f>IFERROR(__xludf.DUMMYFUNCTION("ifna(IF(and(D183=""Saída"",J183=""Sangria""),if(sum(QUERY(IMPORTRANGE(""https://docs.google.com/spreadsheets/d/1E4szPcLzsqlw4uyBAoJ61L1ChCgpz4wVP8tHfHW1g_c"",""BD M Sangrias!a:i""),""select Col6 where Col7 = 'Depositada' and Col9 = '""&amp;K183&amp;""' and Col6 ="&amp;" ""&amp;M183&amp;"" and Col4 = date '""&amp;YEAR(C183)&amp;""-""&amp;MONTH(C183)&amp;""-""&amp;DAY(C183)&amp;""'""))&gt;0,""Depositada"",if(sum(QUERY(IMPORTRANGE(""https://docs.google.com/spreadsheets/d/1EcLIvUgMoBC5as4ikW0wuQsGH5yVZ6cQ1y16qEfgPnk"",""BD M Sangrias!a:i""),""select Col6 whe"&amp;"re Col7 = 'Caixa Atendimento' and Col9 = '""&amp;K183&amp;""' and Col6 = ""&amp;M183&amp;"" and Col4 = date '""&amp;YEAR(C183)&amp;""-""&amp;MONTH(C183)&amp;""-""&amp;DAY(C183)&amp;""'""))&gt;0,""Caixa Atendimento"",""Caixa Sangria"")),""""),""Caixa Sangria"")"),"")</f>
        <v/>
      </c>
      <c r="M183" s="185" t="str">
        <f>IFERROR(__xludf.DUMMYFUNCTION("ifna(VALUE(REGEXEXTRACT(E183,""[0-9.]+[,]+[0-9]+"")))"),"")</f>
        <v/>
      </c>
      <c r="N183" s="185"/>
      <c r="O183" s="185"/>
      <c r="P183" s="185"/>
      <c r="Q183" s="185"/>
      <c r="R183" s="185"/>
      <c r="S183" s="185"/>
      <c r="T183" s="185"/>
      <c r="U183" s="185"/>
      <c r="V183" s="185"/>
    </row>
    <row r="184" ht="14.25" customHeight="1">
      <c r="A184" s="178"/>
      <c r="B184" s="12"/>
      <c r="C184" s="13"/>
      <c r="D184" s="179"/>
      <c r="E184" s="180"/>
      <c r="F184" s="188"/>
      <c r="G184" s="179"/>
      <c r="H184" s="190"/>
      <c r="I184" s="190"/>
      <c r="J184" s="187"/>
      <c r="K184" s="187"/>
      <c r="L184" s="184" t="str">
        <f>IFERROR(__xludf.DUMMYFUNCTION("ifna(IF(and(D184=""Saída"",J184=""Sangria""),if(sum(QUERY(IMPORTRANGE(""https://docs.google.com/spreadsheets/d/1E4szPcLzsqlw4uyBAoJ61L1ChCgpz4wVP8tHfHW1g_c"",""BD M Sangrias!a:i""),""select Col6 where Col7 = 'Depositada' and Col9 = '""&amp;K184&amp;""' and Col6 ="&amp;" ""&amp;M184&amp;"" and Col4 = date '""&amp;YEAR(C184)&amp;""-""&amp;MONTH(C184)&amp;""-""&amp;DAY(C184)&amp;""'""))&gt;0,""Depositada"",if(sum(QUERY(IMPORTRANGE(""https://docs.google.com/spreadsheets/d/1EcLIvUgMoBC5as4ikW0wuQsGH5yVZ6cQ1y16qEfgPnk"",""BD M Sangrias!a:i""),""select Col6 whe"&amp;"re Col7 = 'Caixa Atendimento' and Col9 = '""&amp;K184&amp;""' and Col6 = ""&amp;M184&amp;"" and Col4 = date '""&amp;YEAR(C184)&amp;""-""&amp;MONTH(C184)&amp;""-""&amp;DAY(C184)&amp;""'""))&gt;0,""Caixa Atendimento"",""Caixa Sangria"")),""""),""Caixa Sangria"")"),"")</f>
        <v/>
      </c>
      <c r="M184" s="185" t="str">
        <f>IFERROR(__xludf.DUMMYFUNCTION("ifna(VALUE(REGEXEXTRACT(E184,""[0-9.]+[,]+[0-9]+"")))"),"")</f>
        <v/>
      </c>
      <c r="N184" s="185"/>
      <c r="O184" s="185"/>
      <c r="P184" s="185"/>
      <c r="Q184" s="185"/>
      <c r="R184" s="185"/>
      <c r="S184" s="185"/>
      <c r="T184" s="185"/>
      <c r="U184" s="185"/>
      <c r="V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184" t="str">
        <f>IFERROR(__xludf.DUMMYFUNCTION("ifna(IF(and(D185=""Saída"",J185=""Sangria""),if(sum(QUERY(IMPORTRANGE(""https://docs.google.com/spreadsheets/d/1E4szPcLzsqlw4uyBAoJ61L1ChCgpz4wVP8tHfHW1g_c"",""BD M Sangrias!a:i""),""select Col6 where Col7 = 'Depositada' and Col9 = '""&amp;K185&amp;""' and Col6 ="&amp;" ""&amp;M185&amp;"" and Col4 = date '""&amp;YEAR(C185)&amp;""-""&amp;MONTH(C185)&amp;""-""&amp;DAY(C185)&amp;""'""))&gt;0,""Depositada"",if(sum(QUERY(IMPORTRANGE(""https://docs.google.com/spreadsheets/d/1EcLIvUgMoBC5as4ikW0wuQsGH5yVZ6cQ1y16qEfgPnk"",""BD M Sangrias!a:i""),""select Col6 whe"&amp;"re Col7 = 'Caixa Atendimento' and Col9 = '""&amp;K185&amp;""' and Col6 = ""&amp;M185&amp;"" and Col4 = date '""&amp;YEAR(C185)&amp;""-""&amp;MONTH(C185)&amp;""-""&amp;DAY(C185)&amp;""'""))&gt;0,""Caixa Atendimento"",""Caixa Sangria"")),""""),""Caixa Sangria"")"),"")</f>
        <v/>
      </c>
      <c r="M185" s="185" t="str">
        <f>IFERROR(__xludf.DUMMYFUNCTION("ifna(VALUE(REGEXEXTRACT(E185,""[0-9.]+[,]+[0-9]+"")))"),"")</f>
        <v/>
      </c>
      <c r="N185" s="185"/>
      <c r="O185" s="185"/>
      <c r="P185" s="185"/>
      <c r="Q185" s="185"/>
      <c r="R185" s="185"/>
      <c r="S185" s="185"/>
      <c r="T185" s="185"/>
      <c r="U185" s="185"/>
      <c r="V185" s="185"/>
    </row>
    <row r="186" ht="14.25" customHeight="1">
      <c r="A186" s="178"/>
      <c r="B186" s="12"/>
      <c r="C186" s="13"/>
      <c r="D186" s="179"/>
      <c r="E186" s="180"/>
      <c r="F186" s="188"/>
      <c r="G186" s="179"/>
      <c r="H186" s="190"/>
      <c r="I186" s="190"/>
      <c r="J186" s="187"/>
      <c r="K186" s="187"/>
      <c r="L186" s="184" t="str">
        <f>IFERROR(__xludf.DUMMYFUNCTION("ifna(IF(and(D186=""Saída"",J186=""Sangria""),if(sum(QUERY(IMPORTRANGE(""https://docs.google.com/spreadsheets/d/1E4szPcLzsqlw4uyBAoJ61L1ChCgpz4wVP8tHfHW1g_c"",""BD M Sangrias!a:i""),""select Col6 where Col7 = 'Depositada' and Col9 = '""&amp;K186&amp;""' and Col6 ="&amp;" ""&amp;M186&amp;"" and Col4 = date '""&amp;YEAR(C186)&amp;""-""&amp;MONTH(C186)&amp;""-""&amp;DAY(C186)&amp;""'""))&gt;0,""Depositada"",if(sum(QUERY(IMPORTRANGE(""https://docs.google.com/spreadsheets/d/1EcLIvUgMoBC5as4ikW0wuQsGH5yVZ6cQ1y16qEfgPnk"",""BD M Sangrias!a:i""),""select Col6 whe"&amp;"re Col7 = 'Caixa Atendimento' and Col9 = '""&amp;K186&amp;""' and Col6 = ""&amp;M186&amp;"" and Col4 = date '""&amp;YEAR(C186)&amp;""-""&amp;MONTH(C186)&amp;""-""&amp;DAY(C186)&amp;""'""))&gt;0,""Caixa Atendimento"",""Caixa Sangria"")),""""),""Caixa Sangria"")"),"")</f>
        <v/>
      </c>
      <c r="M186" s="185" t="str">
        <f>IFERROR(__xludf.DUMMYFUNCTION("ifna(VALUE(REGEXEXTRACT(E186,""[0-9.]+[,]+[0-9]+"")))"),"")</f>
        <v/>
      </c>
      <c r="N186" s="185"/>
      <c r="O186" s="185"/>
      <c r="P186" s="185"/>
      <c r="Q186" s="185"/>
      <c r="R186" s="185"/>
      <c r="S186" s="185"/>
      <c r="T186" s="185"/>
      <c r="U186" s="185"/>
      <c r="V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184" t="str">
        <f>IFERROR(__xludf.DUMMYFUNCTION("ifna(IF(and(D187=""Saída"",J187=""Sangria""),if(sum(QUERY(IMPORTRANGE(""https://docs.google.com/spreadsheets/d/1E4szPcLzsqlw4uyBAoJ61L1ChCgpz4wVP8tHfHW1g_c"",""BD M Sangrias!a:i""),""select Col6 where Col7 = 'Depositada' and Col9 = '""&amp;K187&amp;""' and Col6 ="&amp;" ""&amp;M187&amp;"" and Col4 = date '""&amp;YEAR(C187)&amp;""-""&amp;MONTH(C187)&amp;""-""&amp;DAY(C187)&amp;""'""))&gt;0,""Depositada"",if(sum(QUERY(IMPORTRANGE(""https://docs.google.com/spreadsheets/d/1EcLIvUgMoBC5as4ikW0wuQsGH5yVZ6cQ1y16qEfgPnk"",""BD M Sangrias!a:i""),""select Col6 whe"&amp;"re Col7 = 'Caixa Atendimento' and Col9 = '""&amp;K187&amp;""' and Col6 = ""&amp;M187&amp;"" and Col4 = date '""&amp;YEAR(C187)&amp;""-""&amp;MONTH(C187)&amp;""-""&amp;DAY(C187)&amp;""'""))&gt;0,""Caixa Atendimento"",""Caixa Sangria"")),""""),""Caixa Sangria"")"),"")</f>
        <v/>
      </c>
      <c r="M187" s="185" t="str">
        <f>IFERROR(__xludf.DUMMYFUNCTION("ifna(VALUE(REGEXEXTRACT(E187,""[0-9.]+[,]+[0-9]+"")))"),"")</f>
        <v/>
      </c>
      <c r="N187" s="185"/>
      <c r="O187" s="185"/>
      <c r="P187" s="185"/>
      <c r="Q187" s="185"/>
      <c r="R187" s="185"/>
      <c r="S187" s="185"/>
      <c r="T187" s="185"/>
      <c r="U187" s="185"/>
      <c r="V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184" t="str">
        <f>IFERROR(__xludf.DUMMYFUNCTION("ifna(IF(and(D188=""Saída"",J188=""Sangria""),if(sum(QUERY(IMPORTRANGE(""https://docs.google.com/spreadsheets/d/1E4szPcLzsqlw4uyBAoJ61L1ChCgpz4wVP8tHfHW1g_c"",""BD M Sangrias!a:i""),""select Col6 where Col7 = 'Depositada' and Col9 = '""&amp;K188&amp;""' and Col6 ="&amp;" ""&amp;M188&amp;"" and Col4 = date '""&amp;YEAR(C188)&amp;""-""&amp;MONTH(C188)&amp;""-""&amp;DAY(C188)&amp;""'""))&gt;0,""Depositada"",if(sum(QUERY(IMPORTRANGE(""https://docs.google.com/spreadsheets/d/1EcLIvUgMoBC5as4ikW0wuQsGH5yVZ6cQ1y16qEfgPnk"",""BD M Sangrias!a:i""),""select Col6 whe"&amp;"re Col7 = 'Caixa Atendimento' and Col9 = '""&amp;K188&amp;""' and Col6 = ""&amp;M188&amp;"" and Col4 = date '""&amp;YEAR(C188)&amp;""-""&amp;MONTH(C188)&amp;""-""&amp;DAY(C188)&amp;""'""))&gt;0,""Caixa Atendimento"",""Caixa Sangria"")),""""),""Caixa Sangria"")"),"")</f>
        <v/>
      </c>
      <c r="M188" s="185" t="str">
        <f>IFERROR(__xludf.DUMMYFUNCTION("ifna(VALUE(REGEXEXTRACT(E188,""[0-9.]+[,]+[0-9]+"")))"),"")</f>
        <v/>
      </c>
      <c r="N188" s="185"/>
      <c r="O188" s="185"/>
      <c r="P188" s="185"/>
      <c r="Q188" s="185"/>
      <c r="R188" s="185"/>
      <c r="S188" s="185"/>
      <c r="T188" s="185"/>
      <c r="U188" s="185"/>
      <c r="V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184" t="str">
        <f>IFERROR(__xludf.DUMMYFUNCTION("ifna(IF(and(D189=""Saída"",J189=""Sangria""),if(sum(QUERY(IMPORTRANGE(""https://docs.google.com/spreadsheets/d/1E4szPcLzsqlw4uyBAoJ61L1ChCgpz4wVP8tHfHW1g_c"",""BD M Sangrias!a:i""),""select Col6 where Col7 = 'Depositada' and Col9 = '""&amp;K189&amp;""' and Col6 ="&amp;" ""&amp;M189&amp;"" and Col4 = date '""&amp;YEAR(C189)&amp;""-""&amp;MONTH(C189)&amp;""-""&amp;DAY(C189)&amp;""'""))&gt;0,""Depositada"",if(sum(QUERY(IMPORTRANGE(""https://docs.google.com/spreadsheets/d/1EcLIvUgMoBC5as4ikW0wuQsGH5yVZ6cQ1y16qEfgPnk"",""BD M Sangrias!a:i""),""select Col6 whe"&amp;"re Col7 = 'Caixa Atendimento' and Col9 = '""&amp;K189&amp;""' and Col6 = ""&amp;M189&amp;"" and Col4 = date '""&amp;YEAR(C189)&amp;""-""&amp;MONTH(C189)&amp;""-""&amp;DAY(C189)&amp;""'""))&gt;0,""Caixa Atendimento"",""Caixa Sangria"")),""""),""Caixa Sangria"")"),"")</f>
        <v/>
      </c>
      <c r="M189" s="185" t="str">
        <f>IFERROR(__xludf.DUMMYFUNCTION("ifna(VALUE(REGEXEXTRACT(E189,""[0-9.]+[,]+[0-9]+"")))"),"")</f>
        <v/>
      </c>
      <c r="N189" s="185"/>
      <c r="O189" s="185"/>
      <c r="P189" s="185"/>
      <c r="Q189" s="185"/>
      <c r="R189" s="185"/>
      <c r="S189" s="185"/>
      <c r="T189" s="185"/>
      <c r="U189" s="185"/>
      <c r="V189" s="185"/>
    </row>
    <row r="190" ht="14.25" customHeight="1">
      <c r="A190" s="178"/>
      <c r="B190" s="12"/>
      <c r="C190" s="13"/>
      <c r="D190" s="179"/>
      <c r="E190" s="180"/>
      <c r="F190" s="181"/>
      <c r="G190" s="179"/>
      <c r="H190" s="190"/>
      <c r="I190" s="190"/>
      <c r="J190" s="187"/>
      <c r="K190" s="187"/>
      <c r="L190" s="184" t="str">
        <f>IFERROR(__xludf.DUMMYFUNCTION("ifna(IF(and(D190=""Saída"",J190=""Sangria""),if(sum(QUERY(IMPORTRANGE(""https://docs.google.com/spreadsheets/d/1E4szPcLzsqlw4uyBAoJ61L1ChCgpz4wVP8tHfHW1g_c"",""BD M Sangrias!a:i""),""select Col6 where Col7 = 'Depositada' and Col9 = '""&amp;K190&amp;""' and Col6 ="&amp;" ""&amp;M190&amp;"" and Col4 = date '""&amp;YEAR(C190)&amp;""-""&amp;MONTH(C190)&amp;""-""&amp;DAY(C190)&amp;""'""))&gt;0,""Depositada"",if(sum(QUERY(IMPORTRANGE(""https://docs.google.com/spreadsheets/d/1EcLIvUgMoBC5as4ikW0wuQsGH5yVZ6cQ1y16qEfgPnk"",""BD M Sangrias!a:i""),""select Col6 whe"&amp;"re Col7 = 'Caixa Atendimento' and Col9 = '""&amp;K190&amp;""' and Col6 = ""&amp;M190&amp;"" and Col4 = date '""&amp;YEAR(C190)&amp;""-""&amp;MONTH(C190)&amp;""-""&amp;DAY(C190)&amp;""'""))&gt;0,""Caixa Atendimento"",""Caixa Sangria"")),""""),""Caixa Sangria"")"),"")</f>
        <v/>
      </c>
      <c r="M190" s="185" t="str">
        <f>IFERROR(__xludf.DUMMYFUNCTION("ifna(VALUE(REGEXEXTRACT(E190,""[0-9.]+[,]+[0-9]+"")))"),"")</f>
        <v/>
      </c>
      <c r="N190" s="185"/>
      <c r="O190" s="185"/>
      <c r="P190" s="185"/>
      <c r="Q190" s="185"/>
      <c r="R190" s="185"/>
      <c r="S190" s="185"/>
      <c r="T190" s="185"/>
      <c r="U190" s="185"/>
      <c r="V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233"/>
      <c r="K191" s="187"/>
      <c r="L191" s="184" t="str">
        <f>IFERROR(__xludf.DUMMYFUNCTION("ifna(IF(and(D191=""Saída"",J191=""Sangria""),if(sum(QUERY(IMPORTRANGE(""https://docs.google.com/spreadsheets/d/1E4szPcLzsqlw4uyBAoJ61L1ChCgpz4wVP8tHfHW1g_c"",""BD M Sangrias!a:i""),""select Col6 where Col7 = 'Depositada' and Col9 = '""&amp;K191&amp;""' and Col6 ="&amp;" ""&amp;M191&amp;"" and Col4 = date '""&amp;YEAR(C191)&amp;""-""&amp;MONTH(C191)&amp;""-""&amp;DAY(C191)&amp;""'""))&gt;0,""Depositada"",if(sum(QUERY(IMPORTRANGE(""https://docs.google.com/spreadsheets/d/1EcLIvUgMoBC5as4ikW0wuQsGH5yVZ6cQ1y16qEfgPnk"",""BD M Sangrias!a:i""),""select Col6 whe"&amp;"re Col7 = 'Caixa Atendimento' and Col9 = '""&amp;K191&amp;""' and Col6 = ""&amp;M191&amp;"" and Col4 = date '""&amp;YEAR(C191)&amp;""-""&amp;MONTH(C191)&amp;""-""&amp;DAY(C191)&amp;""'""))&gt;0,""Caixa Atendimento"",""Caixa Sangria"")),""""),""Caixa Sangria"")"),"")</f>
        <v/>
      </c>
      <c r="M191" s="185" t="str">
        <f>IFERROR(__xludf.DUMMYFUNCTION("ifna(VALUE(REGEXEXTRACT(E191,""[0-9.]+[,]+[0-9]+"")))"),"")</f>
        <v/>
      </c>
      <c r="N191" s="185"/>
      <c r="O191" s="185"/>
      <c r="P191" s="185"/>
      <c r="Q191" s="185"/>
      <c r="R191" s="185"/>
      <c r="S191" s="185"/>
      <c r="T191" s="185"/>
      <c r="U191" s="185"/>
      <c r="V191" s="185"/>
    </row>
    <row r="192" ht="14.25" customHeight="1">
      <c r="A192" s="178"/>
      <c r="B192" s="12"/>
      <c r="C192" s="13"/>
      <c r="D192" s="179"/>
      <c r="E192" s="180"/>
      <c r="F192" s="188"/>
      <c r="G192" s="179"/>
      <c r="H192" s="190"/>
      <c r="I192" s="190"/>
      <c r="J192" s="187"/>
      <c r="K192" s="187"/>
      <c r="L192" s="184" t="str">
        <f>IFERROR(__xludf.DUMMYFUNCTION("ifna(IF(and(D192=""Saída"",J192=""Sangria""),if(sum(QUERY(IMPORTRANGE(""https://docs.google.com/spreadsheets/d/1E4szPcLzsqlw4uyBAoJ61L1ChCgpz4wVP8tHfHW1g_c"",""BD M Sangrias!a:i""),""select Col6 where Col7 = 'Depositada' and Col9 = '""&amp;K192&amp;""' and Col6 ="&amp;" ""&amp;M192&amp;"" and Col4 = date '""&amp;YEAR(C192)&amp;""-""&amp;MONTH(C192)&amp;""-""&amp;DAY(C192)&amp;""'""))&gt;0,""Depositada"",if(sum(QUERY(IMPORTRANGE(""https://docs.google.com/spreadsheets/d/1EcLIvUgMoBC5as4ikW0wuQsGH5yVZ6cQ1y16qEfgPnk"",""BD M Sangrias!a:i""),""select Col6 whe"&amp;"re Col7 = 'Caixa Atendimento' and Col9 = '""&amp;K192&amp;""' and Col6 = ""&amp;M192&amp;"" and Col4 = date '""&amp;YEAR(C192)&amp;""-""&amp;MONTH(C192)&amp;""-""&amp;DAY(C192)&amp;""'""))&gt;0,""Caixa Atendimento"",""Caixa Sangria"")),""""),""Caixa Sangria"")"),"")</f>
        <v/>
      </c>
      <c r="M192" s="185" t="str">
        <f>IFERROR(__xludf.DUMMYFUNCTION("ifna(VALUE(REGEXEXTRACT(E192,""[0-9.]+[,]+[0-9]+"")))"),"")</f>
        <v/>
      </c>
      <c r="N192" s="185"/>
      <c r="O192" s="185"/>
      <c r="P192" s="185"/>
      <c r="Q192" s="185"/>
      <c r="R192" s="185"/>
      <c r="S192" s="185"/>
      <c r="T192" s="185"/>
      <c r="U192" s="185"/>
      <c r="V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184" t="str">
        <f>IFERROR(__xludf.DUMMYFUNCTION("ifna(IF(and(D193=""Saída"",J193=""Sangria""),if(sum(QUERY(IMPORTRANGE(""https://docs.google.com/spreadsheets/d/1E4szPcLzsqlw4uyBAoJ61L1ChCgpz4wVP8tHfHW1g_c"",""BD M Sangrias!a:i""),""select Col6 where Col7 = 'Depositada' and Col9 = '""&amp;K193&amp;""' and Col6 ="&amp;" ""&amp;M193&amp;"" and Col4 = date '""&amp;YEAR(C193)&amp;""-""&amp;MONTH(C193)&amp;""-""&amp;DAY(C193)&amp;""'""))&gt;0,""Depositada"",if(sum(QUERY(IMPORTRANGE(""https://docs.google.com/spreadsheets/d/1EcLIvUgMoBC5as4ikW0wuQsGH5yVZ6cQ1y16qEfgPnk"",""BD M Sangrias!a:i""),""select Col6 whe"&amp;"re Col7 = 'Caixa Atendimento' and Col9 = '""&amp;K193&amp;""' and Col6 = ""&amp;M193&amp;"" and Col4 = date '""&amp;YEAR(C193)&amp;""-""&amp;MONTH(C193)&amp;""-""&amp;DAY(C193)&amp;""'""))&gt;0,""Caixa Atendimento"",""Caixa Sangria"")),""""),""Caixa Sangria"")"),"")</f>
        <v/>
      </c>
      <c r="M193" s="185" t="str">
        <f>IFERROR(__xludf.DUMMYFUNCTION("ifna(VALUE(REGEXEXTRACT(E193,""[0-9.]+[,]+[0-9]+"")))"),"")</f>
        <v/>
      </c>
      <c r="N193" s="185"/>
      <c r="O193" s="185"/>
      <c r="P193" s="185"/>
      <c r="Q193" s="185"/>
      <c r="R193" s="185"/>
      <c r="S193" s="185"/>
      <c r="T193" s="185"/>
      <c r="U193" s="185"/>
      <c r="V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184" t="str">
        <f>IFERROR(__xludf.DUMMYFUNCTION("ifna(IF(and(D194=""Saída"",J194=""Sangria""),if(sum(QUERY(IMPORTRANGE(""https://docs.google.com/spreadsheets/d/1E4szPcLzsqlw4uyBAoJ61L1ChCgpz4wVP8tHfHW1g_c"",""BD M Sangrias!a:i""),""select Col6 where Col7 = 'Depositada' and Col9 = '""&amp;K194&amp;""' and Col6 ="&amp;" ""&amp;M194&amp;"" and Col4 = date '""&amp;YEAR(C194)&amp;""-""&amp;MONTH(C194)&amp;""-""&amp;DAY(C194)&amp;""'""))&gt;0,""Depositada"",if(sum(QUERY(IMPORTRANGE(""https://docs.google.com/spreadsheets/d/1EcLIvUgMoBC5as4ikW0wuQsGH5yVZ6cQ1y16qEfgPnk"",""BD M Sangrias!a:i""),""select Col6 whe"&amp;"re Col7 = 'Caixa Atendimento' and Col9 = '""&amp;K194&amp;""' and Col6 = ""&amp;M194&amp;"" and Col4 = date '""&amp;YEAR(C194)&amp;""-""&amp;MONTH(C194)&amp;""-""&amp;DAY(C194)&amp;""'""))&gt;0,""Caixa Atendimento"",""Caixa Sangria"")),""""),""Caixa Sangria"")"),"")</f>
        <v/>
      </c>
      <c r="M194" s="185" t="str">
        <f>IFERROR(__xludf.DUMMYFUNCTION("ifna(VALUE(REGEXEXTRACT(E194,""[0-9.]+[,]+[0-9]+"")))"),"")</f>
        <v/>
      </c>
      <c r="N194" s="185"/>
      <c r="O194" s="185"/>
      <c r="P194" s="185"/>
      <c r="Q194" s="185"/>
      <c r="R194" s="185"/>
      <c r="S194" s="185"/>
      <c r="T194" s="185"/>
      <c r="U194" s="185"/>
      <c r="V194" s="185"/>
    </row>
    <row r="195" ht="14.25" customHeight="1">
      <c r="A195" s="178"/>
      <c r="B195" s="12"/>
      <c r="C195" s="13"/>
      <c r="D195" s="179"/>
      <c r="E195" s="180"/>
      <c r="F195" s="188"/>
      <c r="G195" s="179"/>
      <c r="H195" s="190"/>
      <c r="I195" s="190"/>
      <c r="J195" s="187"/>
      <c r="K195" s="187"/>
      <c r="L195" s="184" t="str">
        <f>IFERROR(__xludf.DUMMYFUNCTION("ifna(IF(and(D195=""Saída"",J195=""Sangria""),if(sum(QUERY(IMPORTRANGE(""https://docs.google.com/spreadsheets/d/1E4szPcLzsqlw4uyBAoJ61L1ChCgpz4wVP8tHfHW1g_c"",""BD M Sangrias!a:i""),""select Col6 where Col7 = 'Depositada' and Col9 = '""&amp;K195&amp;""' and Col6 ="&amp;" ""&amp;M195&amp;"" and Col4 = date '""&amp;YEAR(C195)&amp;""-""&amp;MONTH(C195)&amp;""-""&amp;DAY(C195)&amp;""'""))&gt;0,""Depositada"",if(sum(QUERY(IMPORTRANGE(""https://docs.google.com/spreadsheets/d/1EcLIvUgMoBC5as4ikW0wuQsGH5yVZ6cQ1y16qEfgPnk"",""BD M Sangrias!a:i""),""select Col6 whe"&amp;"re Col7 = 'Caixa Atendimento' and Col9 = '""&amp;K195&amp;""' and Col6 = ""&amp;M195&amp;"" and Col4 = date '""&amp;YEAR(C195)&amp;""-""&amp;MONTH(C195)&amp;""-""&amp;DAY(C195)&amp;""'""))&gt;0,""Caixa Atendimento"",""Caixa Sangria"")),""""),""Caixa Sangria"")"),"")</f>
        <v/>
      </c>
      <c r="M195" s="185" t="str">
        <f>IFERROR(__xludf.DUMMYFUNCTION("ifna(VALUE(REGEXEXTRACT(E195,""[0-9.]+[,]+[0-9]+"")))"),"")</f>
        <v/>
      </c>
      <c r="N195" s="185"/>
      <c r="O195" s="185"/>
      <c r="P195" s="185"/>
      <c r="Q195" s="185"/>
      <c r="R195" s="185"/>
      <c r="S195" s="185"/>
      <c r="T195" s="185"/>
      <c r="U195" s="185"/>
      <c r="V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K196" s="187"/>
      <c r="L196" s="184" t="str">
        <f>IFERROR(__xludf.DUMMYFUNCTION("ifna(IF(and(D196=""Saída"",J197=""Sangria""),if(sum(QUERY(IMPORTRANGE(""https://docs.google.com/spreadsheets/d/1E4szPcLzsqlw4uyBAoJ61L1ChCgpz4wVP8tHfHW1g_c"",""BD M Sangrias!a:i""),""select Col6 where Col7 = 'Depositada' and Col9 = '""&amp;K196&amp;""' and Col6 ="&amp;" ""&amp;M196&amp;"" and Col4 = date '""&amp;YEAR(C196)&amp;""-""&amp;MONTH(C196)&amp;""-""&amp;DAY(C196)&amp;""'""))&gt;0,""Depositada"",if(sum(QUERY(IMPORTRANGE(""https://docs.google.com/spreadsheets/d/1EcLIvUgMoBC5as4ikW0wuQsGH5yVZ6cQ1y16qEfgPnk"",""BD M Sangrias!a:i""),""select Col6 whe"&amp;"re Col7 = 'Caixa Atendimento' and Col9 = '""&amp;K196&amp;""' and Col6 = ""&amp;M196&amp;"" and Col4 = date '""&amp;YEAR(C196)&amp;""-""&amp;MONTH(C196)&amp;""-""&amp;DAY(C196)&amp;""'""))&gt;0,""Caixa Atendimento"",""Caixa Sangria"")),""""),""Caixa Sangria"")"),"")</f>
        <v/>
      </c>
      <c r="M196" s="185" t="str">
        <f>IFERROR(__xludf.DUMMYFUNCTION("ifna(VALUE(REGEXEXTRACT(E196,""[0-9.]+[,]+[0-9]+"")))"),"")</f>
        <v/>
      </c>
      <c r="N196" s="185"/>
      <c r="O196" s="185"/>
      <c r="P196" s="185"/>
      <c r="Q196" s="185"/>
      <c r="R196" s="185"/>
      <c r="S196" s="185"/>
      <c r="T196" s="185"/>
      <c r="U196" s="185"/>
      <c r="V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184" t="str">
        <f>IFERROR(__xludf.DUMMYFUNCTION("ifna(IF(and(D197=""Saída"",J198=""Sangria""),if(sum(QUERY(IMPORTRANGE(""https://docs.google.com/spreadsheets/d/1E4szPcLzsqlw4uyBAoJ61L1ChCgpz4wVP8tHfHW1g_c"",""BD M Sangrias!a:i""),""select Col6 where Col7 = 'Depositada' and Col9 = '""&amp;K197&amp;""' and Col6 ="&amp;" ""&amp;M197&amp;"" and Col4 = date '""&amp;YEAR(C197)&amp;""-""&amp;MONTH(C197)&amp;""-""&amp;DAY(C197)&amp;""'""))&gt;0,""Depositada"",if(sum(QUERY(IMPORTRANGE(""https://docs.google.com/spreadsheets/d/1EcLIvUgMoBC5as4ikW0wuQsGH5yVZ6cQ1y16qEfgPnk"",""BD M Sangrias!a:i""),""select Col6 whe"&amp;"re Col7 = 'Caixa Atendimento' and Col9 = '""&amp;K197&amp;""' and Col6 = ""&amp;M197&amp;"" and Col4 = date '""&amp;YEAR(C197)&amp;""-""&amp;MONTH(C197)&amp;""-""&amp;DAY(C197)&amp;""'""))&gt;0,""Caixa Atendimento"",""Caixa Sangria"")),""""),""Caixa Sangria"")"),"")</f>
        <v/>
      </c>
      <c r="M197" s="185" t="str">
        <f>IFERROR(__xludf.DUMMYFUNCTION("ifna(VALUE(REGEXEXTRACT(E197,""[0-9.]+[,]+[0-9]+"")))"),"")</f>
        <v/>
      </c>
      <c r="N197" s="185"/>
      <c r="O197" s="185"/>
      <c r="P197" s="185"/>
      <c r="Q197" s="185"/>
      <c r="R197" s="185"/>
      <c r="S197" s="185"/>
      <c r="T197" s="185"/>
      <c r="U197" s="185"/>
      <c r="V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184"/>
      <c r="M198" s="185" t="str">
        <f>IFERROR(__xludf.DUMMYFUNCTION("ifna(VALUE(REGEXEXTRACT(E198,""[0-9.]+[,]+[0-9]+"")))"),"")</f>
        <v/>
      </c>
      <c r="N198" s="185"/>
      <c r="O198" s="185"/>
      <c r="P198" s="185"/>
      <c r="Q198" s="185"/>
      <c r="R198" s="185"/>
      <c r="S198" s="185"/>
      <c r="T198" s="185"/>
      <c r="U198" s="185"/>
      <c r="V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184" t="str">
        <f>IFERROR(__xludf.DUMMYFUNCTION("ifna(IF(and(D199=""Saída"",J199=""Sangria""),if(sum(QUERY(IMPORTRANGE(""https://docs.google.com/spreadsheets/d/1E4szPcLzsqlw4uyBAoJ61L1ChCgpz4wVP8tHfHW1g_c"",""BD M Sangrias!a:i""),""select Col6 where Col7 = 'Depositada' and Col9 = '""&amp;K199&amp;""' and Col6 ="&amp;" ""&amp;M199&amp;"" and Col4 = date '""&amp;YEAR(C199)&amp;""-""&amp;MONTH(C199)&amp;""-""&amp;DAY(C199)&amp;""'""))&gt;0,""Depositada"",if(sum(QUERY(IMPORTRANGE(""https://docs.google.com/spreadsheets/d/1EcLIvUgMoBC5as4ikW0wuQsGH5yVZ6cQ1y16qEfgPnk"",""BD M Sangrias!a:i""),""select Col6 whe"&amp;"re Col7 = 'Caixa Atendimento' and Col9 = '""&amp;K199&amp;""' and Col6 = ""&amp;M199&amp;"" and Col4 = date '""&amp;YEAR(C199)&amp;""-""&amp;MONTH(C199)&amp;""-""&amp;DAY(C199)&amp;""'""))&gt;0,""Caixa Atendimento"",""Caixa Sangria"")),""""),""Caixa Sangria"")"),"")</f>
        <v/>
      </c>
      <c r="M199" s="185" t="str">
        <f>IFERROR(__xludf.DUMMYFUNCTION("ifna(VALUE(REGEXEXTRACT(E199,""[0-9.]+[,]+[0-9]+"")))"),"")</f>
        <v/>
      </c>
      <c r="N199" s="185"/>
      <c r="O199" s="185"/>
      <c r="P199" s="185"/>
      <c r="Q199" s="185"/>
      <c r="R199" s="185"/>
      <c r="S199" s="185"/>
      <c r="T199" s="185"/>
      <c r="U199" s="185"/>
      <c r="V199" s="185"/>
    </row>
    <row r="200" ht="14.25" customHeight="1">
      <c r="A200" s="178"/>
      <c r="B200" s="12"/>
      <c r="C200" s="13"/>
      <c r="D200" s="179"/>
      <c r="E200" s="180"/>
      <c r="F200" s="181"/>
      <c r="G200" s="179"/>
      <c r="H200" s="190"/>
      <c r="I200" s="190"/>
      <c r="J200" s="187"/>
      <c r="K200" s="187"/>
      <c r="L200" s="184" t="str">
        <f>IFERROR(__xludf.DUMMYFUNCTION("ifna(IF(and(D200=""Saída"",J200=""Sangria""),if(sum(QUERY(IMPORTRANGE(""https://docs.google.com/spreadsheets/d/1E4szPcLzsqlw4uyBAoJ61L1ChCgpz4wVP8tHfHW1g_c"",""BD M Sangrias!a:i""),""select Col6 where Col7 = 'Depositada' and Col9 = '""&amp;K200&amp;""' and Col6 ="&amp;" ""&amp;M200&amp;"" and Col4 = date '""&amp;YEAR(C200)&amp;""-""&amp;MONTH(C200)&amp;""-""&amp;DAY(C200)&amp;""'""))&gt;0,""Depositada"",if(sum(QUERY(IMPORTRANGE(""https://docs.google.com/spreadsheets/d/1EcLIvUgMoBC5as4ikW0wuQsGH5yVZ6cQ1y16qEfgPnk"",""BD M Sangrias!a:i""),""select Col6 whe"&amp;"re Col7 = 'Caixa Atendimento' and Col9 = '""&amp;K200&amp;""' and Col6 = ""&amp;M200&amp;"" and Col4 = date '""&amp;YEAR(C200)&amp;""-""&amp;MONTH(C200)&amp;""-""&amp;DAY(C200)&amp;""'""))&gt;0,""Caixa Atendimento"",""Caixa Sangria"")),""""),""Caixa Sangria"")"),"")</f>
        <v/>
      </c>
      <c r="M200" s="185" t="str">
        <f>IFERROR(__xludf.DUMMYFUNCTION("ifna(VALUE(REGEXEXTRACT(E200,""[0-9.]+[,]+[0-9]+"")))"),"")</f>
        <v/>
      </c>
      <c r="N200" s="185"/>
      <c r="O200" s="185"/>
      <c r="P200" s="185"/>
      <c r="Q200" s="185"/>
      <c r="R200" s="185"/>
      <c r="S200" s="185"/>
      <c r="T200" s="185"/>
      <c r="U200" s="185"/>
      <c r="V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184" t="str">
        <f>IFERROR(__xludf.DUMMYFUNCTION("ifna(IF(and(D201=""Saída"",J201=""Sangria""),if(sum(QUERY(IMPORTRANGE(""https://docs.google.com/spreadsheets/d/1E4szPcLzsqlw4uyBAoJ61L1ChCgpz4wVP8tHfHW1g_c"",""BD M Sangrias!a:i""),""select Col6 where Col7 = 'Depositada' and Col9 = '""&amp;K201&amp;""' and Col6 ="&amp;" ""&amp;M201&amp;"" and Col4 = date '""&amp;YEAR(C201)&amp;""-""&amp;MONTH(C201)&amp;""-""&amp;DAY(C201)&amp;""'""))&gt;0,""Depositada"",if(sum(QUERY(IMPORTRANGE(""https://docs.google.com/spreadsheets/d/1EcLIvUgMoBC5as4ikW0wuQsGH5yVZ6cQ1y16qEfgPnk"",""BD M Sangrias!a:i""),""select Col6 whe"&amp;"re Col7 = 'Caixa Atendimento' and Col9 = '""&amp;K201&amp;""' and Col6 = ""&amp;M201&amp;"" and Col4 = date '""&amp;YEAR(C201)&amp;""-""&amp;MONTH(C201)&amp;""-""&amp;DAY(C201)&amp;""'""))&gt;0,""Caixa Atendimento"",""Caixa Sangria"")),""""),""Caixa Sangria"")"),"")</f>
        <v/>
      </c>
      <c r="M201" s="185" t="str">
        <f>IFERROR(__xludf.DUMMYFUNCTION("ifna(VALUE(REGEXEXTRACT(E201,""[0-9.]+[,]+[0-9]+"")))"),"")</f>
        <v/>
      </c>
      <c r="N201" s="185"/>
      <c r="O201" s="185"/>
      <c r="P201" s="185"/>
      <c r="Q201" s="185"/>
      <c r="R201" s="185"/>
      <c r="S201" s="185"/>
      <c r="T201" s="185"/>
      <c r="U201" s="185"/>
      <c r="V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184" t="str">
        <f>IFERROR(__xludf.DUMMYFUNCTION("ifna(IF(and(D202=""Saída"",J202=""Sangria""),if(sum(QUERY(IMPORTRANGE(""https://docs.google.com/spreadsheets/d/1E4szPcLzsqlw4uyBAoJ61L1ChCgpz4wVP8tHfHW1g_c"",""BD M Sangrias!a:i""),""select Col6 where Col7 = 'Depositada' and Col9 = '""&amp;K202&amp;""' and Col6 ="&amp;" ""&amp;M202&amp;"" and Col4 = date '""&amp;YEAR(C202)&amp;""-""&amp;MONTH(C202)&amp;""-""&amp;DAY(C202)&amp;""'""))&gt;0,""Depositada"",if(sum(QUERY(IMPORTRANGE(""https://docs.google.com/spreadsheets/d/1EcLIvUgMoBC5as4ikW0wuQsGH5yVZ6cQ1y16qEfgPnk"",""BD M Sangrias!a:i""),""select Col6 whe"&amp;"re Col7 = 'Caixa Atendimento' and Col9 = '""&amp;K202&amp;""' and Col6 = ""&amp;M202&amp;"" and Col4 = date '""&amp;YEAR(C202)&amp;""-""&amp;MONTH(C202)&amp;""-""&amp;DAY(C202)&amp;""'""))&gt;0,""Caixa Atendimento"",""Caixa Sangria"")),""""),""Caixa Sangria"")"),"")</f>
        <v/>
      </c>
      <c r="M202" s="185" t="str">
        <f>IFERROR(__xludf.DUMMYFUNCTION("ifna(VALUE(REGEXEXTRACT(E202,""[0-9.]+[,]+[0-9]+"")))"),"")</f>
        <v/>
      </c>
      <c r="N202" s="185"/>
      <c r="O202" s="185"/>
      <c r="P202" s="185"/>
      <c r="Q202" s="185"/>
      <c r="R202" s="185"/>
      <c r="S202" s="185"/>
      <c r="T202" s="185"/>
      <c r="U202" s="185"/>
      <c r="V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184" t="str">
        <f>IFERROR(__xludf.DUMMYFUNCTION("ifna(IF(and(D203=""Saída"",J203=""Sangria""),if(sum(QUERY(IMPORTRANGE(""https://docs.google.com/spreadsheets/d/1E4szPcLzsqlw4uyBAoJ61L1ChCgpz4wVP8tHfHW1g_c"",""BD M Sangrias!a:i""),""select Col6 where Col7 = 'Depositada' and Col9 = '""&amp;K203&amp;""' and Col6 ="&amp;" ""&amp;M203&amp;"" and Col4 = date '""&amp;YEAR(C203)&amp;""-""&amp;MONTH(C203)&amp;""-""&amp;DAY(C203)&amp;""'""))&gt;0,""Depositada"",if(sum(QUERY(IMPORTRANGE(""https://docs.google.com/spreadsheets/d/1EcLIvUgMoBC5as4ikW0wuQsGH5yVZ6cQ1y16qEfgPnk"",""BD M Sangrias!a:i""),""select Col6 whe"&amp;"re Col7 = 'Caixa Atendimento' and Col9 = '""&amp;K203&amp;""' and Col6 = ""&amp;M203&amp;"" and Col4 = date '""&amp;YEAR(C203)&amp;""-""&amp;MONTH(C203)&amp;""-""&amp;DAY(C203)&amp;""'""))&gt;0,""Caixa Atendimento"",""Caixa Sangria"")),""""),""Caixa Sangria"")"),"")</f>
        <v/>
      </c>
      <c r="M203" s="185" t="str">
        <f>IFERROR(__xludf.DUMMYFUNCTION("ifna(VALUE(REGEXEXTRACT(E203,""[0-9.]+[,]+[0-9]+"")))"),"")</f>
        <v/>
      </c>
      <c r="N203" s="185"/>
      <c r="O203" s="185"/>
      <c r="P203" s="185"/>
      <c r="Q203" s="185"/>
      <c r="R203" s="185"/>
      <c r="S203" s="185"/>
      <c r="T203" s="185"/>
      <c r="U203" s="185"/>
      <c r="V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184" t="str">
        <f>IFERROR(__xludf.DUMMYFUNCTION("ifna(IF(and(D204=""Saída"",J204=""Sangria""),if(sum(QUERY(IMPORTRANGE(""https://docs.google.com/spreadsheets/d/1E4szPcLzsqlw4uyBAoJ61L1ChCgpz4wVP8tHfHW1g_c"",""BD M Sangrias!a:i""),""select Col6 where Col7 = 'Depositada' and Col9 = '""&amp;K204&amp;""' and Col6 ="&amp;" ""&amp;M204&amp;"" and Col4 = date '""&amp;YEAR(C204)&amp;""-""&amp;MONTH(C204)&amp;""-""&amp;DAY(C204)&amp;""'""))&gt;0,""Depositada"",if(sum(QUERY(IMPORTRANGE(""https://docs.google.com/spreadsheets/d/1EcLIvUgMoBC5as4ikW0wuQsGH5yVZ6cQ1y16qEfgPnk"",""BD M Sangrias!a:i""),""select Col6 whe"&amp;"re Col7 = 'Caixa Atendimento' and Col9 = '""&amp;K204&amp;""' and Col6 = ""&amp;M204&amp;"" and Col4 = date '""&amp;YEAR(C204)&amp;""-""&amp;MONTH(C204)&amp;""-""&amp;DAY(C204)&amp;""'""))&gt;0,""Caixa Atendimento"",""Caixa Sangria"")),""""),""Caixa Sangria"")"),"")</f>
        <v/>
      </c>
      <c r="M204" s="185" t="str">
        <f>IFERROR(__xludf.DUMMYFUNCTION("ifna(VALUE(REGEXEXTRACT(E204,""[0-9.]+[,]+[0-9]+"")))"),"")</f>
        <v/>
      </c>
      <c r="N204" s="185"/>
      <c r="O204" s="185"/>
      <c r="P204" s="185"/>
      <c r="Q204" s="185"/>
      <c r="R204" s="185"/>
      <c r="S204" s="185"/>
      <c r="T204" s="185"/>
      <c r="U204" s="185"/>
      <c r="V204" s="185"/>
    </row>
    <row r="205" ht="14.25" customHeight="1">
      <c r="A205" s="178"/>
      <c r="B205" s="12"/>
      <c r="C205" s="13"/>
      <c r="D205" s="179"/>
      <c r="E205" s="180"/>
      <c r="F205" s="188"/>
      <c r="G205" s="179"/>
      <c r="H205" s="190"/>
      <c r="I205" s="190"/>
      <c r="J205" s="187"/>
      <c r="K205" s="187"/>
      <c r="L205" s="184" t="str">
        <f>IFERROR(__xludf.DUMMYFUNCTION("ifna(IF(and(D205=""Saída"",J205=""Sangria""),if(sum(QUERY(IMPORTRANGE(""https://docs.google.com/spreadsheets/d/1E4szPcLzsqlw4uyBAoJ61L1ChCgpz4wVP8tHfHW1g_c"",""BD M Sangrias!a:i""),""select Col6 where Col7 = 'Depositada' and Col9 = '""&amp;K205&amp;""' and Col6 ="&amp;" ""&amp;M205&amp;"" and Col4 = date '""&amp;YEAR(C205)&amp;""-""&amp;MONTH(C205)&amp;""-""&amp;DAY(C205)&amp;""'""))&gt;0,""Depositada"",if(sum(QUERY(IMPORTRANGE(""https://docs.google.com/spreadsheets/d/1EcLIvUgMoBC5as4ikW0wuQsGH5yVZ6cQ1y16qEfgPnk"",""BD M Sangrias!a:i""),""select Col6 whe"&amp;"re Col7 = 'Caixa Atendimento' and Col9 = '""&amp;K205&amp;""' and Col6 = ""&amp;M205&amp;"" and Col4 = date '""&amp;YEAR(C205)&amp;""-""&amp;MONTH(C205)&amp;""-""&amp;DAY(C205)&amp;""'""))&gt;0,""Caixa Atendimento"",""Caixa Sangria"")),""""),""Caixa Sangria"")"),"")</f>
        <v/>
      </c>
      <c r="M205" s="185" t="str">
        <f>IFERROR(__xludf.DUMMYFUNCTION("ifna(VALUE(REGEXEXTRACT(E205,""[0-9.]+[,]+[0-9]+"")))"),"")</f>
        <v/>
      </c>
      <c r="N205" s="185"/>
      <c r="O205" s="185"/>
      <c r="P205" s="185"/>
      <c r="Q205" s="185"/>
      <c r="R205" s="185"/>
      <c r="S205" s="185"/>
      <c r="T205" s="185"/>
      <c r="U205" s="185"/>
      <c r="V205" s="185"/>
    </row>
    <row r="206" ht="14.25" customHeight="1">
      <c r="A206" s="178"/>
      <c r="B206" s="12"/>
      <c r="C206" s="13"/>
      <c r="D206" s="179"/>
      <c r="E206" s="180"/>
      <c r="F206" s="181"/>
      <c r="G206" s="179"/>
      <c r="H206" s="190"/>
      <c r="I206" s="190"/>
      <c r="J206" s="187"/>
      <c r="K206" s="187"/>
      <c r="L206" s="184" t="str">
        <f>IFERROR(__xludf.DUMMYFUNCTION("ifna(IF(and(D206=""Saída"",J206=""Sangria""),if(sum(QUERY(IMPORTRANGE(""https://docs.google.com/spreadsheets/d/1E4szPcLzsqlw4uyBAoJ61L1ChCgpz4wVP8tHfHW1g_c"",""BD M Sangrias!a:i""),""select Col6 where Col7 = 'Depositada' and Col9 = '""&amp;K206&amp;""' and Col6 ="&amp;" ""&amp;M206&amp;"" and Col4 = date '""&amp;YEAR(C206)&amp;""-""&amp;MONTH(C206)&amp;""-""&amp;DAY(C206)&amp;""'""))&gt;0,""Depositada"",if(sum(QUERY(IMPORTRANGE(""https://docs.google.com/spreadsheets/d/1EcLIvUgMoBC5as4ikW0wuQsGH5yVZ6cQ1y16qEfgPnk"",""BD M Sangrias!a:i""),""select Col6 whe"&amp;"re Col7 = 'Caixa Atendimento' and Col9 = '""&amp;K206&amp;""' and Col6 = ""&amp;M206&amp;"" and Col4 = date '""&amp;YEAR(C206)&amp;""-""&amp;MONTH(C206)&amp;""-""&amp;DAY(C206)&amp;""'""))&gt;0,""Caixa Atendimento"",""Caixa Sangria"")),""""),""Caixa Sangria"")"),"")</f>
        <v/>
      </c>
      <c r="M206" s="185" t="str">
        <f>IFERROR(__xludf.DUMMYFUNCTION("ifna(VALUE(REGEXEXTRACT(E206,""[0-9.]+[,]+[0-9]+"")))"),"")</f>
        <v/>
      </c>
      <c r="N206" s="185"/>
      <c r="O206" s="185"/>
      <c r="P206" s="185"/>
      <c r="Q206" s="185"/>
      <c r="R206" s="185"/>
      <c r="S206" s="185"/>
      <c r="T206" s="185"/>
      <c r="U206" s="185"/>
      <c r="V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184" t="str">
        <f>IFERROR(__xludf.DUMMYFUNCTION("ifna(IF(and(D207=""Saída"",J207=""Sangria""),if(sum(QUERY(IMPORTRANGE(""https://docs.google.com/spreadsheets/d/1E4szPcLzsqlw4uyBAoJ61L1ChCgpz4wVP8tHfHW1g_c"",""BD M Sangrias!a:i""),""select Col6 where Col7 = 'Depositada' and Col9 = '""&amp;K207&amp;""' and Col6 ="&amp;" ""&amp;M207&amp;"" and Col4 = date '""&amp;YEAR(C207)&amp;""-""&amp;MONTH(C207)&amp;""-""&amp;DAY(C207)&amp;""'""))&gt;0,""Depositada"",if(sum(QUERY(IMPORTRANGE(""https://docs.google.com/spreadsheets/d/1EcLIvUgMoBC5as4ikW0wuQsGH5yVZ6cQ1y16qEfgPnk"",""BD M Sangrias!a:i""),""select Col6 whe"&amp;"re Col7 = 'Caixa Atendimento' and Col9 = '""&amp;K207&amp;""' and Col6 = ""&amp;M207&amp;"" and Col4 = date '""&amp;YEAR(C207)&amp;""-""&amp;MONTH(C207)&amp;""-""&amp;DAY(C207)&amp;""'""))&gt;0,""Caixa Atendimento"",""Caixa Sangria"")),""""),""Caixa Sangria"")"),"")</f>
        <v/>
      </c>
      <c r="M207" s="185" t="str">
        <f>IFERROR(__xludf.DUMMYFUNCTION("ifna(VALUE(REGEXEXTRACT(E207,""[0-9.]+[,]+[0-9]+"")))"),"")</f>
        <v/>
      </c>
      <c r="N207" s="185"/>
      <c r="O207" s="185"/>
      <c r="P207" s="185"/>
      <c r="Q207" s="185"/>
      <c r="R207" s="185"/>
      <c r="S207" s="185"/>
      <c r="T207" s="185"/>
      <c r="U207" s="185"/>
      <c r="V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184"/>
      <c r="M208" s="185" t="str">
        <f>IFERROR(__xludf.DUMMYFUNCTION("ifna(VALUE(REGEXEXTRACT(E208,""[0-9.]+[,]+[0-9]+"")))"),"")</f>
        <v/>
      </c>
      <c r="N208" s="185"/>
      <c r="O208" s="185"/>
      <c r="P208" s="185"/>
      <c r="Q208" s="185"/>
      <c r="R208" s="185"/>
      <c r="S208" s="185"/>
      <c r="T208" s="185"/>
      <c r="U208" s="185"/>
      <c r="V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184" t="str">
        <f>IFERROR(__xludf.DUMMYFUNCTION("ifna(IF(and(D209=""Saída"",J208=""Sangria""),if(sum(QUERY(IMPORTRANGE(""https://docs.google.com/spreadsheets/d/1E4szPcLzsqlw4uyBAoJ61L1ChCgpz4wVP8tHfHW1g_c"",""BD M Sangrias!a:i""),""select Col6 where Col7 = 'Depositada' and Col9 = '""&amp;K209&amp;""' and Col6 ="&amp;" ""&amp;M209&amp;"" and Col4 = date '""&amp;YEAR(C209)&amp;""-""&amp;MONTH(C209)&amp;""-""&amp;DAY(C209)&amp;""'""))&gt;0,""Depositada"",if(sum(QUERY(IMPORTRANGE(""https://docs.google.com/spreadsheets/d/1EcLIvUgMoBC5as4ikW0wuQsGH5yVZ6cQ1y16qEfgPnk"",""BD M Sangrias!a:i""),""select Col6 whe"&amp;"re Col7 = 'Caixa Atendimento' and Col9 = '""&amp;K209&amp;""' and Col6 = ""&amp;M209&amp;"" and Col4 = date '""&amp;YEAR(C209)&amp;""-""&amp;MONTH(C209)&amp;""-""&amp;DAY(C209)&amp;""'""))&gt;0,""Caixa Atendimento"",""Caixa Sangria"")),""""),""Caixa Sangria"")"),"")</f>
        <v/>
      </c>
      <c r="M209" s="185" t="str">
        <f>IFERROR(__xludf.DUMMYFUNCTION("ifna(VALUE(REGEXEXTRACT(E209,""[0-9.]+[,]+[0-9]+"")))"),"")</f>
        <v/>
      </c>
      <c r="N209" s="185"/>
      <c r="O209" s="185"/>
      <c r="P209" s="185"/>
      <c r="Q209" s="185"/>
      <c r="R209" s="185"/>
      <c r="S209" s="185"/>
      <c r="T209" s="185"/>
      <c r="U209" s="185"/>
      <c r="V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184" t="str">
        <f>IFERROR(__xludf.DUMMYFUNCTION("ifna(IF(and(D210=""Saída"",J210=""Sangria""),if(sum(QUERY(IMPORTRANGE(""https://docs.google.com/spreadsheets/d/1E4szPcLzsqlw4uyBAoJ61L1ChCgpz4wVP8tHfHW1g_c"",""BD M Sangrias!a:i""),""select Col6 where Col7 = 'Depositada' and Col9 = '""&amp;K210&amp;""' and Col6 ="&amp;" ""&amp;M210&amp;"" and Col4 = date '""&amp;YEAR(C210)&amp;""-""&amp;MONTH(C210)&amp;""-""&amp;DAY(C210)&amp;""'""))&gt;0,""Depositada"",if(sum(QUERY(IMPORTRANGE(""https://docs.google.com/spreadsheets/d/1EcLIvUgMoBC5as4ikW0wuQsGH5yVZ6cQ1y16qEfgPnk"",""BD M Sangrias!a:i""),""select Col6 whe"&amp;"re Col7 = 'Caixa Atendimento' and Col9 = '""&amp;K210&amp;""' and Col6 = ""&amp;M210&amp;"" and Col4 = date '""&amp;YEAR(C210)&amp;""-""&amp;MONTH(C210)&amp;""-""&amp;DAY(C210)&amp;""'""))&gt;0,""Caixa Atendimento"",""Caixa Sangria"")),""""),""Caixa Sangria"")"),"")</f>
        <v/>
      </c>
      <c r="M210" s="185" t="str">
        <f>IFERROR(__xludf.DUMMYFUNCTION("ifna(VALUE(REGEXEXTRACT(E210,""[0-9.]+[,]+[0-9]+"")))"),"")</f>
        <v/>
      </c>
      <c r="N210" s="185"/>
      <c r="O210" s="185"/>
      <c r="P210" s="185"/>
      <c r="Q210" s="185"/>
      <c r="R210" s="185"/>
      <c r="S210" s="185"/>
      <c r="T210" s="185"/>
      <c r="U210" s="185"/>
      <c r="V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184" t="str">
        <f>IFERROR(__xludf.DUMMYFUNCTION("ifna(IF(and(D211=""Saída"",J211=""Sangria""),if(sum(QUERY(IMPORTRANGE(""https://docs.google.com/spreadsheets/d/1E4szPcLzsqlw4uyBAoJ61L1ChCgpz4wVP8tHfHW1g_c"",""BD M Sangrias!a:i""),""select Col6 where Col7 = 'Depositada' and Col9 = '""&amp;K211&amp;""' and Col6 ="&amp;" ""&amp;M211&amp;"" and Col4 = date '""&amp;YEAR(C211)&amp;""-""&amp;MONTH(C211)&amp;""-""&amp;DAY(C211)&amp;""'""))&gt;0,""Depositada"",if(sum(QUERY(IMPORTRANGE(""https://docs.google.com/spreadsheets/d/1EcLIvUgMoBC5as4ikW0wuQsGH5yVZ6cQ1y16qEfgPnk"",""BD M Sangrias!a:i""),""select Col6 whe"&amp;"re Col7 = 'Caixa Atendimento' and Col9 = '""&amp;K211&amp;""' and Col6 = ""&amp;M211&amp;"" and Col4 = date '""&amp;YEAR(C211)&amp;""-""&amp;MONTH(C211)&amp;""-""&amp;DAY(C211)&amp;""'""))&gt;0,""Caixa Atendimento"",""Caixa Sangria"")),""""),""Caixa Sangria"")"),"")</f>
        <v/>
      </c>
      <c r="M211" s="185" t="str">
        <f>IFERROR(__xludf.DUMMYFUNCTION("ifna(VALUE(REGEXEXTRACT(E211,""[0-9.]+[,]+[0-9]+"")))"),"")</f>
        <v/>
      </c>
      <c r="N211" s="185"/>
      <c r="O211" s="185"/>
      <c r="P211" s="185"/>
      <c r="Q211" s="185"/>
      <c r="R211" s="185"/>
      <c r="S211" s="185"/>
      <c r="T211" s="185"/>
      <c r="U211" s="185"/>
      <c r="V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184" t="str">
        <f>IFERROR(__xludf.DUMMYFUNCTION("ifna(IF(and(D212=""Saída"",J212=""Sangria""),if(sum(QUERY(IMPORTRANGE(""https://docs.google.com/spreadsheets/d/1E4szPcLzsqlw4uyBAoJ61L1ChCgpz4wVP8tHfHW1g_c"",""BD M Sangrias!a:i""),""select Col6 where Col7 = 'Depositada' and Col9 = '""&amp;K212&amp;""' and Col6 ="&amp;" ""&amp;M212&amp;"" and Col4 = date '""&amp;YEAR(C212)&amp;""-""&amp;MONTH(C212)&amp;""-""&amp;DAY(C212)&amp;""'""))&gt;0,""Depositada"",if(sum(QUERY(IMPORTRANGE(""https://docs.google.com/spreadsheets/d/1EcLIvUgMoBC5as4ikW0wuQsGH5yVZ6cQ1y16qEfgPnk"",""BD M Sangrias!a:i""),""select Col6 whe"&amp;"re Col7 = 'Caixa Atendimento' and Col9 = '""&amp;K212&amp;""' and Col6 = ""&amp;M212&amp;"" and Col4 = date '""&amp;YEAR(C212)&amp;""-""&amp;MONTH(C212)&amp;""-""&amp;DAY(C212)&amp;""'""))&gt;0,""Caixa Atendimento"",""Caixa Sangria"")),""""),""Caixa Sangria"")"),"")</f>
        <v/>
      </c>
      <c r="M212" s="185" t="str">
        <f>IFERROR(__xludf.DUMMYFUNCTION("ifna(VALUE(REGEXEXTRACT(E212,""[0-9.]+[,]+[0-9]+"")))"),"")</f>
        <v/>
      </c>
      <c r="N212" s="185"/>
      <c r="O212" s="185"/>
      <c r="P212" s="185"/>
      <c r="Q212" s="185"/>
      <c r="R212" s="185"/>
      <c r="S212" s="185"/>
      <c r="T212" s="185"/>
      <c r="U212" s="185"/>
      <c r="V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184" t="str">
        <f>IFERROR(__xludf.DUMMYFUNCTION("ifna(IF(and(D213=""Saída"",J213=""Sangria""),if(sum(QUERY(IMPORTRANGE(""https://docs.google.com/spreadsheets/d/1E4szPcLzsqlw4uyBAoJ61L1ChCgpz4wVP8tHfHW1g_c"",""BD M Sangrias!a:i""),""select Col6 where Col7 = 'Depositada' and Col9 = '""&amp;K213&amp;""' and Col6 ="&amp;" ""&amp;M213&amp;"" and Col4 = date '""&amp;YEAR(C213)&amp;""-""&amp;MONTH(C213)&amp;""-""&amp;DAY(C213)&amp;""'""))&gt;0,""Depositada"",if(sum(QUERY(IMPORTRANGE(""https://docs.google.com/spreadsheets/d/1EcLIvUgMoBC5as4ikW0wuQsGH5yVZ6cQ1y16qEfgPnk"",""BD M Sangrias!a:i""),""select Col6 whe"&amp;"re Col7 = 'Caixa Atendimento' and Col9 = '""&amp;K213&amp;""' and Col6 = ""&amp;M213&amp;"" and Col4 = date '""&amp;YEAR(C213)&amp;""-""&amp;MONTH(C213)&amp;""-""&amp;DAY(C213)&amp;""'""))&gt;0,""Caixa Atendimento"",""Caixa Sangria"")),""""),""Caixa Sangria"")"),"")</f>
        <v/>
      </c>
      <c r="M213" s="185" t="str">
        <f>IFERROR(__xludf.DUMMYFUNCTION("ifna(VALUE(REGEXEXTRACT(E213,""[0-9.]+[,]+[0-9]+"")))"),"")</f>
        <v/>
      </c>
      <c r="N213" s="185"/>
      <c r="O213" s="185"/>
      <c r="P213" s="185"/>
      <c r="Q213" s="185"/>
      <c r="R213" s="185"/>
      <c r="S213" s="185"/>
      <c r="T213" s="185"/>
      <c r="U213" s="185"/>
      <c r="V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184" t="str">
        <f>IFERROR(__xludf.DUMMYFUNCTION("ifna(IF(and(D214=""Saída"",J214=""Sangria""),if(sum(QUERY(IMPORTRANGE(""https://docs.google.com/spreadsheets/d/1E4szPcLzsqlw4uyBAoJ61L1ChCgpz4wVP8tHfHW1g_c"",""BD M Sangrias!a:i""),""select Col6 where Col7 = 'Depositada' and Col9 = '""&amp;K214&amp;""' and Col6 ="&amp;" ""&amp;M214&amp;"" and Col4 = date '""&amp;YEAR(C214)&amp;""-""&amp;MONTH(C214)&amp;""-""&amp;DAY(C214)&amp;""'""))&gt;0,""Depositada"",if(sum(QUERY(IMPORTRANGE(""https://docs.google.com/spreadsheets/d/1EcLIvUgMoBC5as4ikW0wuQsGH5yVZ6cQ1y16qEfgPnk"",""BD M Sangrias!a:i""),""select Col6 whe"&amp;"re Col7 = 'Caixa Atendimento' and Col9 = '""&amp;K214&amp;""' and Col6 = ""&amp;M214&amp;"" and Col4 = date '""&amp;YEAR(C214)&amp;""-""&amp;MONTH(C214)&amp;""-""&amp;DAY(C214)&amp;""'""))&gt;0,""Caixa Atendimento"",""Caixa Sangria"")),""""),""Caixa Sangria"")"),"")</f>
        <v/>
      </c>
      <c r="M214" s="185" t="str">
        <f>IFERROR(__xludf.DUMMYFUNCTION("ifna(VALUE(REGEXEXTRACT(#REF!,""[0-9.]+[,]+[0-9]+"")))"),"#REF!")</f>
        <v>#REF!</v>
      </c>
      <c r="N214" s="185"/>
      <c r="O214" s="185"/>
      <c r="P214" s="185"/>
      <c r="Q214" s="185"/>
      <c r="R214" s="185"/>
      <c r="S214" s="185"/>
      <c r="T214" s="185"/>
      <c r="U214" s="185"/>
      <c r="V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184" t="str">
        <f>IFERROR(__xludf.DUMMYFUNCTION("ifna(IF(and(D215=""Saída"",J215=""Sangria""),if(sum(QUERY(IMPORTRANGE(""https://docs.google.com/spreadsheets/d/1E4szPcLzsqlw4uyBAoJ61L1ChCgpz4wVP8tHfHW1g_c"",""BD M Sangrias!a:i""),""select Col6 where Col7 = 'Depositada' and Col9 = '""&amp;K215&amp;""' and Col6 ="&amp;" ""&amp;M215&amp;"" and Col4 = date '""&amp;YEAR(C215)&amp;""-""&amp;MONTH(C215)&amp;""-""&amp;DAY(C215)&amp;""'""))&gt;0,""Depositada"",if(sum(QUERY(IMPORTRANGE(""https://docs.google.com/spreadsheets/d/1EcLIvUgMoBC5as4ikW0wuQsGH5yVZ6cQ1y16qEfgPnk"",""BD M Sangrias!a:i""),""select Col6 whe"&amp;"re Col7 = 'Caixa Atendimento' and Col9 = '""&amp;K215&amp;""' and Col6 = ""&amp;M215&amp;"" and Col4 = date '""&amp;YEAR(C215)&amp;""-""&amp;MONTH(C215)&amp;""-""&amp;DAY(C215)&amp;""'""))&gt;0,""Caixa Atendimento"",""Caixa Sangria"")),""""),""Caixa Sangria"")"),"")</f>
        <v/>
      </c>
      <c r="M215" s="185" t="str">
        <f>IFERROR(__xludf.DUMMYFUNCTION("ifna(VALUE(REGEXEXTRACT(E214,""[0-9.]+[,]+[0-9]+"")))"),"")</f>
        <v/>
      </c>
      <c r="N215" s="185"/>
      <c r="O215" s="185"/>
      <c r="P215" s="185"/>
      <c r="Q215" s="185"/>
      <c r="R215" s="185"/>
      <c r="S215" s="185"/>
      <c r="T215" s="185"/>
      <c r="U215" s="185"/>
      <c r="V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184" t="str">
        <f>IFERROR(__xludf.DUMMYFUNCTION("ifna(IF(and(D216=""Saída"",J216=""Sangria""),if(sum(QUERY(IMPORTRANGE(""https://docs.google.com/spreadsheets/d/1E4szPcLzsqlw4uyBAoJ61L1ChCgpz4wVP8tHfHW1g_c"",""BD M Sangrias!a:i""),""select Col6 where Col7 = 'Depositada' and Col9 = '""&amp;K216&amp;""' and Col6 ="&amp;" ""&amp;M216&amp;"" and Col4 = date '""&amp;YEAR(C216)&amp;""-""&amp;MONTH(C216)&amp;""-""&amp;DAY(C216)&amp;""'""))&gt;0,""Depositada"",if(sum(QUERY(IMPORTRANGE(""https://docs.google.com/spreadsheets/d/1EcLIvUgMoBC5as4ikW0wuQsGH5yVZ6cQ1y16qEfgPnk"",""BD M Sangrias!a:i""),""select Col6 whe"&amp;"re Col7 = 'Caixa Atendimento' and Col9 = '""&amp;K216&amp;""' and Col6 = ""&amp;M216&amp;"" and Col4 = date '""&amp;YEAR(C216)&amp;""-""&amp;MONTH(C216)&amp;""-""&amp;DAY(C216)&amp;""'""))&gt;0,""Caixa Atendimento"",""Caixa Sangria"")),""""),""Caixa Sangria"")"),"")</f>
        <v/>
      </c>
      <c r="M216" s="185" t="str">
        <f>IFERROR(__xludf.DUMMYFUNCTION("ifna(VALUE(REGEXEXTRACT(E216,""[0-9.]+[,]+[0-9]+"")))"),"")</f>
        <v/>
      </c>
      <c r="N216" s="185"/>
      <c r="O216" s="185"/>
      <c r="P216" s="185"/>
      <c r="Q216" s="185"/>
      <c r="R216" s="185"/>
      <c r="S216" s="185"/>
      <c r="T216" s="185"/>
      <c r="U216" s="185"/>
      <c r="V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184" t="str">
        <f>IFERROR(__xludf.DUMMYFUNCTION("ifna(IF(and(D217=""Saída"",J217=""Sangria""),if(sum(QUERY(IMPORTRANGE(""https://docs.google.com/spreadsheets/d/1E4szPcLzsqlw4uyBAoJ61L1ChCgpz4wVP8tHfHW1g_c"",""BD M Sangrias!a:i""),""select Col6 where Col7 = 'Depositada' and Col9 = '""&amp;K217&amp;""' and Col6 ="&amp;" ""&amp;M217&amp;"" and Col4 = date '""&amp;YEAR(C217)&amp;""-""&amp;MONTH(C217)&amp;""-""&amp;DAY(C217)&amp;""'""))&gt;0,""Depositada"",if(sum(QUERY(IMPORTRANGE(""https://docs.google.com/spreadsheets/d/1EcLIvUgMoBC5as4ikW0wuQsGH5yVZ6cQ1y16qEfgPnk"",""BD M Sangrias!a:i""),""select Col6 whe"&amp;"re Col7 = 'Caixa Atendimento' and Col9 = '""&amp;K217&amp;""' and Col6 = ""&amp;M217&amp;"" and Col4 = date '""&amp;YEAR(C217)&amp;""-""&amp;MONTH(C217)&amp;""-""&amp;DAY(C217)&amp;""'""))&gt;0,""Caixa Atendimento"",""Caixa Sangria"")),""""),""Caixa Sangria"")"),"")</f>
        <v/>
      </c>
      <c r="M217" s="185" t="str">
        <f>IFERROR(__xludf.DUMMYFUNCTION("ifna(VALUE(REGEXEXTRACT(E217,""[0-9.]+[,]+[0-9]+"")))"),"")</f>
        <v/>
      </c>
      <c r="N217" s="185"/>
      <c r="O217" s="185"/>
      <c r="P217" s="185"/>
      <c r="Q217" s="185"/>
      <c r="R217" s="185"/>
      <c r="S217" s="185"/>
      <c r="T217" s="185"/>
      <c r="U217" s="185"/>
      <c r="V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184" t="str">
        <f>IFERROR(__xludf.DUMMYFUNCTION("ifna(IF(and(D218=""Saída"",J218=""Sangria""),if(sum(QUERY(IMPORTRANGE(""https://docs.google.com/spreadsheets/d/1E4szPcLzsqlw4uyBAoJ61L1ChCgpz4wVP8tHfHW1g_c"",""BD M Sangrias!a:i""),""select Col6 where Col7 = 'Depositada' and Col9 = '""&amp;K218&amp;""' and Col6 ="&amp;" ""&amp;M218&amp;"" and Col4 = date '""&amp;YEAR(C218)&amp;""-""&amp;MONTH(C218)&amp;""-""&amp;DAY(C218)&amp;""'""))&gt;0,""Depositada"",if(sum(QUERY(IMPORTRANGE(""https://docs.google.com/spreadsheets/d/1EcLIvUgMoBC5as4ikW0wuQsGH5yVZ6cQ1y16qEfgPnk"",""BD M Sangrias!a:i""),""select Col6 whe"&amp;"re Col7 = 'Caixa Atendimento' and Col9 = '""&amp;K218&amp;""' and Col6 = ""&amp;M218&amp;"" and Col4 = date '""&amp;YEAR(C218)&amp;""-""&amp;MONTH(C218)&amp;""-""&amp;DAY(C218)&amp;""'""))&gt;0,""Caixa Atendimento"",""Caixa Sangria"")),""""),""Caixa Sangria"")"),"")</f>
        <v/>
      </c>
      <c r="M218" s="185" t="str">
        <f>IFERROR(__xludf.DUMMYFUNCTION("ifna(VALUE(REGEXEXTRACT(E218,""[0-9.]+[,]+[0-9]+"")))"),"")</f>
        <v/>
      </c>
      <c r="N218" s="185"/>
      <c r="O218" s="185"/>
      <c r="P218" s="185"/>
      <c r="Q218" s="185"/>
      <c r="R218" s="185"/>
      <c r="S218" s="185"/>
      <c r="T218" s="185"/>
      <c r="U218" s="185"/>
      <c r="V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184" t="str">
        <f>IFERROR(__xludf.DUMMYFUNCTION("ifna(IF(and(D219=""Saída"",J219=""Sangria""),if(sum(QUERY(IMPORTRANGE(""https://docs.google.com/spreadsheets/d/1E4szPcLzsqlw4uyBAoJ61L1ChCgpz4wVP8tHfHW1g_c"",""BD M Sangrias!a:i""),""select Col6 where Col7 = 'Depositada' and Col9 = '""&amp;K219&amp;""' and Col6 ="&amp;" ""&amp;M219&amp;"" and Col4 = date '""&amp;YEAR(C219)&amp;""-""&amp;MONTH(C219)&amp;""-""&amp;DAY(C219)&amp;""'""))&gt;0,""Depositada"",if(sum(QUERY(IMPORTRANGE(""https://docs.google.com/spreadsheets/d/1EcLIvUgMoBC5as4ikW0wuQsGH5yVZ6cQ1y16qEfgPnk"",""BD M Sangrias!a:i""),""select Col6 whe"&amp;"re Col7 = 'Caixa Atendimento' and Col9 = '""&amp;K219&amp;""' and Col6 = ""&amp;M219&amp;"" and Col4 = date '""&amp;YEAR(C219)&amp;""-""&amp;MONTH(C219)&amp;""-""&amp;DAY(C219)&amp;""'""))&gt;0,""Caixa Atendimento"",""Caixa Sangria"")),""""),""Caixa Sangria"")"),"")</f>
        <v/>
      </c>
      <c r="M219" s="185" t="str">
        <f>IFERROR(__xludf.DUMMYFUNCTION("ifna(VALUE(REGEXEXTRACT(E219,""[0-9.]+[,]+[0-9]+"")))"),"")</f>
        <v/>
      </c>
      <c r="N219" s="185"/>
      <c r="O219" s="185"/>
      <c r="P219" s="185"/>
      <c r="Q219" s="185"/>
      <c r="R219" s="185"/>
      <c r="S219" s="185"/>
      <c r="T219" s="185"/>
      <c r="U219" s="185"/>
      <c r="V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184" t="str">
        <f>IFERROR(__xludf.DUMMYFUNCTION("ifna(IF(and(D220=""Saída"",J220=""Sangria""),if(sum(QUERY(IMPORTRANGE(""https://docs.google.com/spreadsheets/d/1E4szPcLzsqlw4uyBAoJ61L1ChCgpz4wVP8tHfHW1g_c"",""BD M Sangrias!a:i""),""select Col6 where Col7 = 'Depositada' and Col9 = '""&amp;K220&amp;""' and Col6 ="&amp;" ""&amp;M220&amp;"" and Col4 = date '""&amp;YEAR(C220)&amp;""-""&amp;MONTH(C220)&amp;""-""&amp;DAY(C220)&amp;""'""))&gt;0,""Depositada"",if(sum(QUERY(IMPORTRANGE(""https://docs.google.com/spreadsheets/d/1EcLIvUgMoBC5as4ikW0wuQsGH5yVZ6cQ1y16qEfgPnk"",""BD M Sangrias!a:i""),""select Col6 whe"&amp;"re Col7 = 'Caixa Atendimento' and Col9 = '""&amp;K220&amp;""' and Col6 = ""&amp;M220&amp;"" and Col4 = date '""&amp;YEAR(C220)&amp;""-""&amp;MONTH(C220)&amp;""-""&amp;DAY(C220)&amp;""'""))&gt;0,""Caixa Atendimento"",""Caixa Sangria"")),""""),""Caixa Sangria"")"),"")</f>
        <v/>
      </c>
      <c r="M220" s="185" t="str">
        <f>IFERROR(__xludf.DUMMYFUNCTION("ifna(VALUE(REGEXEXTRACT(E220,""[0-9.]+[,]+[0-9]+"")))"),"")</f>
        <v/>
      </c>
      <c r="N220" s="185"/>
      <c r="O220" s="185"/>
      <c r="P220" s="185"/>
      <c r="Q220" s="185"/>
      <c r="R220" s="185"/>
      <c r="S220" s="185"/>
      <c r="T220" s="185"/>
      <c r="U220" s="185"/>
      <c r="V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184" t="str">
        <f>IFERROR(__xludf.DUMMYFUNCTION("ifna(IF(and(D221=""Saída"",J221=""Sangria""),if(sum(QUERY(IMPORTRANGE(""https://docs.google.com/spreadsheets/d/1E4szPcLzsqlw4uyBAoJ61L1ChCgpz4wVP8tHfHW1g_c"",""BD M Sangrias!a:i""),""select Col6 where Col7 = 'Depositada' and Col9 = '""&amp;K221&amp;""' and Col6 ="&amp;" ""&amp;M221&amp;"" and Col4 = date '""&amp;YEAR(C221)&amp;""-""&amp;MONTH(C221)&amp;""-""&amp;DAY(C221)&amp;""'""))&gt;0,""Depositada"",if(sum(QUERY(IMPORTRANGE(""https://docs.google.com/spreadsheets/d/1EcLIvUgMoBC5as4ikW0wuQsGH5yVZ6cQ1y16qEfgPnk"",""BD M Sangrias!a:i""),""select Col6 whe"&amp;"re Col7 = 'Caixa Atendimento' and Col9 = '""&amp;K221&amp;""' and Col6 = ""&amp;M221&amp;"" and Col4 = date '""&amp;YEAR(C221)&amp;""-""&amp;MONTH(C221)&amp;""-""&amp;DAY(C221)&amp;""'""))&gt;0,""Caixa Atendimento"",""Caixa Sangria"")),""""),""Caixa Sangria"")"),"")</f>
        <v/>
      </c>
      <c r="M221" s="185" t="str">
        <f>IFERROR(__xludf.DUMMYFUNCTION("ifna(VALUE(REGEXEXTRACT(E221,""[0-9.]+[,]+[0-9]+"")))"),"")</f>
        <v/>
      </c>
      <c r="N221" s="185"/>
      <c r="O221" s="185"/>
      <c r="P221" s="185"/>
      <c r="Q221" s="185"/>
      <c r="R221" s="185"/>
      <c r="S221" s="185"/>
      <c r="T221" s="185"/>
      <c r="U221" s="185"/>
      <c r="V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184" t="str">
        <f>IFERROR(__xludf.DUMMYFUNCTION("ifna(IF(and(D222=""Saída"",J222=""Sangria""),if(sum(QUERY(IMPORTRANGE(""https://docs.google.com/spreadsheets/d/1E4szPcLzsqlw4uyBAoJ61L1ChCgpz4wVP8tHfHW1g_c"",""BD M Sangrias!a:i""),""select Col6 where Col7 = 'Depositada' and Col9 = '""&amp;K222&amp;""' and Col6 ="&amp;" ""&amp;M222&amp;"" and Col4 = date '""&amp;YEAR(C222)&amp;""-""&amp;MONTH(C222)&amp;""-""&amp;DAY(C222)&amp;""'""))&gt;0,""Depositada"",if(sum(QUERY(IMPORTRANGE(""https://docs.google.com/spreadsheets/d/1EcLIvUgMoBC5as4ikW0wuQsGH5yVZ6cQ1y16qEfgPnk"",""BD M Sangrias!a:i""),""select Col6 whe"&amp;"re Col7 = 'Caixa Atendimento' and Col9 = '""&amp;K222&amp;""' and Col6 = ""&amp;M222&amp;"" and Col4 = date '""&amp;YEAR(C222)&amp;""-""&amp;MONTH(C222)&amp;""-""&amp;DAY(C222)&amp;""'""))&gt;0,""Caixa Atendimento"",""Caixa Sangria"")),""""),""Caixa Sangria"")"),"")</f>
        <v/>
      </c>
      <c r="M222" s="185" t="str">
        <f>IFERROR(__xludf.DUMMYFUNCTION("ifna(VALUE(REGEXEXTRACT(E222,""[0-9.]+[,]+[0-9]+"")))"),"")</f>
        <v/>
      </c>
      <c r="N222" s="185"/>
      <c r="O222" s="185"/>
      <c r="P222" s="185"/>
      <c r="Q222" s="185"/>
      <c r="R222" s="185"/>
      <c r="S222" s="185"/>
      <c r="T222" s="185"/>
      <c r="U222" s="185"/>
      <c r="V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184" t="str">
        <f>IFERROR(__xludf.DUMMYFUNCTION("ifna(IF(and(D223=""Saída"",J223=""Sangria""),if(sum(QUERY(IMPORTRANGE(""https://docs.google.com/spreadsheets/d/1E4szPcLzsqlw4uyBAoJ61L1ChCgpz4wVP8tHfHW1g_c"",""BD M Sangrias!a:i""),""select Col6 where Col7 = 'Depositada' and Col9 = '""&amp;K223&amp;""' and Col6 ="&amp;" ""&amp;M223&amp;"" and Col4 = date '""&amp;YEAR(C223)&amp;""-""&amp;MONTH(C223)&amp;""-""&amp;DAY(C223)&amp;""'""))&gt;0,""Depositada"",if(sum(QUERY(IMPORTRANGE(""https://docs.google.com/spreadsheets/d/1EcLIvUgMoBC5as4ikW0wuQsGH5yVZ6cQ1y16qEfgPnk"",""BD M Sangrias!a:i""),""select Col6 whe"&amp;"re Col7 = 'Caixa Atendimento' and Col9 = '""&amp;K223&amp;""' and Col6 = ""&amp;M223&amp;"" and Col4 = date '""&amp;YEAR(C223)&amp;""-""&amp;MONTH(C223)&amp;""-""&amp;DAY(C223)&amp;""'""))&gt;0,""Caixa Atendimento"",""Caixa Sangria"")),""""),""Caixa Sangria"")"),"")</f>
        <v/>
      </c>
      <c r="M223" s="185" t="str">
        <f>IFERROR(__xludf.DUMMYFUNCTION("ifna(VALUE(REGEXEXTRACT(E223,""[0-9.]+[,]+[0-9]+"")))"),"")</f>
        <v/>
      </c>
      <c r="N223" s="185"/>
      <c r="O223" s="185"/>
      <c r="P223" s="185"/>
      <c r="Q223" s="185"/>
      <c r="R223" s="185"/>
      <c r="S223" s="185"/>
      <c r="T223" s="185"/>
      <c r="U223" s="185"/>
      <c r="V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184" t="str">
        <f>IFERROR(__xludf.DUMMYFUNCTION("ifna(IF(and(D224=""Saída"",J224=""Sangria""),if(sum(QUERY(IMPORTRANGE(""https://docs.google.com/spreadsheets/d/1E4szPcLzsqlw4uyBAoJ61L1ChCgpz4wVP8tHfHW1g_c"",""BD M Sangrias!a:i""),""select Col6 where Col7 = 'Depositada' and Col9 = '""&amp;K224&amp;""' and Col6 ="&amp;" ""&amp;M224&amp;"" and Col4 = date '""&amp;YEAR(C224)&amp;""-""&amp;MONTH(C224)&amp;""-""&amp;DAY(C224)&amp;""'""))&gt;0,""Depositada"",if(sum(QUERY(IMPORTRANGE(""https://docs.google.com/spreadsheets/d/1EcLIvUgMoBC5as4ikW0wuQsGH5yVZ6cQ1y16qEfgPnk"",""BD M Sangrias!a:i""),""select Col6 whe"&amp;"re Col7 = 'Caixa Atendimento' and Col9 = '""&amp;K224&amp;""' and Col6 = ""&amp;M224&amp;"" and Col4 = date '""&amp;YEAR(C224)&amp;""-""&amp;MONTH(C224)&amp;""-""&amp;DAY(C224)&amp;""'""))&gt;0,""Caixa Atendimento"",""Caixa Sangria"")),""""),""Caixa Sangria"")"),"")</f>
        <v/>
      </c>
      <c r="M224" s="185" t="str">
        <f>IFERROR(__xludf.DUMMYFUNCTION("ifna(VALUE(REGEXEXTRACT(E224,""[0-9.]+[,]+[0-9]+"")))"),"")</f>
        <v/>
      </c>
      <c r="N224" s="185"/>
      <c r="O224" s="185"/>
      <c r="P224" s="185"/>
      <c r="Q224" s="185"/>
      <c r="R224" s="185"/>
      <c r="S224" s="185"/>
      <c r="T224" s="185"/>
      <c r="U224" s="185"/>
      <c r="V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184" t="str">
        <f>IFERROR(__xludf.DUMMYFUNCTION("ifna(IF(and(D225=""Saída"",J225=""Sangria""),if(sum(QUERY(IMPORTRANGE(""https://docs.google.com/spreadsheets/d/1E4szPcLzsqlw4uyBAoJ61L1ChCgpz4wVP8tHfHW1g_c"",""BD M Sangrias!a:i""),""select Col6 where Col7 = 'Depositada' and Col9 = '""&amp;K225&amp;""' and Col6 ="&amp;" ""&amp;M225&amp;"" and Col4 = date '""&amp;YEAR(C225)&amp;""-""&amp;MONTH(C225)&amp;""-""&amp;DAY(C225)&amp;""'""))&gt;0,""Depositada"",if(sum(QUERY(IMPORTRANGE(""https://docs.google.com/spreadsheets/d/1EcLIvUgMoBC5as4ikW0wuQsGH5yVZ6cQ1y16qEfgPnk"",""BD M Sangrias!a:i""),""select Col6 whe"&amp;"re Col7 = 'Caixa Atendimento' and Col9 = '""&amp;K225&amp;""' and Col6 = ""&amp;M225&amp;"" and Col4 = date '""&amp;YEAR(C225)&amp;""-""&amp;MONTH(C225)&amp;""-""&amp;DAY(C225)&amp;""'""))&gt;0,""Caixa Atendimento"",""Caixa Sangria"")),""""),""Caixa Sangria"")"),"")</f>
        <v/>
      </c>
      <c r="M225" s="185" t="str">
        <f>IFERROR(__xludf.DUMMYFUNCTION("ifna(VALUE(REGEXEXTRACT(E225,""[0-9.]+[,]+[0-9]+"")))"),"")</f>
        <v/>
      </c>
      <c r="N225" s="185"/>
      <c r="O225" s="185"/>
      <c r="P225" s="185"/>
      <c r="Q225" s="185"/>
      <c r="R225" s="185"/>
      <c r="S225" s="185"/>
      <c r="T225" s="185"/>
      <c r="U225" s="185"/>
      <c r="V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184" t="str">
        <f>IFERROR(__xludf.DUMMYFUNCTION("ifna(IF(and(D226=""Saída"",J226=""Sangria""),if(sum(QUERY(IMPORTRANGE(""https://docs.google.com/spreadsheets/d/1E4szPcLzsqlw4uyBAoJ61L1ChCgpz4wVP8tHfHW1g_c"",""BD M Sangrias!a:i""),""select Col6 where Col7 = 'Depositada' and Col9 = '""&amp;K226&amp;""' and Col6 ="&amp;" ""&amp;M226&amp;"" and Col4 = date '""&amp;YEAR(C226)&amp;""-""&amp;MONTH(C226)&amp;""-""&amp;DAY(C226)&amp;""'""))&gt;0,""Depositada"",if(sum(QUERY(IMPORTRANGE(""https://docs.google.com/spreadsheets/d/1EcLIvUgMoBC5as4ikW0wuQsGH5yVZ6cQ1y16qEfgPnk"",""BD M Sangrias!a:i""),""select Col6 whe"&amp;"re Col7 = 'Caixa Atendimento' and Col9 = '""&amp;K226&amp;""' and Col6 = ""&amp;M226&amp;"" and Col4 = date '""&amp;YEAR(C226)&amp;""-""&amp;MONTH(C226)&amp;""-""&amp;DAY(C226)&amp;""'""))&gt;0,""Caixa Atendimento"",""Caixa Sangria"")),""""),""Caixa Sangria"")"),"")</f>
        <v/>
      </c>
      <c r="M226" s="185" t="str">
        <f>IFERROR(__xludf.DUMMYFUNCTION("ifna(VALUE(REGEXEXTRACT(E226,""[0-9.]+[,]+[0-9]+"")))"),"")</f>
        <v/>
      </c>
      <c r="N226" s="185"/>
      <c r="O226" s="185"/>
      <c r="P226" s="185"/>
      <c r="Q226" s="185"/>
      <c r="R226" s="185"/>
      <c r="S226" s="185"/>
      <c r="T226" s="185"/>
      <c r="U226" s="185"/>
      <c r="V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184" t="str">
        <f>IFERROR(__xludf.DUMMYFUNCTION("ifna(IF(and(D227=""Saída"",J227=""Sangria""),if(sum(QUERY(IMPORTRANGE(""https://docs.google.com/spreadsheets/d/1E4szPcLzsqlw4uyBAoJ61L1ChCgpz4wVP8tHfHW1g_c"",""BD M Sangrias!a:i""),""select Col6 where Col7 = 'Depositada' and Col9 = '""&amp;K227&amp;""' and Col6 ="&amp;" ""&amp;M227&amp;"" and Col4 = date '""&amp;YEAR(C227)&amp;""-""&amp;MONTH(C227)&amp;""-""&amp;DAY(C227)&amp;""'""))&gt;0,""Depositada"",if(sum(QUERY(IMPORTRANGE(""https://docs.google.com/spreadsheets/d/1EcLIvUgMoBC5as4ikW0wuQsGH5yVZ6cQ1y16qEfgPnk"",""BD M Sangrias!a:i""),""select Col6 whe"&amp;"re Col7 = 'Caixa Atendimento' and Col9 = '""&amp;K227&amp;""' and Col6 = ""&amp;M227&amp;"" and Col4 = date '""&amp;YEAR(C227)&amp;""-""&amp;MONTH(C227)&amp;""-""&amp;DAY(C227)&amp;""'""))&gt;0,""Caixa Atendimento"",""Caixa Sangria"")),""""),""Caixa Sangria"")"),"")</f>
        <v/>
      </c>
      <c r="M227" s="185" t="str">
        <f>IFERROR(__xludf.DUMMYFUNCTION("ifna(VALUE(REGEXEXTRACT(E227,""[0-9.]+[,]+[0-9]+"")))"),"")</f>
        <v/>
      </c>
      <c r="N227" s="185"/>
      <c r="O227" s="185"/>
      <c r="P227" s="185"/>
      <c r="Q227" s="185"/>
      <c r="R227" s="185"/>
      <c r="S227" s="185"/>
      <c r="T227" s="185"/>
      <c r="U227" s="185"/>
      <c r="V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184" t="str">
        <f>IFERROR(__xludf.DUMMYFUNCTION("ifna(IF(and(D228=""Saída"",J228=""Sangria""),if(sum(QUERY(IMPORTRANGE(""https://docs.google.com/spreadsheets/d/1E4szPcLzsqlw4uyBAoJ61L1ChCgpz4wVP8tHfHW1g_c"",""BD M Sangrias!a:i""),""select Col6 where Col7 = 'Depositada' and Col9 = '""&amp;K228&amp;""' and Col6 ="&amp;" ""&amp;M228&amp;"" and Col4 = date '""&amp;YEAR(C228)&amp;""-""&amp;MONTH(C228)&amp;""-""&amp;DAY(C228)&amp;""'""))&gt;0,""Depositada"",if(sum(QUERY(IMPORTRANGE(""https://docs.google.com/spreadsheets/d/1EcLIvUgMoBC5as4ikW0wuQsGH5yVZ6cQ1y16qEfgPnk"",""BD M Sangrias!a:i""),""select Col6 whe"&amp;"re Col7 = 'Caixa Atendimento' and Col9 = '""&amp;K228&amp;""' and Col6 = ""&amp;M228&amp;"" and Col4 = date '""&amp;YEAR(C228)&amp;""-""&amp;MONTH(C228)&amp;""-""&amp;DAY(C228)&amp;""'""))&gt;0,""Caixa Atendimento"",""Caixa Sangria"")),""""),""Caixa Sangria"")"),"")</f>
        <v/>
      </c>
      <c r="M228" s="185" t="str">
        <f>IFERROR(__xludf.DUMMYFUNCTION("ifna(VALUE(REGEXEXTRACT(E228,""[0-9.]+[,]+[0-9]+"")))"),"")</f>
        <v/>
      </c>
      <c r="N228" s="185"/>
      <c r="O228" s="185"/>
      <c r="P228" s="185"/>
      <c r="Q228" s="185"/>
      <c r="R228" s="185"/>
      <c r="S228" s="185"/>
      <c r="T228" s="185"/>
      <c r="U228" s="185"/>
      <c r="V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184" t="str">
        <f>IFERROR(__xludf.DUMMYFUNCTION("ifna(IF(and(D229=""Saída"",J229=""Sangria""),if(sum(QUERY(IMPORTRANGE(""https://docs.google.com/spreadsheets/d/1E4szPcLzsqlw4uyBAoJ61L1ChCgpz4wVP8tHfHW1g_c"",""BD M Sangrias!a:i""),""select Col6 where Col7 = 'Depositada' and Col9 = '""&amp;K229&amp;""' and Col6 ="&amp;" ""&amp;M229&amp;"" and Col4 = date '""&amp;YEAR(C229)&amp;""-""&amp;MONTH(C229)&amp;""-""&amp;DAY(C229)&amp;""'""))&gt;0,""Depositada"",if(sum(QUERY(IMPORTRANGE(""https://docs.google.com/spreadsheets/d/1EcLIvUgMoBC5as4ikW0wuQsGH5yVZ6cQ1y16qEfgPnk"",""BD M Sangrias!a:i""),""select Col6 whe"&amp;"re Col7 = 'Caixa Atendimento' and Col9 = '""&amp;K229&amp;""' and Col6 = ""&amp;M229&amp;"" and Col4 = date '""&amp;YEAR(C229)&amp;""-""&amp;MONTH(C229)&amp;""-""&amp;DAY(C229)&amp;""'""))&gt;0,""Caixa Atendimento"",""Caixa Sangria"")),""""),""Caixa Sangria"")"),"")</f>
        <v/>
      </c>
      <c r="M229" s="185" t="str">
        <f>IFERROR(__xludf.DUMMYFUNCTION("ifna(VALUE(REGEXEXTRACT(E229,""[0-9.]+[,]+[0-9]+"")))"),"")</f>
        <v/>
      </c>
      <c r="N229" s="185"/>
      <c r="O229" s="185"/>
      <c r="P229" s="185"/>
      <c r="Q229" s="185"/>
      <c r="R229" s="185"/>
      <c r="S229" s="185"/>
      <c r="T229" s="185"/>
      <c r="U229" s="185"/>
      <c r="V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184" t="str">
        <f>IFERROR(__xludf.DUMMYFUNCTION("ifna(IF(and(D230=""Saída"",J230=""Sangria""),if(sum(QUERY(IMPORTRANGE(""https://docs.google.com/spreadsheets/d/1E4szPcLzsqlw4uyBAoJ61L1ChCgpz4wVP8tHfHW1g_c"",""BD M Sangrias!a:i""),""select Col6 where Col7 = 'Depositada' and Col9 = '""&amp;K230&amp;""' and Col6 ="&amp;" ""&amp;M230&amp;"" and Col4 = date '""&amp;YEAR(C230)&amp;""-""&amp;MONTH(C230)&amp;""-""&amp;DAY(C230)&amp;""'""))&gt;0,""Depositada"",if(sum(QUERY(IMPORTRANGE(""https://docs.google.com/spreadsheets/d/1EcLIvUgMoBC5as4ikW0wuQsGH5yVZ6cQ1y16qEfgPnk"",""BD M Sangrias!a:i""),""select Col6 whe"&amp;"re Col7 = 'Caixa Atendimento' and Col9 = '""&amp;K230&amp;""' and Col6 = ""&amp;M230&amp;"" and Col4 = date '""&amp;YEAR(C230)&amp;""-""&amp;MONTH(C230)&amp;""-""&amp;DAY(C230)&amp;""'""))&gt;0,""Caixa Atendimento"",""Caixa Sangria"")),""""),""Caixa Sangria"")"),"")</f>
        <v/>
      </c>
      <c r="M230" s="185" t="str">
        <f>IFERROR(__xludf.DUMMYFUNCTION("ifna(VALUE(REGEXEXTRACT(E230,""[0-9.]+[,]+[0-9]+"")))"),"")</f>
        <v/>
      </c>
      <c r="N230" s="185"/>
      <c r="O230" s="185"/>
      <c r="P230" s="185"/>
      <c r="Q230" s="185"/>
      <c r="R230" s="185"/>
      <c r="S230" s="185"/>
      <c r="T230" s="185"/>
      <c r="U230" s="185"/>
      <c r="V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184" t="str">
        <f>IFERROR(__xludf.DUMMYFUNCTION("ifna(IF(and(D231=""Saída"",J231=""Sangria""),if(sum(QUERY(IMPORTRANGE(""https://docs.google.com/spreadsheets/d/1E4szPcLzsqlw4uyBAoJ61L1ChCgpz4wVP8tHfHW1g_c"",""BD M Sangrias!a:i""),""select Col6 where Col7 = 'Depositada' and Col9 = '""&amp;K231&amp;""' and Col6 ="&amp;" ""&amp;M231&amp;"" and Col4 = date '""&amp;YEAR(C231)&amp;""-""&amp;MONTH(C231)&amp;""-""&amp;DAY(C231)&amp;""'""))&gt;0,""Depositada"",if(sum(QUERY(IMPORTRANGE(""https://docs.google.com/spreadsheets/d/1EcLIvUgMoBC5as4ikW0wuQsGH5yVZ6cQ1y16qEfgPnk"",""BD M Sangrias!a:i""),""select Col6 whe"&amp;"re Col7 = 'Caixa Atendimento' and Col9 = '""&amp;K231&amp;""' and Col6 = ""&amp;M231&amp;"" and Col4 = date '""&amp;YEAR(C231)&amp;""-""&amp;MONTH(C231)&amp;""-""&amp;DAY(C231)&amp;""'""))&gt;0,""Caixa Atendimento"",""Caixa Sangria"")),""""),""Caixa Sangria"")"),"")</f>
        <v/>
      </c>
      <c r="M231" s="185" t="str">
        <f>IFERROR(__xludf.DUMMYFUNCTION("ifna(VALUE(REGEXEXTRACT(E231,""[0-9.]+[,]+[0-9]+"")))"),"")</f>
        <v/>
      </c>
      <c r="N231" s="185"/>
      <c r="O231" s="185"/>
      <c r="P231" s="185"/>
      <c r="Q231" s="185"/>
      <c r="R231" s="185"/>
      <c r="S231" s="185"/>
      <c r="T231" s="185"/>
      <c r="U231" s="185"/>
      <c r="V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184" t="str">
        <f>IFERROR(__xludf.DUMMYFUNCTION("ifna(IF(and(D232=""Saída"",J232=""Sangria""),if(sum(QUERY(IMPORTRANGE(""https://docs.google.com/spreadsheets/d/1E4szPcLzsqlw4uyBAoJ61L1ChCgpz4wVP8tHfHW1g_c"",""BD M Sangrias!a:i""),""select Col6 where Col7 = 'Depositada' and Col9 = '""&amp;K232&amp;""' and Col6 ="&amp;" ""&amp;M232&amp;"" and Col4 = date '""&amp;YEAR(C232)&amp;""-""&amp;MONTH(C232)&amp;""-""&amp;DAY(C232)&amp;""'""))&gt;0,""Depositada"",if(sum(QUERY(IMPORTRANGE(""https://docs.google.com/spreadsheets/d/1EcLIvUgMoBC5as4ikW0wuQsGH5yVZ6cQ1y16qEfgPnk"",""BD M Sangrias!a:i""),""select Col6 whe"&amp;"re Col7 = 'Caixa Atendimento' and Col9 = '""&amp;K232&amp;""' and Col6 = ""&amp;M232&amp;"" and Col4 = date '""&amp;YEAR(C232)&amp;""-""&amp;MONTH(C232)&amp;""-""&amp;DAY(C232)&amp;""'""))&gt;0,""Caixa Atendimento"",""Caixa Sangria"")),""""),""Caixa Sangria"")"),"")</f>
        <v/>
      </c>
      <c r="M232" s="185" t="str">
        <f>IFERROR(__xludf.DUMMYFUNCTION("ifna(VALUE(REGEXEXTRACT(E232,""[0-9.]+[,]+[0-9]+"")))"),"")</f>
        <v/>
      </c>
      <c r="N232" s="185"/>
      <c r="O232" s="185"/>
      <c r="P232" s="185"/>
      <c r="Q232" s="185"/>
      <c r="R232" s="185"/>
      <c r="S232" s="185"/>
      <c r="T232" s="185"/>
      <c r="U232" s="185"/>
      <c r="V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184" t="str">
        <f>IFERROR(__xludf.DUMMYFUNCTION("ifna(IF(and(D233=""Saída"",J233=""Sangria""),if(sum(QUERY(IMPORTRANGE(""https://docs.google.com/spreadsheets/d/1E4szPcLzsqlw4uyBAoJ61L1ChCgpz4wVP8tHfHW1g_c"",""BD M Sangrias!a:i""),""select Col6 where Col7 = 'Depositada' and Col9 = '""&amp;K233&amp;""' and Col6 ="&amp;" ""&amp;M233&amp;"" and Col4 = date '""&amp;YEAR(C233)&amp;""-""&amp;MONTH(C233)&amp;""-""&amp;DAY(C233)&amp;""'""))&gt;0,""Depositada"",if(sum(QUERY(IMPORTRANGE(""https://docs.google.com/spreadsheets/d/1EcLIvUgMoBC5as4ikW0wuQsGH5yVZ6cQ1y16qEfgPnk"",""BD M Sangrias!a:i""),""select Col6 whe"&amp;"re Col7 = 'Caixa Atendimento' and Col9 = '""&amp;K233&amp;""' and Col6 = ""&amp;M233&amp;"" and Col4 = date '""&amp;YEAR(C233)&amp;""-""&amp;MONTH(C233)&amp;""-""&amp;DAY(C233)&amp;""'""))&gt;0,""Caixa Atendimento"",""Caixa Sangria"")),""""),""Caixa Sangria"")"),"")</f>
        <v/>
      </c>
      <c r="M233" s="185" t="str">
        <f>IFERROR(__xludf.DUMMYFUNCTION("ifna(VALUE(REGEXEXTRACT(E233,""[0-9.]+[,]+[0-9]+"")))"),"")</f>
        <v/>
      </c>
      <c r="N233" s="185"/>
      <c r="O233" s="185"/>
      <c r="P233" s="185"/>
      <c r="Q233" s="185"/>
      <c r="R233" s="185"/>
      <c r="S233" s="185"/>
      <c r="T233" s="185"/>
      <c r="U233" s="185"/>
      <c r="V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184" t="str">
        <f>IFERROR(__xludf.DUMMYFUNCTION("ifna(IF(and(D234=""Saída"",J234=""Sangria""),if(sum(QUERY(IMPORTRANGE(""https://docs.google.com/spreadsheets/d/1E4szPcLzsqlw4uyBAoJ61L1ChCgpz4wVP8tHfHW1g_c"",""BD M Sangrias!a:i""),""select Col6 where Col7 = 'Depositada' and Col9 = '""&amp;K234&amp;""' and Col6 ="&amp;" ""&amp;M234&amp;"" and Col4 = date '""&amp;YEAR(C234)&amp;""-""&amp;MONTH(C234)&amp;""-""&amp;DAY(C234)&amp;""'""))&gt;0,""Depositada"",if(sum(QUERY(IMPORTRANGE(""https://docs.google.com/spreadsheets/d/1EcLIvUgMoBC5as4ikW0wuQsGH5yVZ6cQ1y16qEfgPnk"",""BD M Sangrias!a:i""),""select Col6 whe"&amp;"re Col7 = 'Caixa Atendimento' and Col9 = '""&amp;K234&amp;""' and Col6 = ""&amp;M234&amp;"" and Col4 = date '""&amp;YEAR(C234)&amp;""-""&amp;MONTH(C234)&amp;""-""&amp;DAY(C234)&amp;""'""))&gt;0,""Caixa Atendimento"",""Caixa Sangria"")),""""),""Caixa Sangria"")"),"")</f>
        <v/>
      </c>
      <c r="M234" s="185" t="str">
        <f>IFERROR(__xludf.DUMMYFUNCTION("ifna(VALUE(REGEXEXTRACT(E234,""[0-9.]+[,]+[0-9]+"")))"),"")</f>
        <v/>
      </c>
      <c r="N234" s="185"/>
      <c r="O234" s="185"/>
      <c r="P234" s="185"/>
      <c r="Q234" s="185"/>
      <c r="R234" s="185"/>
      <c r="S234" s="185"/>
      <c r="T234" s="185"/>
      <c r="U234" s="185"/>
      <c r="V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184" t="str">
        <f>IFERROR(__xludf.DUMMYFUNCTION("ifna(IF(and(D235=""Saída"",J235=""Sangria""),if(sum(QUERY(IMPORTRANGE(""https://docs.google.com/spreadsheets/d/1E4szPcLzsqlw4uyBAoJ61L1ChCgpz4wVP8tHfHW1g_c"",""BD M Sangrias!a:i""),""select Col6 where Col7 = 'Depositada' and Col9 = '""&amp;K235&amp;""' and Col6 ="&amp;" ""&amp;M235&amp;"" and Col4 = date '""&amp;YEAR(C235)&amp;""-""&amp;MONTH(C235)&amp;""-""&amp;DAY(C235)&amp;""'""))&gt;0,""Depositada"",if(sum(QUERY(IMPORTRANGE(""https://docs.google.com/spreadsheets/d/1EcLIvUgMoBC5as4ikW0wuQsGH5yVZ6cQ1y16qEfgPnk"",""BD M Sangrias!a:i""),""select Col6 whe"&amp;"re Col7 = 'Caixa Atendimento' and Col9 = '""&amp;K235&amp;""' and Col6 = ""&amp;M235&amp;"" and Col4 = date '""&amp;YEAR(C235)&amp;""-""&amp;MONTH(C235)&amp;""-""&amp;DAY(C235)&amp;""'""))&gt;0,""Caixa Atendimento"",""Caixa Sangria"")),""""),""Caixa Sangria"")"),"")</f>
        <v/>
      </c>
      <c r="M235" s="185" t="str">
        <f>IFERROR(__xludf.DUMMYFUNCTION("ifna(VALUE(REGEXEXTRACT(E235,""[0-9.]+[,]+[0-9]+"")))"),"")</f>
        <v/>
      </c>
      <c r="N235" s="185"/>
      <c r="O235" s="185"/>
      <c r="P235" s="185"/>
      <c r="Q235" s="185"/>
      <c r="R235" s="185"/>
      <c r="S235" s="185"/>
      <c r="T235" s="185"/>
      <c r="U235" s="185"/>
      <c r="V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184" t="str">
        <f>IFERROR(__xludf.DUMMYFUNCTION("ifna(IF(and(D236=""Saída"",J236=""Sangria""),if(sum(QUERY(IMPORTRANGE(""https://docs.google.com/spreadsheets/d/1E4szPcLzsqlw4uyBAoJ61L1ChCgpz4wVP8tHfHW1g_c"",""BD M Sangrias!a:i""),""select Col6 where Col7 = 'Depositada' and Col9 = '""&amp;K236&amp;""' and Col6 ="&amp;" ""&amp;M236&amp;"" and Col4 = date '""&amp;YEAR(C236)&amp;""-""&amp;MONTH(C236)&amp;""-""&amp;DAY(C236)&amp;""'""))&gt;0,""Depositada"",if(sum(QUERY(IMPORTRANGE(""https://docs.google.com/spreadsheets/d/1EcLIvUgMoBC5as4ikW0wuQsGH5yVZ6cQ1y16qEfgPnk"",""BD M Sangrias!a:i""),""select Col6 whe"&amp;"re Col7 = 'Caixa Atendimento' and Col9 = '""&amp;K236&amp;""' and Col6 = ""&amp;M236&amp;"" and Col4 = date '""&amp;YEAR(C236)&amp;""-""&amp;MONTH(C236)&amp;""-""&amp;DAY(C236)&amp;""'""))&gt;0,""Caixa Atendimento"",""Caixa Sangria"")),""""),""Caixa Sangria"")"),"")</f>
        <v/>
      </c>
      <c r="M236" s="185" t="str">
        <f>IFERROR(__xludf.DUMMYFUNCTION("ifna(VALUE(REGEXEXTRACT(E236,""[0-9.]+[,]+[0-9]+"")))"),"")</f>
        <v/>
      </c>
      <c r="N236" s="185"/>
      <c r="O236" s="185"/>
      <c r="P236" s="185"/>
      <c r="Q236" s="185"/>
      <c r="R236" s="185"/>
      <c r="S236" s="185"/>
      <c r="T236" s="185"/>
      <c r="U236" s="185"/>
      <c r="V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184" t="str">
        <f>IFERROR(__xludf.DUMMYFUNCTION("ifna(IF(and(D237=""Saída"",J237=""Sangria""),if(sum(QUERY(IMPORTRANGE(""https://docs.google.com/spreadsheets/d/1E4szPcLzsqlw4uyBAoJ61L1ChCgpz4wVP8tHfHW1g_c"",""BD M Sangrias!a:i""),""select Col6 where Col7 = 'Depositada' and Col9 = '""&amp;K237&amp;""' and Col6 ="&amp;" ""&amp;M237&amp;"" and Col4 = date '""&amp;YEAR(C237)&amp;""-""&amp;MONTH(C237)&amp;""-""&amp;DAY(C237)&amp;""'""))&gt;0,""Depositada"",if(sum(QUERY(IMPORTRANGE(""https://docs.google.com/spreadsheets/d/1EcLIvUgMoBC5as4ikW0wuQsGH5yVZ6cQ1y16qEfgPnk"",""BD M Sangrias!a:i""),""select Col6 whe"&amp;"re Col7 = 'Caixa Atendimento' and Col9 = '""&amp;K237&amp;""' and Col6 = ""&amp;M237&amp;"" and Col4 = date '""&amp;YEAR(C237)&amp;""-""&amp;MONTH(C237)&amp;""-""&amp;DAY(C237)&amp;""'""))&gt;0,""Caixa Atendimento"",""Caixa Sangria"")),""""),""Caixa Sangria"")"),"")</f>
        <v/>
      </c>
      <c r="M237" s="185" t="str">
        <f>IFERROR(__xludf.DUMMYFUNCTION("ifna(VALUE(REGEXEXTRACT(E237,""[0-9.]+[,]+[0-9]+"")))"),"")</f>
        <v/>
      </c>
      <c r="N237" s="185"/>
      <c r="O237" s="185"/>
      <c r="P237" s="185"/>
      <c r="Q237" s="185"/>
      <c r="R237" s="185"/>
      <c r="S237" s="185"/>
      <c r="T237" s="185"/>
      <c r="U237" s="185"/>
      <c r="V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184" t="str">
        <f>IFERROR(__xludf.DUMMYFUNCTION("ifna(IF(and(D238=""Saída"",J238=""Sangria""),if(sum(QUERY(IMPORTRANGE(""https://docs.google.com/spreadsheets/d/1E4szPcLzsqlw4uyBAoJ61L1ChCgpz4wVP8tHfHW1g_c"",""BD M Sangrias!a:i""),""select Col6 where Col7 = 'Depositada' and Col9 = '""&amp;K238&amp;""' and Col6 ="&amp;" ""&amp;M238&amp;"" and Col4 = date '""&amp;YEAR(C238)&amp;""-""&amp;MONTH(C238)&amp;""-""&amp;DAY(C238)&amp;""'""))&gt;0,""Depositada"",if(sum(QUERY(IMPORTRANGE(""https://docs.google.com/spreadsheets/d/1EcLIvUgMoBC5as4ikW0wuQsGH5yVZ6cQ1y16qEfgPnk"",""BD M Sangrias!a:i""),""select Col6 whe"&amp;"re Col7 = 'Caixa Atendimento' and Col9 = '""&amp;K238&amp;""' and Col6 = ""&amp;M238&amp;"" and Col4 = date '""&amp;YEAR(C238)&amp;""-""&amp;MONTH(C238)&amp;""-""&amp;DAY(C238)&amp;""'""))&gt;0,""Caixa Atendimento"",""Caixa Sangria"")),""""),""Caixa Sangria"")"),"")</f>
        <v/>
      </c>
      <c r="M238" s="185" t="str">
        <f>IFERROR(__xludf.DUMMYFUNCTION("ifna(VALUE(REGEXEXTRACT(E238,""[0-9.]+[,]+[0-9]+"")))"),"")</f>
        <v/>
      </c>
      <c r="N238" s="185"/>
      <c r="O238" s="185"/>
      <c r="P238" s="185"/>
      <c r="Q238" s="185"/>
      <c r="R238" s="185"/>
      <c r="S238" s="185"/>
      <c r="T238" s="185"/>
      <c r="U238" s="185"/>
      <c r="V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184" t="str">
        <f>IFERROR(__xludf.DUMMYFUNCTION("ifna(IF(and(D239=""Saída"",J239=""Sangria""),if(sum(QUERY(IMPORTRANGE(""https://docs.google.com/spreadsheets/d/1E4szPcLzsqlw4uyBAoJ61L1ChCgpz4wVP8tHfHW1g_c"",""BD M Sangrias!a:i""),""select Col6 where Col7 = 'Depositada' and Col9 = '""&amp;K239&amp;""' and Col6 ="&amp;" ""&amp;M239&amp;"" and Col4 = date '""&amp;YEAR(C239)&amp;""-""&amp;MONTH(C239)&amp;""-""&amp;DAY(C239)&amp;""'""))&gt;0,""Depositada"",if(sum(QUERY(IMPORTRANGE(""https://docs.google.com/spreadsheets/d/1EcLIvUgMoBC5as4ikW0wuQsGH5yVZ6cQ1y16qEfgPnk"",""BD M Sangrias!a:i""),""select Col6 whe"&amp;"re Col7 = 'Caixa Atendimento' and Col9 = '""&amp;K239&amp;""' and Col6 = ""&amp;M239&amp;"" and Col4 = date '""&amp;YEAR(C239)&amp;""-""&amp;MONTH(C239)&amp;""-""&amp;DAY(C239)&amp;""'""))&gt;0,""Caixa Atendimento"",""Caixa Sangria"")),""""),""Caixa Sangria"")"),"")</f>
        <v/>
      </c>
      <c r="M239" s="185" t="str">
        <f>IFERROR(__xludf.DUMMYFUNCTION("ifna(VALUE(REGEXEXTRACT(E239,""[0-9.]+[,]+[0-9]+"")))"),"")</f>
        <v/>
      </c>
      <c r="N239" s="185"/>
      <c r="O239" s="185"/>
      <c r="P239" s="185"/>
      <c r="Q239" s="185"/>
      <c r="R239" s="185"/>
      <c r="S239" s="185"/>
      <c r="T239" s="185"/>
      <c r="U239" s="185"/>
      <c r="V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184" t="str">
        <f>IFERROR(__xludf.DUMMYFUNCTION("ifna(IF(and(D240=""Saída"",J240=""Sangria""),if(sum(QUERY(IMPORTRANGE(""https://docs.google.com/spreadsheets/d/1E4szPcLzsqlw4uyBAoJ61L1ChCgpz4wVP8tHfHW1g_c"",""BD M Sangrias!a:i""),""select Col6 where Col7 = 'Depositada' and Col9 = '""&amp;K240&amp;""' and Col6 ="&amp;" ""&amp;M240&amp;"" and Col4 = date '""&amp;YEAR(C240)&amp;""-""&amp;MONTH(C240)&amp;""-""&amp;DAY(C240)&amp;""'""))&gt;0,""Depositada"",if(sum(QUERY(IMPORTRANGE(""https://docs.google.com/spreadsheets/d/1EcLIvUgMoBC5as4ikW0wuQsGH5yVZ6cQ1y16qEfgPnk"",""BD M Sangrias!a:i""),""select Col6 whe"&amp;"re Col7 = 'Caixa Atendimento' and Col9 = '""&amp;K240&amp;""' and Col6 = ""&amp;M240&amp;"" and Col4 = date '""&amp;YEAR(C240)&amp;""-""&amp;MONTH(C240)&amp;""-""&amp;DAY(C240)&amp;""'""))&gt;0,""Caixa Atendimento"",""Caixa Sangria"")),""""),""Caixa Sangria"")"),"")</f>
        <v/>
      </c>
      <c r="M240" s="185" t="str">
        <f>IFERROR(__xludf.DUMMYFUNCTION("ifna(VALUE(REGEXEXTRACT(E240,""[0-9.]+[,]+[0-9]+"")))"),"")</f>
        <v/>
      </c>
      <c r="N240" s="185"/>
      <c r="O240" s="185"/>
      <c r="P240" s="185"/>
      <c r="Q240" s="185"/>
      <c r="R240" s="185"/>
      <c r="S240" s="185"/>
      <c r="T240" s="185"/>
      <c r="U240" s="185"/>
      <c r="V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184" t="str">
        <f>IFERROR(__xludf.DUMMYFUNCTION("ifna(IF(and(D241=""Saída"",J241=""Sangria""),if(sum(QUERY(IMPORTRANGE(""https://docs.google.com/spreadsheets/d/1E4szPcLzsqlw4uyBAoJ61L1ChCgpz4wVP8tHfHW1g_c"",""BD M Sangrias!a:i""),""select Col6 where Col7 = 'Depositada' and Col9 = '""&amp;K241&amp;""' and Col6 ="&amp;" ""&amp;M241&amp;"" and Col4 = date '""&amp;YEAR(C241)&amp;""-""&amp;MONTH(C241)&amp;""-""&amp;DAY(C241)&amp;""'""))&gt;0,""Depositada"",if(sum(QUERY(IMPORTRANGE(""https://docs.google.com/spreadsheets/d/1EcLIvUgMoBC5as4ikW0wuQsGH5yVZ6cQ1y16qEfgPnk"",""BD M Sangrias!a:i""),""select Col6 whe"&amp;"re Col7 = 'Caixa Atendimento' and Col9 = '""&amp;K241&amp;""' and Col6 = ""&amp;M241&amp;"" and Col4 = date '""&amp;YEAR(C241)&amp;""-""&amp;MONTH(C241)&amp;""-""&amp;DAY(C241)&amp;""'""))&gt;0,""Caixa Atendimento"",""Caixa Sangria"")),""""),""Caixa Sangria"")"),"")</f>
        <v/>
      </c>
      <c r="M241" s="185" t="str">
        <f>IFERROR(__xludf.DUMMYFUNCTION("ifna(VALUE(REGEXEXTRACT(E241,""[0-9.]+[,]+[0-9]+"")))"),"")</f>
        <v/>
      </c>
      <c r="N241" s="185"/>
      <c r="O241" s="185"/>
      <c r="P241" s="185"/>
      <c r="Q241" s="185"/>
      <c r="R241" s="185"/>
      <c r="S241" s="185"/>
      <c r="T241" s="185"/>
      <c r="U241" s="185"/>
      <c r="V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184" t="str">
        <f>IFERROR(__xludf.DUMMYFUNCTION("ifna(IF(and(D242=""Saída"",J242=""Sangria""),if(sum(QUERY(IMPORTRANGE(""https://docs.google.com/spreadsheets/d/1E4szPcLzsqlw4uyBAoJ61L1ChCgpz4wVP8tHfHW1g_c"",""BD M Sangrias!a:i""),""select Col6 where Col7 = 'Depositada' and Col9 = '""&amp;K242&amp;""' and Col6 ="&amp;" ""&amp;M242&amp;"" and Col4 = date '""&amp;YEAR(C242)&amp;""-""&amp;MONTH(C242)&amp;""-""&amp;DAY(C242)&amp;""'""))&gt;0,""Depositada"",if(sum(QUERY(IMPORTRANGE(""https://docs.google.com/spreadsheets/d/1EcLIvUgMoBC5as4ikW0wuQsGH5yVZ6cQ1y16qEfgPnk"",""BD M Sangrias!a:i""),""select Col6 whe"&amp;"re Col7 = 'Caixa Atendimento' and Col9 = '""&amp;K242&amp;""' and Col6 = ""&amp;M242&amp;"" and Col4 = date '""&amp;YEAR(C242)&amp;""-""&amp;MONTH(C242)&amp;""-""&amp;DAY(C242)&amp;""'""))&gt;0,""Caixa Atendimento"",""Caixa Sangria"")),""""),""Caixa Sangria"")"),"")</f>
        <v/>
      </c>
      <c r="M242" s="185" t="str">
        <f>IFERROR(__xludf.DUMMYFUNCTION("ifna(VALUE(REGEXEXTRACT(E242,""[0-9.]+[,]+[0-9]+"")))"),"")</f>
        <v/>
      </c>
      <c r="N242" s="185"/>
      <c r="O242" s="185"/>
      <c r="P242" s="185"/>
      <c r="Q242" s="185"/>
      <c r="R242" s="185"/>
      <c r="S242" s="185"/>
      <c r="T242" s="185"/>
      <c r="U242" s="185"/>
      <c r="V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184" t="str">
        <f>IFERROR(__xludf.DUMMYFUNCTION("ifna(IF(and(D243=""Saída"",J243=""Sangria""),if(sum(QUERY(IMPORTRANGE(""https://docs.google.com/spreadsheets/d/1E4szPcLzsqlw4uyBAoJ61L1ChCgpz4wVP8tHfHW1g_c"",""BD M Sangrias!a:i""),""select Col6 where Col7 = 'Depositada' and Col9 = '""&amp;K243&amp;""' and Col6 ="&amp;" ""&amp;M243&amp;"" and Col4 = date '""&amp;YEAR(C243)&amp;""-""&amp;MONTH(C243)&amp;""-""&amp;DAY(C243)&amp;""'""))&gt;0,""Depositada"",if(sum(QUERY(IMPORTRANGE(""https://docs.google.com/spreadsheets/d/1EcLIvUgMoBC5as4ikW0wuQsGH5yVZ6cQ1y16qEfgPnk"",""BD M Sangrias!a:i""),""select Col6 whe"&amp;"re Col7 = 'Caixa Atendimento' and Col9 = '""&amp;K243&amp;""' and Col6 = ""&amp;M243&amp;"" and Col4 = date '""&amp;YEAR(C243)&amp;""-""&amp;MONTH(C243)&amp;""-""&amp;DAY(C243)&amp;""'""))&gt;0,""Caixa Atendimento"",""Caixa Sangria"")),""""),""Caixa Sangria"")"),"")</f>
        <v/>
      </c>
      <c r="M243" s="185" t="str">
        <f>IFERROR(__xludf.DUMMYFUNCTION("ifna(VALUE(REGEXEXTRACT(E243,""[0-9.]+[,]+[0-9]+"")))"),"")</f>
        <v/>
      </c>
      <c r="N243" s="185"/>
      <c r="O243" s="185"/>
      <c r="P243" s="185"/>
      <c r="Q243" s="185"/>
      <c r="R243" s="185"/>
      <c r="S243" s="185"/>
      <c r="T243" s="185"/>
      <c r="U243" s="185"/>
      <c r="V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184" t="str">
        <f>IFERROR(__xludf.DUMMYFUNCTION("ifna(IF(and(D244=""Saída"",J244=""Sangria""),if(sum(QUERY(IMPORTRANGE(""https://docs.google.com/spreadsheets/d/1E4szPcLzsqlw4uyBAoJ61L1ChCgpz4wVP8tHfHW1g_c"",""BD M Sangrias!a:i""),""select Col6 where Col7 = 'Depositada' and Col9 = '""&amp;K244&amp;""' and Col6 ="&amp;" ""&amp;M244&amp;"" and Col4 = date '""&amp;YEAR(C244)&amp;""-""&amp;MONTH(C244)&amp;""-""&amp;DAY(C244)&amp;""'""))&gt;0,""Depositada"",if(sum(QUERY(IMPORTRANGE(""https://docs.google.com/spreadsheets/d/1EcLIvUgMoBC5as4ikW0wuQsGH5yVZ6cQ1y16qEfgPnk"",""BD M Sangrias!a:i""),""select Col6 whe"&amp;"re Col7 = 'Caixa Atendimento' and Col9 = '""&amp;K244&amp;""' and Col6 = ""&amp;M244&amp;"" and Col4 = date '""&amp;YEAR(C244)&amp;""-""&amp;MONTH(C244)&amp;""-""&amp;DAY(C244)&amp;""'""))&gt;0,""Caixa Atendimento"",""Caixa Sangria"")),""""),""Caixa Sangria"")"),"")</f>
        <v/>
      </c>
      <c r="M244" s="185" t="str">
        <f>IFERROR(__xludf.DUMMYFUNCTION("ifna(VALUE(REGEXEXTRACT(E244,""[0-9.]+[,]+[0-9]+"")))"),"")</f>
        <v/>
      </c>
      <c r="N244" s="185"/>
      <c r="O244" s="185"/>
      <c r="P244" s="185"/>
      <c r="Q244" s="185"/>
      <c r="R244" s="185"/>
      <c r="S244" s="185"/>
      <c r="T244" s="185"/>
      <c r="U244" s="185"/>
      <c r="V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184" t="str">
        <f>IFERROR(__xludf.DUMMYFUNCTION("ifna(IF(and(D245=""Saída"",J245=""Sangria""),if(sum(QUERY(IMPORTRANGE(""https://docs.google.com/spreadsheets/d/1E4szPcLzsqlw4uyBAoJ61L1ChCgpz4wVP8tHfHW1g_c"",""BD M Sangrias!a:i""),""select Col6 where Col7 = 'Depositada' and Col9 = '""&amp;K245&amp;""' and Col6 ="&amp;" ""&amp;M245&amp;"" and Col4 = date '""&amp;YEAR(C245)&amp;""-""&amp;MONTH(C245)&amp;""-""&amp;DAY(C245)&amp;""'""))&gt;0,""Depositada"",if(sum(QUERY(IMPORTRANGE(""https://docs.google.com/spreadsheets/d/1EcLIvUgMoBC5as4ikW0wuQsGH5yVZ6cQ1y16qEfgPnk"",""BD M Sangrias!a:i""),""select Col6 whe"&amp;"re Col7 = 'Caixa Atendimento' and Col9 = '""&amp;K245&amp;""' and Col6 = ""&amp;M245&amp;"" and Col4 = date '""&amp;YEAR(C245)&amp;""-""&amp;MONTH(C245)&amp;""-""&amp;DAY(C245)&amp;""'""))&gt;0,""Caixa Atendimento"",""Caixa Sangria"")),""""),""Caixa Sangria"")"),"")</f>
        <v/>
      </c>
      <c r="M245" s="185" t="str">
        <f>IFERROR(__xludf.DUMMYFUNCTION("ifna(VALUE(REGEXEXTRACT(E245,""[0-9.]+[,]+[0-9]+"")))"),"")</f>
        <v/>
      </c>
      <c r="N245" s="185"/>
      <c r="O245" s="185"/>
      <c r="P245" s="185"/>
      <c r="Q245" s="185"/>
      <c r="R245" s="185"/>
      <c r="S245" s="185"/>
      <c r="T245" s="185"/>
      <c r="U245" s="185"/>
      <c r="V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184" t="str">
        <f>IFERROR(__xludf.DUMMYFUNCTION("ifna(IF(and(D246=""Saída"",J246=""Sangria""),if(sum(QUERY(IMPORTRANGE(""https://docs.google.com/spreadsheets/d/1E4szPcLzsqlw4uyBAoJ61L1ChCgpz4wVP8tHfHW1g_c"",""BD M Sangrias!a:i""),""select Col6 where Col7 = 'Depositada' and Col9 = '""&amp;K246&amp;""' and Col6 ="&amp;" ""&amp;M246&amp;"" and Col4 = date '""&amp;YEAR(C246)&amp;""-""&amp;MONTH(C246)&amp;""-""&amp;DAY(C246)&amp;""'""))&gt;0,""Depositada"",if(sum(QUERY(IMPORTRANGE(""https://docs.google.com/spreadsheets/d/1EcLIvUgMoBC5as4ikW0wuQsGH5yVZ6cQ1y16qEfgPnk"",""BD M Sangrias!a:i""),""select Col6 whe"&amp;"re Col7 = 'Caixa Atendimento' and Col9 = '""&amp;K246&amp;""' and Col6 = ""&amp;M246&amp;"" and Col4 = date '""&amp;YEAR(C246)&amp;""-""&amp;MONTH(C246)&amp;""-""&amp;DAY(C246)&amp;""'""))&gt;0,""Caixa Atendimento"",""Caixa Sangria"")),""""),""Caixa Sangria"")"),"")</f>
        <v/>
      </c>
      <c r="M246" s="185" t="str">
        <f>IFERROR(__xludf.DUMMYFUNCTION("ifna(VALUE(REGEXEXTRACT(E246,""[0-9.]+[,]+[0-9]+"")))"),"")</f>
        <v/>
      </c>
      <c r="N246" s="185"/>
      <c r="O246" s="185"/>
      <c r="P246" s="185"/>
      <c r="Q246" s="185"/>
      <c r="R246" s="185"/>
      <c r="S246" s="185"/>
      <c r="T246" s="185"/>
      <c r="U246" s="185"/>
      <c r="V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184" t="str">
        <f>IFERROR(__xludf.DUMMYFUNCTION("ifna(IF(and(D247=""Saída"",J247=""Sangria""),if(sum(QUERY(IMPORTRANGE(""https://docs.google.com/spreadsheets/d/1E4szPcLzsqlw4uyBAoJ61L1ChCgpz4wVP8tHfHW1g_c"",""BD M Sangrias!a:i""),""select Col6 where Col7 = 'Depositada' and Col9 = '""&amp;K247&amp;""' and Col6 ="&amp;" ""&amp;M247&amp;"" and Col4 = date '""&amp;YEAR(C247)&amp;""-""&amp;MONTH(C247)&amp;""-""&amp;DAY(C247)&amp;""'""))&gt;0,""Depositada"",if(sum(QUERY(IMPORTRANGE(""https://docs.google.com/spreadsheets/d/1EcLIvUgMoBC5as4ikW0wuQsGH5yVZ6cQ1y16qEfgPnk"",""BD M Sangrias!a:i""),""select Col6 whe"&amp;"re Col7 = 'Caixa Atendimento' and Col9 = '""&amp;K247&amp;""' and Col6 = ""&amp;M247&amp;"" and Col4 = date '""&amp;YEAR(C247)&amp;""-""&amp;MONTH(C247)&amp;""-""&amp;DAY(C247)&amp;""'""))&gt;0,""Caixa Atendimento"",""Caixa Sangria"")),""""),""Caixa Sangria"")"),"")</f>
        <v/>
      </c>
      <c r="M247" s="185" t="str">
        <f>IFERROR(__xludf.DUMMYFUNCTION("ifna(VALUE(REGEXEXTRACT(E247,""[0-9.]+[,]+[0-9]+"")))"),"")</f>
        <v/>
      </c>
      <c r="N247" s="185"/>
      <c r="O247" s="185"/>
      <c r="P247" s="185"/>
      <c r="Q247" s="185"/>
      <c r="R247" s="185"/>
      <c r="S247" s="185"/>
      <c r="T247" s="185"/>
      <c r="U247" s="185"/>
      <c r="V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184" t="str">
        <f>IFERROR(__xludf.DUMMYFUNCTION("ifna(IF(and(D248=""Saída"",J248=""Sangria""),if(sum(QUERY(IMPORTRANGE(""https://docs.google.com/spreadsheets/d/1E4szPcLzsqlw4uyBAoJ61L1ChCgpz4wVP8tHfHW1g_c"",""BD M Sangrias!a:i""),""select Col6 where Col7 = 'Depositada' and Col9 = '""&amp;K248&amp;""' and Col6 ="&amp;" ""&amp;M248&amp;"" and Col4 = date '""&amp;YEAR(C248)&amp;""-""&amp;MONTH(C248)&amp;""-""&amp;DAY(C248)&amp;""'""))&gt;0,""Depositada"",if(sum(QUERY(IMPORTRANGE(""https://docs.google.com/spreadsheets/d/1EcLIvUgMoBC5as4ikW0wuQsGH5yVZ6cQ1y16qEfgPnk"",""BD M Sangrias!a:i""),""select Col6 whe"&amp;"re Col7 = 'Caixa Atendimento' and Col9 = '""&amp;K248&amp;""' and Col6 = ""&amp;M248&amp;"" and Col4 = date '""&amp;YEAR(C248)&amp;""-""&amp;MONTH(C248)&amp;""-""&amp;DAY(C248)&amp;""'""))&gt;0,""Caixa Atendimento"",""Caixa Sangria"")),""""),""Caixa Sangria"")"),"")</f>
        <v/>
      </c>
      <c r="M248" s="185" t="str">
        <f>IFERROR(__xludf.DUMMYFUNCTION("ifna(VALUE(REGEXEXTRACT(E248,""[0-9.]+[,]+[0-9]+"")))"),"")</f>
        <v/>
      </c>
      <c r="N248" s="185"/>
      <c r="O248" s="185"/>
      <c r="P248" s="185"/>
      <c r="Q248" s="185"/>
      <c r="R248" s="185"/>
      <c r="S248" s="185"/>
      <c r="T248" s="185"/>
      <c r="U248" s="185"/>
      <c r="V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184" t="str">
        <f>IFERROR(__xludf.DUMMYFUNCTION("ifna(IF(and(D249=""Saída"",J249=""Sangria""),if(sum(QUERY(IMPORTRANGE(""https://docs.google.com/spreadsheets/d/1E4szPcLzsqlw4uyBAoJ61L1ChCgpz4wVP8tHfHW1g_c"",""BD M Sangrias!a:i""),""select Col6 where Col7 = 'Depositada' and Col9 = '""&amp;K249&amp;""' and Col6 ="&amp;" ""&amp;M249&amp;"" and Col4 = date '""&amp;YEAR(C249)&amp;""-""&amp;MONTH(C249)&amp;""-""&amp;DAY(C249)&amp;""'""))&gt;0,""Depositada"",if(sum(QUERY(IMPORTRANGE(""https://docs.google.com/spreadsheets/d/1EcLIvUgMoBC5as4ikW0wuQsGH5yVZ6cQ1y16qEfgPnk"",""BD M Sangrias!a:i""),""select Col6 whe"&amp;"re Col7 = 'Caixa Atendimento' and Col9 = '""&amp;K249&amp;""' and Col6 = ""&amp;M249&amp;"" and Col4 = date '""&amp;YEAR(C249)&amp;""-""&amp;MONTH(C249)&amp;""-""&amp;DAY(C249)&amp;""'""))&gt;0,""Caixa Atendimento"",""Caixa Sangria"")),""""),""Caixa Sangria"")"),"")</f>
        <v/>
      </c>
      <c r="M249" s="185" t="str">
        <f>IFERROR(__xludf.DUMMYFUNCTION("ifna(VALUE(REGEXEXTRACT(E249,""[0-9.]+[,]+[0-9]+"")))"),"")</f>
        <v/>
      </c>
      <c r="N249" s="185"/>
      <c r="O249" s="185"/>
      <c r="P249" s="185"/>
      <c r="Q249" s="185"/>
      <c r="R249" s="185"/>
      <c r="S249" s="185"/>
      <c r="T249" s="185"/>
      <c r="U249" s="185"/>
      <c r="V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184" t="str">
        <f>IFERROR(__xludf.DUMMYFUNCTION("ifna(IF(and(D250=""Saída"",J250=""Sangria""),if(sum(QUERY(IMPORTRANGE(""https://docs.google.com/spreadsheets/d/1E4szPcLzsqlw4uyBAoJ61L1ChCgpz4wVP8tHfHW1g_c"",""BD M Sangrias!a:i""),""select Col6 where Col7 = 'Depositada' and Col9 = '""&amp;K250&amp;""' and Col6 ="&amp;" ""&amp;M250&amp;"" and Col4 = date '""&amp;YEAR(C250)&amp;""-""&amp;MONTH(C250)&amp;""-""&amp;DAY(C250)&amp;""'""))&gt;0,""Depositada"",if(sum(QUERY(IMPORTRANGE(""https://docs.google.com/spreadsheets/d/1EcLIvUgMoBC5as4ikW0wuQsGH5yVZ6cQ1y16qEfgPnk"",""BD M Sangrias!a:i""),""select Col6 whe"&amp;"re Col7 = 'Caixa Atendimento' and Col9 = '""&amp;K250&amp;""' and Col6 = ""&amp;M250&amp;"" and Col4 = date '""&amp;YEAR(C250)&amp;""-""&amp;MONTH(C250)&amp;""-""&amp;DAY(C250)&amp;""'""))&gt;0,""Caixa Atendimento"",""Caixa Sangria"")),""""),""Caixa Sangria"")"),"")</f>
        <v/>
      </c>
      <c r="M250" s="185" t="str">
        <f>IFERROR(__xludf.DUMMYFUNCTION("ifna(VALUE(REGEXEXTRACT(E250,""[0-9.]+[,]+[0-9]+"")))"),"")</f>
        <v/>
      </c>
      <c r="N250" s="185"/>
      <c r="O250" s="185"/>
      <c r="P250" s="185"/>
      <c r="Q250" s="185"/>
      <c r="R250" s="185"/>
      <c r="S250" s="185"/>
      <c r="T250" s="185"/>
      <c r="U250" s="185"/>
      <c r="V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184" t="str">
        <f>IFERROR(__xludf.DUMMYFUNCTION("ifna(IF(and(D251=""Saída"",J251=""Sangria""),if(sum(QUERY(IMPORTRANGE(""https://docs.google.com/spreadsheets/d/1E4szPcLzsqlw4uyBAoJ61L1ChCgpz4wVP8tHfHW1g_c"",""BD M Sangrias!a:i""),""select Col6 where Col7 = 'Depositada' and Col9 = '""&amp;K251&amp;""' and Col6 ="&amp;" ""&amp;M251&amp;"" and Col4 = date '""&amp;YEAR(C251)&amp;""-""&amp;MONTH(C251)&amp;""-""&amp;DAY(C251)&amp;""'""))&gt;0,""Depositada"",if(sum(QUERY(IMPORTRANGE(""https://docs.google.com/spreadsheets/d/1EcLIvUgMoBC5as4ikW0wuQsGH5yVZ6cQ1y16qEfgPnk"",""BD M Sangrias!a:i""),""select Col6 whe"&amp;"re Col7 = 'Caixa Atendimento' and Col9 = '""&amp;K251&amp;""' and Col6 = ""&amp;M251&amp;"" and Col4 = date '""&amp;YEAR(C251)&amp;""-""&amp;MONTH(C251)&amp;""-""&amp;DAY(C251)&amp;""'""))&gt;0,""Caixa Atendimento"",""Caixa Sangria"")),""""),""Caixa Sangria"")"),"")</f>
        <v/>
      </c>
      <c r="M251" s="185" t="str">
        <f>IFERROR(__xludf.DUMMYFUNCTION("ifna(VALUE(REGEXEXTRACT(E251,""[0-9.]+[,]+[0-9]+"")))"),"")</f>
        <v/>
      </c>
      <c r="N251" s="185"/>
      <c r="O251" s="185"/>
      <c r="P251" s="185"/>
      <c r="Q251" s="185"/>
      <c r="R251" s="185"/>
      <c r="S251" s="185"/>
      <c r="T251" s="185"/>
      <c r="U251" s="185"/>
      <c r="V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184" t="str">
        <f>IFERROR(__xludf.DUMMYFUNCTION("ifna(IF(and(D252=""Saída"",J252=""Sangria""),if(sum(QUERY(IMPORTRANGE(""https://docs.google.com/spreadsheets/d/1E4szPcLzsqlw4uyBAoJ61L1ChCgpz4wVP8tHfHW1g_c"",""BD M Sangrias!a:i""),""select Col6 where Col7 = 'Depositada' and Col9 = '""&amp;K252&amp;""' and Col6 ="&amp;" ""&amp;M252&amp;"" and Col4 = date '""&amp;YEAR(C252)&amp;""-""&amp;MONTH(C252)&amp;""-""&amp;DAY(C252)&amp;""'""))&gt;0,""Depositada"",if(sum(QUERY(IMPORTRANGE(""https://docs.google.com/spreadsheets/d/1EcLIvUgMoBC5as4ikW0wuQsGH5yVZ6cQ1y16qEfgPnk"",""BD M Sangrias!a:i""),""select Col6 whe"&amp;"re Col7 = 'Caixa Atendimento' and Col9 = '""&amp;K252&amp;""' and Col6 = ""&amp;M252&amp;"" and Col4 = date '""&amp;YEAR(C252)&amp;""-""&amp;MONTH(C252)&amp;""-""&amp;DAY(C252)&amp;""'""))&gt;0,""Caixa Atendimento"",""Caixa Sangria"")),""""),""Caixa Sangria"")"),"")</f>
        <v/>
      </c>
      <c r="M252" s="185" t="str">
        <f>IFERROR(__xludf.DUMMYFUNCTION("ifna(VALUE(REGEXEXTRACT(E252,""[0-9.]+[,]+[0-9]+"")))"),"")</f>
        <v/>
      </c>
      <c r="N252" s="185"/>
      <c r="O252" s="185"/>
      <c r="P252" s="185"/>
      <c r="Q252" s="185"/>
      <c r="R252" s="185"/>
      <c r="S252" s="185"/>
      <c r="T252" s="185"/>
      <c r="U252" s="185"/>
      <c r="V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184" t="str">
        <f>IFERROR(__xludf.DUMMYFUNCTION("ifna(IF(and(D253=""Saída"",J253=""Sangria""),if(sum(QUERY(IMPORTRANGE(""https://docs.google.com/spreadsheets/d/1E4szPcLzsqlw4uyBAoJ61L1ChCgpz4wVP8tHfHW1g_c"",""BD M Sangrias!a:i""),""select Col6 where Col7 = 'Depositada' and Col9 = '""&amp;K253&amp;""' and Col6 ="&amp;" ""&amp;M253&amp;"" and Col4 = date '""&amp;YEAR(C253)&amp;""-""&amp;MONTH(C253)&amp;""-""&amp;DAY(C253)&amp;""'""))&gt;0,""Depositada"",if(sum(QUERY(IMPORTRANGE(""https://docs.google.com/spreadsheets/d/1EcLIvUgMoBC5as4ikW0wuQsGH5yVZ6cQ1y16qEfgPnk"",""BD M Sangrias!a:i""),""select Col6 whe"&amp;"re Col7 = 'Caixa Atendimento' and Col9 = '""&amp;K253&amp;""' and Col6 = ""&amp;M253&amp;"" and Col4 = date '""&amp;YEAR(C253)&amp;""-""&amp;MONTH(C253)&amp;""-""&amp;DAY(C253)&amp;""'""))&gt;0,""Caixa Atendimento"",""Caixa Sangria"")),""""),""Caixa Sangria"")"),"")</f>
        <v/>
      </c>
      <c r="M253" s="185" t="str">
        <f>IFERROR(__xludf.DUMMYFUNCTION("ifna(VALUE(REGEXEXTRACT(E253,""[0-9.]+[,]+[0-9]+"")))"),"")</f>
        <v/>
      </c>
      <c r="N253" s="185"/>
      <c r="O253" s="185"/>
      <c r="P253" s="185"/>
      <c r="Q253" s="185"/>
      <c r="R253" s="185"/>
      <c r="S253" s="185"/>
      <c r="T253" s="185"/>
      <c r="U253" s="185"/>
      <c r="V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184" t="str">
        <f>IFERROR(__xludf.DUMMYFUNCTION("ifna(IF(and(D254=""Saída"",J254=""Sangria""),if(sum(QUERY(IMPORTRANGE(""https://docs.google.com/spreadsheets/d/1E4szPcLzsqlw4uyBAoJ61L1ChCgpz4wVP8tHfHW1g_c"",""BD M Sangrias!a:i""),""select Col6 where Col7 = 'Depositada' and Col9 = '""&amp;K254&amp;""' and Col6 ="&amp;" ""&amp;M254&amp;"" and Col4 = date '""&amp;YEAR(C254)&amp;""-""&amp;MONTH(C254)&amp;""-""&amp;DAY(C254)&amp;""'""))&gt;0,""Depositada"",if(sum(QUERY(IMPORTRANGE(""https://docs.google.com/spreadsheets/d/1EcLIvUgMoBC5as4ikW0wuQsGH5yVZ6cQ1y16qEfgPnk"",""BD M Sangrias!a:i""),""select Col6 whe"&amp;"re Col7 = 'Caixa Atendimento' and Col9 = '""&amp;K254&amp;""' and Col6 = ""&amp;M254&amp;"" and Col4 = date '""&amp;YEAR(C254)&amp;""-""&amp;MONTH(C254)&amp;""-""&amp;DAY(C254)&amp;""'""))&gt;0,""Caixa Atendimento"",""Caixa Sangria"")),""""),""Caixa Sangria"")"),"")</f>
        <v/>
      </c>
      <c r="M254" s="185" t="str">
        <f>IFERROR(__xludf.DUMMYFUNCTION("ifna(VALUE(REGEXEXTRACT(E254,""[0-9.]+[,]+[0-9]+"")))"),"")</f>
        <v/>
      </c>
      <c r="N254" s="185"/>
      <c r="O254" s="185"/>
      <c r="P254" s="185"/>
      <c r="Q254" s="185"/>
      <c r="R254" s="185"/>
      <c r="S254" s="185"/>
      <c r="T254" s="185"/>
      <c r="U254" s="185"/>
      <c r="V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184" t="str">
        <f>IFERROR(__xludf.DUMMYFUNCTION("ifna(IF(and(D255=""Saída"",J255=""Sangria""),if(sum(QUERY(IMPORTRANGE(""https://docs.google.com/spreadsheets/d/1E4szPcLzsqlw4uyBAoJ61L1ChCgpz4wVP8tHfHW1g_c"",""BD M Sangrias!a:i""),""select Col6 where Col7 = 'Depositada' and Col9 = '""&amp;K255&amp;""' and Col6 ="&amp;" ""&amp;M255&amp;"" and Col4 = date '""&amp;YEAR(C255)&amp;""-""&amp;MONTH(C255)&amp;""-""&amp;DAY(C255)&amp;""'""))&gt;0,""Depositada"",if(sum(QUERY(IMPORTRANGE(""https://docs.google.com/spreadsheets/d/1EcLIvUgMoBC5as4ikW0wuQsGH5yVZ6cQ1y16qEfgPnk"",""BD M Sangrias!a:i""),""select Col6 whe"&amp;"re Col7 = 'Caixa Atendimento' and Col9 = '""&amp;K255&amp;""' and Col6 = ""&amp;M255&amp;"" and Col4 = date '""&amp;YEAR(C255)&amp;""-""&amp;MONTH(C255)&amp;""-""&amp;DAY(C255)&amp;""'""))&gt;0,""Caixa Atendimento"",""Caixa Sangria"")),""""),""Caixa Sangria"")"),"")</f>
        <v/>
      </c>
      <c r="M255" s="185" t="str">
        <f>IFERROR(__xludf.DUMMYFUNCTION("ifna(VALUE(REGEXEXTRACT(E255,""[0-9.]+[,]+[0-9]+"")))"),"")</f>
        <v/>
      </c>
      <c r="N255" s="185"/>
      <c r="O255" s="185"/>
      <c r="P255" s="185"/>
      <c r="Q255" s="185"/>
      <c r="R255" s="185"/>
      <c r="S255" s="185"/>
      <c r="T255" s="185"/>
      <c r="U255" s="185"/>
      <c r="V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184" t="str">
        <f>IFERROR(__xludf.DUMMYFUNCTION("ifna(IF(and(D256=""Saída"",J256=""Sangria""),if(sum(QUERY(IMPORTRANGE(""https://docs.google.com/spreadsheets/d/1E4szPcLzsqlw4uyBAoJ61L1ChCgpz4wVP8tHfHW1g_c"",""BD M Sangrias!a:i""),""select Col6 where Col7 = 'Depositada' and Col9 = '""&amp;K256&amp;""' and Col6 ="&amp;" ""&amp;M256&amp;"" and Col4 = date '""&amp;YEAR(C256)&amp;""-""&amp;MONTH(C256)&amp;""-""&amp;DAY(C256)&amp;""'""))&gt;0,""Depositada"",if(sum(QUERY(IMPORTRANGE(""https://docs.google.com/spreadsheets/d/1EcLIvUgMoBC5as4ikW0wuQsGH5yVZ6cQ1y16qEfgPnk"",""BD M Sangrias!a:i""),""select Col6 whe"&amp;"re Col7 = 'Caixa Atendimento' and Col9 = '""&amp;K256&amp;""' and Col6 = ""&amp;M256&amp;"" and Col4 = date '""&amp;YEAR(C256)&amp;""-""&amp;MONTH(C256)&amp;""-""&amp;DAY(C256)&amp;""'""))&gt;0,""Caixa Atendimento"",""Caixa Sangria"")),""""),""Caixa Sangria"")"),"")</f>
        <v/>
      </c>
      <c r="M256" s="185" t="str">
        <f>IFERROR(__xludf.DUMMYFUNCTION("ifna(VALUE(REGEXEXTRACT(E256,""[0-9.]+[,]+[0-9]+"")))"),"")</f>
        <v/>
      </c>
      <c r="N256" s="185"/>
      <c r="O256" s="185"/>
      <c r="P256" s="185"/>
      <c r="Q256" s="185"/>
      <c r="R256" s="185"/>
      <c r="S256" s="185"/>
      <c r="T256" s="185"/>
      <c r="U256" s="185"/>
      <c r="V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184" t="str">
        <f>IFERROR(__xludf.DUMMYFUNCTION("ifna(IF(and(D257=""Saída"",J257=""Sangria""),if(sum(QUERY(IMPORTRANGE(""https://docs.google.com/spreadsheets/d/1E4szPcLzsqlw4uyBAoJ61L1ChCgpz4wVP8tHfHW1g_c"",""BD M Sangrias!a:i""),""select Col6 where Col7 = 'Depositada' and Col9 = '""&amp;K257&amp;""' and Col6 ="&amp;" ""&amp;M257&amp;"" and Col4 = date '""&amp;YEAR(C257)&amp;""-""&amp;MONTH(C257)&amp;""-""&amp;DAY(C257)&amp;""'""))&gt;0,""Depositada"",if(sum(QUERY(IMPORTRANGE(""https://docs.google.com/spreadsheets/d/1EcLIvUgMoBC5as4ikW0wuQsGH5yVZ6cQ1y16qEfgPnk"",""BD M Sangrias!a:i""),""select Col6 whe"&amp;"re Col7 = 'Caixa Atendimento' and Col9 = '""&amp;K257&amp;""' and Col6 = ""&amp;M257&amp;"" and Col4 = date '""&amp;YEAR(C257)&amp;""-""&amp;MONTH(C257)&amp;""-""&amp;DAY(C257)&amp;""'""))&gt;0,""Caixa Atendimento"",""Caixa Sangria"")),""""),""Caixa Sangria"")"),"")</f>
        <v/>
      </c>
      <c r="M257" s="185" t="str">
        <f>IFERROR(__xludf.DUMMYFUNCTION("ifna(VALUE(REGEXEXTRACT(E257,""[0-9.]+[,]+[0-9]+"")))"),"")</f>
        <v/>
      </c>
      <c r="N257" s="185"/>
      <c r="O257" s="185"/>
      <c r="P257" s="185"/>
      <c r="Q257" s="185"/>
      <c r="R257" s="185"/>
      <c r="S257" s="185"/>
      <c r="T257" s="185"/>
      <c r="U257" s="185"/>
      <c r="V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184" t="str">
        <f>IFERROR(__xludf.DUMMYFUNCTION("ifna(IF(and(D258=""Saída"",J258=""Sangria""),if(sum(QUERY(IMPORTRANGE(""https://docs.google.com/spreadsheets/d/1E4szPcLzsqlw4uyBAoJ61L1ChCgpz4wVP8tHfHW1g_c"",""BD M Sangrias!a:i""),""select Col6 where Col7 = 'Depositada' and Col9 = '""&amp;K258&amp;""' and Col6 ="&amp;" ""&amp;M258&amp;"" and Col4 = date '""&amp;YEAR(C258)&amp;""-""&amp;MONTH(C258)&amp;""-""&amp;DAY(C258)&amp;""'""))&gt;0,""Depositada"",if(sum(QUERY(IMPORTRANGE(""https://docs.google.com/spreadsheets/d/1EcLIvUgMoBC5as4ikW0wuQsGH5yVZ6cQ1y16qEfgPnk"",""BD M Sangrias!a:i""),""select Col6 whe"&amp;"re Col7 = 'Caixa Atendimento' and Col9 = '""&amp;K258&amp;""' and Col6 = ""&amp;M258&amp;"" and Col4 = date '""&amp;YEAR(C258)&amp;""-""&amp;MONTH(C258)&amp;""-""&amp;DAY(C258)&amp;""'""))&gt;0,""Caixa Atendimento"",""Caixa Sangria"")),""""),""Caixa Sangria"")"),"")</f>
        <v/>
      </c>
      <c r="M258" s="185" t="str">
        <f>IFERROR(__xludf.DUMMYFUNCTION("ifna(VALUE(REGEXEXTRACT(E258,""[0-9.]+[,]+[0-9]+"")))"),"")</f>
        <v/>
      </c>
      <c r="N258" s="185"/>
      <c r="O258" s="185"/>
      <c r="P258" s="185"/>
      <c r="Q258" s="185"/>
      <c r="R258" s="185"/>
      <c r="S258" s="185"/>
      <c r="T258" s="185"/>
      <c r="U258" s="185"/>
      <c r="V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184" t="str">
        <f>IFERROR(__xludf.DUMMYFUNCTION("ifna(IF(and(D259=""Saída"",J259=""Sangria""),if(sum(QUERY(IMPORTRANGE(""https://docs.google.com/spreadsheets/d/1E4szPcLzsqlw4uyBAoJ61L1ChCgpz4wVP8tHfHW1g_c"",""BD M Sangrias!a:i""),""select Col6 where Col7 = 'Depositada' and Col9 = '""&amp;K259&amp;""' and Col6 ="&amp;" ""&amp;M259&amp;"" and Col4 = date '""&amp;YEAR(C259)&amp;""-""&amp;MONTH(C259)&amp;""-""&amp;DAY(C259)&amp;""'""))&gt;0,""Depositada"",if(sum(QUERY(IMPORTRANGE(""https://docs.google.com/spreadsheets/d/1EcLIvUgMoBC5as4ikW0wuQsGH5yVZ6cQ1y16qEfgPnk"",""BD M Sangrias!a:i""),""select Col6 whe"&amp;"re Col7 = 'Caixa Atendimento' and Col9 = '""&amp;K259&amp;""' and Col6 = ""&amp;M259&amp;"" and Col4 = date '""&amp;YEAR(C259)&amp;""-""&amp;MONTH(C259)&amp;""-""&amp;DAY(C259)&amp;""'""))&gt;0,""Caixa Atendimento"",""Caixa Sangria"")),""""),""Caixa Sangria"")"),"")</f>
        <v/>
      </c>
      <c r="M259" s="185" t="str">
        <f>IFERROR(__xludf.DUMMYFUNCTION("ifna(VALUE(REGEXEXTRACT(E259,""[0-9.]+[,]+[0-9]+"")))"),"")</f>
        <v/>
      </c>
      <c r="N259" s="185"/>
      <c r="O259" s="185"/>
      <c r="P259" s="185"/>
      <c r="Q259" s="185"/>
      <c r="R259" s="185"/>
      <c r="S259" s="185"/>
      <c r="T259" s="185"/>
      <c r="U259" s="185"/>
      <c r="V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184" t="str">
        <f>IFERROR(__xludf.DUMMYFUNCTION("ifna(IF(and(D260=""Saída"",J260=""Sangria""),if(sum(QUERY(IMPORTRANGE(""https://docs.google.com/spreadsheets/d/1E4szPcLzsqlw4uyBAoJ61L1ChCgpz4wVP8tHfHW1g_c"",""BD M Sangrias!a:i""),""select Col6 where Col7 = 'Depositada' and Col9 = '""&amp;K260&amp;""' and Col6 ="&amp;" ""&amp;M260&amp;"" and Col4 = date '""&amp;YEAR(C260)&amp;""-""&amp;MONTH(C260)&amp;""-""&amp;DAY(C260)&amp;""'""))&gt;0,""Depositada"",if(sum(QUERY(IMPORTRANGE(""https://docs.google.com/spreadsheets/d/1EcLIvUgMoBC5as4ikW0wuQsGH5yVZ6cQ1y16qEfgPnk"",""BD M Sangrias!a:i""),""select Col6 whe"&amp;"re Col7 = 'Caixa Atendimento' and Col9 = '""&amp;K260&amp;""' and Col6 = ""&amp;M260&amp;"" and Col4 = date '""&amp;YEAR(C260)&amp;""-""&amp;MONTH(C260)&amp;""-""&amp;DAY(C260)&amp;""'""))&gt;0,""Caixa Atendimento"",""Caixa Sangria"")),""""),""Caixa Sangria"")"),"")</f>
        <v/>
      </c>
      <c r="M260" s="185" t="str">
        <f>IFERROR(__xludf.DUMMYFUNCTION("ifna(VALUE(REGEXEXTRACT(E260,""[0-9.]+[,]+[0-9]+"")))"),"")</f>
        <v/>
      </c>
      <c r="N260" s="185"/>
      <c r="O260" s="185"/>
      <c r="P260" s="185"/>
      <c r="Q260" s="185"/>
      <c r="R260" s="185"/>
      <c r="S260" s="185"/>
      <c r="T260" s="185"/>
      <c r="U260" s="185"/>
      <c r="V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184" t="str">
        <f>IFERROR(__xludf.DUMMYFUNCTION("ifna(IF(and(D261=""Saída"",J261=""Sangria""),if(sum(QUERY(IMPORTRANGE(""https://docs.google.com/spreadsheets/d/1E4szPcLzsqlw4uyBAoJ61L1ChCgpz4wVP8tHfHW1g_c"",""BD M Sangrias!a:i""),""select Col6 where Col7 = 'Depositada' and Col9 = '""&amp;K261&amp;""' and Col6 ="&amp;" ""&amp;M261&amp;"" and Col4 = date '""&amp;YEAR(C261)&amp;""-""&amp;MONTH(C261)&amp;""-""&amp;DAY(C261)&amp;""'""))&gt;0,""Depositada"",if(sum(QUERY(IMPORTRANGE(""https://docs.google.com/spreadsheets/d/1EcLIvUgMoBC5as4ikW0wuQsGH5yVZ6cQ1y16qEfgPnk"",""BD M Sangrias!a:i""),""select Col6 whe"&amp;"re Col7 = 'Caixa Atendimento' and Col9 = '""&amp;K261&amp;""' and Col6 = ""&amp;M261&amp;"" and Col4 = date '""&amp;YEAR(C261)&amp;""-""&amp;MONTH(C261)&amp;""-""&amp;DAY(C261)&amp;""'""))&gt;0,""Caixa Atendimento"",""Caixa Sangria"")),""""),""Caixa Sangria"")"),"")</f>
        <v/>
      </c>
      <c r="M261" s="185" t="str">
        <f>IFERROR(__xludf.DUMMYFUNCTION("ifna(VALUE(REGEXEXTRACT(E261,""[0-9.]+[,]+[0-9]+"")))"),"")</f>
        <v/>
      </c>
      <c r="N261" s="185"/>
      <c r="O261" s="185"/>
      <c r="P261" s="185"/>
      <c r="Q261" s="185"/>
      <c r="R261" s="185"/>
      <c r="S261" s="185"/>
      <c r="T261" s="185"/>
      <c r="U261" s="185"/>
      <c r="V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184" t="str">
        <f>IFERROR(__xludf.DUMMYFUNCTION("ifna(IF(and(D262=""Saída"",J262=""Sangria""),if(sum(QUERY(IMPORTRANGE(""https://docs.google.com/spreadsheets/d/1E4szPcLzsqlw4uyBAoJ61L1ChCgpz4wVP8tHfHW1g_c"",""BD M Sangrias!a:i""),""select Col6 where Col7 = 'Depositada' and Col9 = '""&amp;K262&amp;""' and Col6 ="&amp;" ""&amp;M262&amp;"" and Col4 = date '""&amp;YEAR(C262)&amp;""-""&amp;MONTH(C262)&amp;""-""&amp;DAY(C262)&amp;""'""))&gt;0,""Depositada"",if(sum(QUERY(IMPORTRANGE(""https://docs.google.com/spreadsheets/d/1EcLIvUgMoBC5as4ikW0wuQsGH5yVZ6cQ1y16qEfgPnk"",""BD M Sangrias!a:i""),""select Col6 whe"&amp;"re Col7 = 'Caixa Atendimento' and Col9 = '""&amp;K262&amp;""' and Col6 = ""&amp;M262&amp;"" and Col4 = date '""&amp;YEAR(C262)&amp;""-""&amp;MONTH(C262)&amp;""-""&amp;DAY(C262)&amp;""'""))&gt;0,""Caixa Atendimento"",""Caixa Sangria"")),""""),""Caixa Sangria"")"),"")</f>
        <v/>
      </c>
      <c r="M262" s="185" t="str">
        <f>IFERROR(__xludf.DUMMYFUNCTION("ifna(VALUE(REGEXEXTRACT(E262,""[0-9.]+[,]+[0-9]+"")))"),"")</f>
        <v/>
      </c>
      <c r="N262" s="185"/>
      <c r="O262" s="185"/>
      <c r="P262" s="185"/>
      <c r="Q262" s="185"/>
      <c r="R262" s="185"/>
      <c r="S262" s="185"/>
      <c r="T262" s="185"/>
      <c r="U262" s="185"/>
      <c r="V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184" t="str">
        <f>IFERROR(__xludf.DUMMYFUNCTION("ifna(IF(and(D263=""Saída"",J263=""Sangria""),if(sum(QUERY(IMPORTRANGE(""https://docs.google.com/spreadsheets/d/1E4szPcLzsqlw4uyBAoJ61L1ChCgpz4wVP8tHfHW1g_c"",""BD M Sangrias!a:i""),""select Col6 where Col7 = 'Depositada' and Col9 = '""&amp;K263&amp;""' and Col6 ="&amp;" ""&amp;M263&amp;"" and Col4 = date '""&amp;YEAR(C263)&amp;""-""&amp;MONTH(C263)&amp;""-""&amp;DAY(C263)&amp;""'""))&gt;0,""Depositada"",if(sum(QUERY(IMPORTRANGE(""https://docs.google.com/spreadsheets/d/1EcLIvUgMoBC5as4ikW0wuQsGH5yVZ6cQ1y16qEfgPnk"",""BD M Sangrias!a:i""),""select Col6 whe"&amp;"re Col7 = 'Caixa Atendimento' and Col9 = '""&amp;K263&amp;""' and Col6 = ""&amp;M263&amp;"" and Col4 = date '""&amp;YEAR(C263)&amp;""-""&amp;MONTH(C263)&amp;""-""&amp;DAY(C263)&amp;""'""))&gt;0,""Caixa Atendimento"",""Caixa Sangria"")),""""),""Caixa Sangria"")"),"")</f>
        <v/>
      </c>
      <c r="M263" s="185" t="str">
        <f>IFERROR(__xludf.DUMMYFUNCTION("ifna(VALUE(REGEXEXTRACT(E263,""[0-9.]+[,]+[0-9]+"")))"),"")</f>
        <v/>
      </c>
      <c r="N263" s="185"/>
      <c r="O263" s="185"/>
      <c r="P263" s="185"/>
      <c r="Q263" s="185"/>
      <c r="R263" s="185"/>
      <c r="S263" s="185"/>
      <c r="T263" s="185"/>
      <c r="U263" s="185"/>
      <c r="V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184" t="str">
        <f>IFERROR(__xludf.DUMMYFUNCTION("ifna(IF(and(D264=""Saída"",J264=""Sangria""),if(sum(QUERY(IMPORTRANGE(""https://docs.google.com/spreadsheets/d/1E4szPcLzsqlw4uyBAoJ61L1ChCgpz4wVP8tHfHW1g_c"",""BD M Sangrias!a:i""),""select Col6 where Col7 = 'Depositada' and Col9 = '""&amp;K264&amp;""' and Col6 ="&amp;" ""&amp;M264&amp;"" and Col4 = date '""&amp;YEAR(C264)&amp;""-""&amp;MONTH(C264)&amp;""-""&amp;DAY(C264)&amp;""'""))&gt;0,""Depositada"",if(sum(QUERY(IMPORTRANGE(""https://docs.google.com/spreadsheets/d/1EcLIvUgMoBC5as4ikW0wuQsGH5yVZ6cQ1y16qEfgPnk"",""BD M Sangrias!a:i""),""select Col6 whe"&amp;"re Col7 = 'Caixa Atendimento' and Col9 = '""&amp;K264&amp;""' and Col6 = ""&amp;M264&amp;"" and Col4 = date '""&amp;YEAR(C264)&amp;""-""&amp;MONTH(C264)&amp;""-""&amp;DAY(C264)&amp;""'""))&gt;0,""Caixa Atendimento"",""Caixa Sangria"")),""""),""Caixa Sangria"")"),"")</f>
        <v/>
      </c>
      <c r="M264" s="185" t="str">
        <f>IFERROR(__xludf.DUMMYFUNCTION("ifna(VALUE(REGEXEXTRACT(E264,""[0-9.]+[,]+[0-9]+"")))"),"")</f>
        <v/>
      </c>
      <c r="N264" s="185"/>
      <c r="O264" s="185"/>
      <c r="P264" s="185"/>
      <c r="Q264" s="185"/>
      <c r="R264" s="185"/>
      <c r="S264" s="185"/>
      <c r="T264" s="185"/>
      <c r="U264" s="185"/>
      <c r="V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184" t="str">
        <f>IFERROR(__xludf.DUMMYFUNCTION("ifna(IF(and(D265=""Saída"",J265=""Sangria""),if(sum(QUERY(IMPORTRANGE(""https://docs.google.com/spreadsheets/d/1E4szPcLzsqlw4uyBAoJ61L1ChCgpz4wVP8tHfHW1g_c"",""BD M Sangrias!a:i""),""select Col6 where Col7 = 'Depositada' and Col9 = '""&amp;K265&amp;""' and Col6 ="&amp;" ""&amp;M265&amp;"" and Col4 = date '""&amp;YEAR(C265)&amp;""-""&amp;MONTH(C265)&amp;""-""&amp;DAY(C265)&amp;""'""))&gt;0,""Depositada"",if(sum(QUERY(IMPORTRANGE(""https://docs.google.com/spreadsheets/d/1EcLIvUgMoBC5as4ikW0wuQsGH5yVZ6cQ1y16qEfgPnk"",""BD M Sangrias!a:i""),""select Col6 whe"&amp;"re Col7 = 'Caixa Atendimento' and Col9 = '""&amp;K265&amp;""' and Col6 = ""&amp;M265&amp;"" and Col4 = date '""&amp;YEAR(C265)&amp;""-""&amp;MONTH(C265)&amp;""-""&amp;DAY(C265)&amp;""'""))&gt;0,""Caixa Atendimento"",""Caixa Sangria"")),""""),""Caixa Sangria"")"),"")</f>
        <v/>
      </c>
      <c r="M265" s="185" t="str">
        <f>IFERROR(__xludf.DUMMYFUNCTION("ifna(VALUE(REGEXEXTRACT(E265,""[0-9.]+[,]+[0-9]+"")))"),"")</f>
        <v/>
      </c>
      <c r="N265" s="185"/>
      <c r="O265" s="185"/>
      <c r="P265" s="185"/>
      <c r="Q265" s="185"/>
      <c r="R265" s="185"/>
      <c r="S265" s="185"/>
      <c r="T265" s="185"/>
      <c r="U265" s="185"/>
      <c r="V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184" t="str">
        <f>IFERROR(__xludf.DUMMYFUNCTION("ifna(IF(and(D266=""Saída"",J266=""Sangria""),if(sum(QUERY(IMPORTRANGE(""https://docs.google.com/spreadsheets/d/1E4szPcLzsqlw4uyBAoJ61L1ChCgpz4wVP8tHfHW1g_c"",""BD M Sangrias!a:i""),""select Col6 where Col7 = 'Depositada' and Col9 = '""&amp;K266&amp;""' and Col6 ="&amp;" ""&amp;M266&amp;"" and Col4 = date '""&amp;YEAR(C266)&amp;""-""&amp;MONTH(C266)&amp;""-""&amp;DAY(C266)&amp;""'""))&gt;0,""Depositada"",if(sum(QUERY(IMPORTRANGE(""https://docs.google.com/spreadsheets/d/1EcLIvUgMoBC5as4ikW0wuQsGH5yVZ6cQ1y16qEfgPnk"",""BD M Sangrias!a:i""),""select Col6 whe"&amp;"re Col7 = 'Caixa Atendimento' and Col9 = '""&amp;K266&amp;""' and Col6 = ""&amp;M266&amp;"" and Col4 = date '""&amp;YEAR(C266)&amp;""-""&amp;MONTH(C266)&amp;""-""&amp;DAY(C266)&amp;""'""))&gt;0,""Caixa Atendimento"",""Caixa Sangria"")),""""),""Caixa Sangria"")"),"")</f>
        <v/>
      </c>
      <c r="M266" s="185" t="str">
        <f>IFERROR(__xludf.DUMMYFUNCTION("ifna(VALUE(REGEXEXTRACT(E266,""[0-9.]+[,]+[0-9]+"")))"),"")</f>
        <v/>
      </c>
      <c r="N266" s="185"/>
      <c r="O266" s="185"/>
      <c r="P266" s="185"/>
      <c r="Q266" s="185"/>
      <c r="R266" s="185"/>
      <c r="S266" s="185"/>
      <c r="T266" s="185"/>
      <c r="U266" s="185"/>
      <c r="V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184" t="str">
        <f>IFERROR(__xludf.DUMMYFUNCTION("ifna(IF(and(D267=""Saída"",J267=""Sangria""),if(sum(QUERY(IMPORTRANGE(""https://docs.google.com/spreadsheets/d/1E4szPcLzsqlw4uyBAoJ61L1ChCgpz4wVP8tHfHW1g_c"",""BD M Sangrias!a:i""),""select Col6 where Col7 = 'Depositada' and Col9 = '""&amp;K267&amp;""' and Col6 ="&amp;" ""&amp;M267&amp;"" and Col4 = date '""&amp;YEAR(C267)&amp;""-""&amp;MONTH(C267)&amp;""-""&amp;DAY(C267)&amp;""'""))&gt;0,""Depositada"",if(sum(QUERY(IMPORTRANGE(""https://docs.google.com/spreadsheets/d/1EcLIvUgMoBC5as4ikW0wuQsGH5yVZ6cQ1y16qEfgPnk"",""BD M Sangrias!a:i""),""select Col6 whe"&amp;"re Col7 = 'Caixa Atendimento' and Col9 = '""&amp;K267&amp;""' and Col6 = ""&amp;M267&amp;"" and Col4 = date '""&amp;YEAR(C267)&amp;""-""&amp;MONTH(C267)&amp;""-""&amp;DAY(C267)&amp;""'""))&gt;0,""Caixa Atendimento"",""Caixa Sangria"")),""""),""Caixa Sangria"")"),"")</f>
        <v/>
      </c>
      <c r="M267" s="185" t="str">
        <f>IFERROR(__xludf.DUMMYFUNCTION("ifna(VALUE(REGEXEXTRACT(E267,""[0-9.]+[,]+[0-9]+"")))"),"")</f>
        <v/>
      </c>
      <c r="N267" s="185"/>
      <c r="O267" s="185"/>
      <c r="P267" s="185"/>
      <c r="Q267" s="185"/>
      <c r="R267" s="185"/>
      <c r="S267" s="185"/>
      <c r="T267" s="185"/>
      <c r="U267" s="185"/>
      <c r="V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184" t="str">
        <f>IFERROR(__xludf.DUMMYFUNCTION("ifna(IF(and(D268=""Saída"",J268=""Sangria""),if(sum(QUERY(IMPORTRANGE(""https://docs.google.com/spreadsheets/d/1E4szPcLzsqlw4uyBAoJ61L1ChCgpz4wVP8tHfHW1g_c"",""BD M Sangrias!a:i""),""select Col6 where Col7 = 'Depositada' and Col9 = '""&amp;K268&amp;""' and Col6 ="&amp;" ""&amp;M268&amp;"" and Col4 = date '""&amp;YEAR(C268)&amp;""-""&amp;MONTH(C268)&amp;""-""&amp;DAY(C268)&amp;""'""))&gt;0,""Depositada"",if(sum(QUERY(IMPORTRANGE(""https://docs.google.com/spreadsheets/d/1EcLIvUgMoBC5as4ikW0wuQsGH5yVZ6cQ1y16qEfgPnk"",""BD M Sangrias!a:i""),""select Col6 whe"&amp;"re Col7 = 'Caixa Atendimento' and Col9 = '""&amp;K268&amp;""' and Col6 = ""&amp;M268&amp;"" and Col4 = date '""&amp;YEAR(C268)&amp;""-""&amp;MONTH(C268)&amp;""-""&amp;DAY(C268)&amp;""'""))&gt;0,""Caixa Atendimento"",""Caixa Sangria"")),""""),""Caixa Sangria"")"),"")</f>
        <v/>
      </c>
      <c r="M268" s="185" t="str">
        <f>IFERROR(__xludf.DUMMYFUNCTION("ifna(VALUE(REGEXEXTRACT(E268,""[0-9.]+[,]+[0-9]+"")))"),"")</f>
        <v/>
      </c>
      <c r="N268" s="185"/>
      <c r="O268" s="185"/>
      <c r="P268" s="185"/>
      <c r="Q268" s="185"/>
      <c r="R268" s="185"/>
      <c r="S268" s="185"/>
      <c r="T268" s="185"/>
      <c r="U268" s="185"/>
      <c r="V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184" t="str">
        <f>IFERROR(__xludf.DUMMYFUNCTION("ifna(IF(and(D269=""Saída"",J269=""Sangria""),if(sum(QUERY(IMPORTRANGE(""https://docs.google.com/spreadsheets/d/1E4szPcLzsqlw4uyBAoJ61L1ChCgpz4wVP8tHfHW1g_c"",""BD M Sangrias!a:i""),""select Col6 where Col7 = 'Depositada' and Col9 = '""&amp;K269&amp;""' and Col6 ="&amp;" ""&amp;M269&amp;"" and Col4 = date '""&amp;YEAR(C269)&amp;""-""&amp;MONTH(C269)&amp;""-""&amp;DAY(C269)&amp;""'""))&gt;0,""Depositada"",if(sum(QUERY(IMPORTRANGE(""https://docs.google.com/spreadsheets/d/1EcLIvUgMoBC5as4ikW0wuQsGH5yVZ6cQ1y16qEfgPnk"",""BD M Sangrias!a:i""),""select Col6 whe"&amp;"re Col7 = 'Caixa Atendimento' and Col9 = '""&amp;K269&amp;""' and Col6 = ""&amp;M269&amp;"" and Col4 = date '""&amp;YEAR(C269)&amp;""-""&amp;MONTH(C269)&amp;""-""&amp;DAY(C269)&amp;""'""))&gt;0,""Caixa Atendimento"",""Caixa Sangria"")),""""),""Caixa Sangria"")"),"")</f>
        <v/>
      </c>
      <c r="M269" s="185" t="str">
        <f>IFERROR(__xludf.DUMMYFUNCTION("ifna(VALUE(REGEXEXTRACT(E269,""[0-9.]+[,]+[0-9]+"")))"),"")</f>
        <v/>
      </c>
      <c r="N269" s="185"/>
      <c r="O269" s="185"/>
      <c r="P269" s="185"/>
      <c r="Q269" s="185"/>
      <c r="R269" s="185"/>
      <c r="S269" s="185"/>
      <c r="T269" s="185"/>
      <c r="U269" s="185"/>
      <c r="V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184" t="str">
        <f>IFERROR(__xludf.DUMMYFUNCTION("ifna(IF(and(D270=""Saída"",J270=""Sangria""),if(sum(QUERY(IMPORTRANGE(""https://docs.google.com/spreadsheets/d/1E4szPcLzsqlw4uyBAoJ61L1ChCgpz4wVP8tHfHW1g_c"",""BD M Sangrias!a:i""),""select Col6 where Col7 = 'Depositada' and Col9 = '""&amp;K270&amp;""' and Col6 ="&amp;" ""&amp;M270&amp;"" and Col4 = date '""&amp;YEAR(C270)&amp;""-""&amp;MONTH(C270)&amp;""-""&amp;DAY(C270)&amp;""'""))&gt;0,""Depositada"",if(sum(QUERY(IMPORTRANGE(""https://docs.google.com/spreadsheets/d/1EcLIvUgMoBC5as4ikW0wuQsGH5yVZ6cQ1y16qEfgPnk"",""BD M Sangrias!a:i""),""select Col6 whe"&amp;"re Col7 = 'Caixa Atendimento' and Col9 = '""&amp;K270&amp;""' and Col6 = ""&amp;M270&amp;"" and Col4 = date '""&amp;YEAR(C270)&amp;""-""&amp;MONTH(C270)&amp;""-""&amp;DAY(C270)&amp;""'""))&gt;0,""Caixa Atendimento"",""Caixa Sangria"")),""""),""Caixa Sangria"")"),"")</f>
        <v/>
      </c>
      <c r="M270" s="185" t="str">
        <f>IFERROR(__xludf.DUMMYFUNCTION("ifna(VALUE(REGEXEXTRACT(E270,""[0-9.]+[,]+[0-9]+"")))"),"")</f>
        <v/>
      </c>
      <c r="N270" s="185"/>
      <c r="O270" s="185"/>
      <c r="P270" s="185"/>
      <c r="Q270" s="185"/>
      <c r="R270" s="185"/>
      <c r="S270" s="185"/>
      <c r="T270" s="185"/>
      <c r="U270" s="185"/>
      <c r="V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184" t="str">
        <f>IFERROR(__xludf.DUMMYFUNCTION("ifna(IF(and(D271=""Saída"",J271=""Sangria""),if(sum(QUERY(IMPORTRANGE(""https://docs.google.com/spreadsheets/d/1E4szPcLzsqlw4uyBAoJ61L1ChCgpz4wVP8tHfHW1g_c"",""BD M Sangrias!a:i""),""select Col6 where Col7 = 'Depositada' and Col9 = '""&amp;K271&amp;""' and Col6 ="&amp;" ""&amp;M271&amp;"" and Col4 = date '""&amp;YEAR(C271)&amp;""-""&amp;MONTH(C271)&amp;""-""&amp;DAY(C271)&amp;""'""))&gt;0,""Depositada"",if(sum(QUERY(IMPORTRANGE(""https://docs.google.com/spreadsheets/d/1EcLIvUgMoBC5as4ikW0wuQsGH5yVZ6cQ1y16qEfgPnk"",""BD M Sangrias!a:i""),""select Col6 whe"&amp;"re Col7 = 'Caixa Atendimento' and Col9 = '""&amp;K271&amp;""' and Col6 = ""&amp;M271&amp;"" and Col4 = date '""&amp;YEAR(C271)&amp;""-""&amp;MONTH(C271)&amp;""-""&amp;DAY(C271)&amp;""'""))&gt;0,""Caixa Atendimento"",""Caixa Sangria"")),""""),""Caixa Sangria"")"),"")</f>
        <v/>
      </c>
      <c r="M271" s="185" t="str">
        <f>IFERROR(__xludf.DUMMYFUNCTION("ifna(VALUE(REGEXEXTRACT(E271,""[0-9.]+[,]+[0-9]+"")))"),"")</f>
        <v/>
      </c>
      <c r="N271" s="185"/>
      <c r="O271" s="185"/>
      <c r="P271" s="185"/>
      <c r="Q271" s="185"/>
      <c r="R271" s="185"/>
      <c r="S271" s="185"/>
      <c r="T271" s="185"/>
      <c r="U271" s="185"/>
      <c r="V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184" t="str">
        <f>IFERROR(__xludf.DUMMYFUNCTION("ifna(IF(and(D272=""Saída"",J272=""Sangria""),if(sum(QUERY(IMPORTRANGE(""https://docs.google.com/spreadsheets/d/1E4szPcLzsqlw4uyBAoJ61L1ChCgpz4wVP8tHfHW1g_c"",""BD M Sangrias!a:i""),""select Col6 where Col7 = 'Depositada' and Col9 = '""&amp;K272&amp;""' and Col6 ="&amp;" ""&amp;M272&amp;"" and Col4 = date '""&amp;YEAR(C272)&amp;""-""&amp;MONTH(C272)&amp;""-""&amp;DAY(C272)&amp;""'""))&gt;0,""Depositada"",if(sum(QUERY(IMPORTRANGE(""https://docs.google.com/spreadsheets/d/1EcLIvUgMoBC5as4ikW0wuQsGH5yVZ6cQ1y16qEfgPnk"",""BD M Sangrias!a:i""),""select Col6 whe"&amp;"re Col7 = 'Caixa Atendimento' and Col9 = '""&amp;K272&amp;""' and Col6 = ""&amp;M272&amp;"" and Col4 = date '""&amp;YEAR(C272)&amp;""-""&amp;MONTH(C272)&amp;""-""&amp;DAY(C272)&amp;""'""))&gt;0,""Caixa Atendimento"",""Caixa Sangria"")),""""),""Caixa Sangria"")"),"")</f>
        <v/>
      </c>
      <c r="M272" s="185" t="str">
        <f>IFERROR(__xludf.DUMMYFUNCTION("ifna(VALUE(REGEXEXTRACT(E272,""[0-9.]+[,]+[0-9]+"")))"),"")</f>
        <v/>
      </c>
      <c r="N272" s="185"/>
      <c r="O272" s="185"/>
      <c r="P272" s="185"/>
      <c r="Q272" s="185"/>
      <c r="R272" s="185"/>
      <c r="S272" s="185"/>
      <c r="T272" s="185"/>
      <c r="U272" s="185"/>
      <c r="V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184" t="str">
        <f>IFERROR(__xludf.DUMMYFUNCTION("ifna(IF(and(D273=""Saída"",J273=""Sangria""),if(sum(QUERY(IMPORTRANGE(""https://docs.google.com/spreadsheets/d/1E4szPcLzsqlw4uyBAoJ61L1ChCgpz4wVP8tHfHW1g_c"",""BD M Sangrias!a:i""),""select Col6 where Col7 = 'Depositada' and Col9 = '""&amp;K273&amp;""' and Col6 ="&amp;" ""&amp;M273&amp;"" and Col4 = date '""&amp;YEAR(C273)&amp;""-""&amp;MONTH(C273)&amp;""-""&amp;DAY(C273)&amp;""'""))&gt;0,""Depositada"",if(sum(QUERY(IMPORTRANGE(""https://docs.google.com/spreadsheets/d/1EcLIvUgMoBC5as4ikW0wuQsGH5yVZ6cQ1y16qEfgPnk"",""BD M Sangrias!a:i""),""select Col6 whe"&amp;"re Col7 = 'Caixa Atendimento' and Col9 = '""&amp;K273&amp;""' and Col6 = ""&amp;M273&amp;"" and Col4 = date '""&amp;YEAR(C273)&amp;""-""&amp;MONTH(C273)&amp;""-""&amp;DAY(C273)&amp;""'""))&gt;0,""Caixa Atendimento"",""Caixa Sangria"")),""""),""Caixa Sangria"")"),"")</f>
        <v/>
      </c>
      <c r="M273" s="185" t="str">
        <f>IFERROR(__xludf.DUMMYFUNCTION("ifna(VALUE(REGEXEXTRACT(E273,""[0-9.]+[,]+[0-9]+"")))"),"")</f>
        <v/>
      </c>
      <c r="N273" s="185"/>
      <c r="O273" s="185"/>
      <c r="P273" s="185"/>
      <c r="Q273" s="185"/>
      <c r="R273" s="185"/>
      <c r="S273" s="185"/>
      <c r="T273" s="185"/>
      <c r="U273" s="185"/>
      <c r="V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184" t="str">
        <f>IFERROR(__xludf.DUMMYFUNCTION("ifna(IF(and(D274=""Saída"",J274=""Sangria""),if(sum(QUERY(IMPORTRANGE(""https://docs.google.com/spreadsheets/d/1E4szPcLzsqlw4uyBAoJ61L1ChCgpz4wVP8tHfHW1g_c"",""BD M Sangrias!a:i""),""select Col6 where Col7 = 'Depositada' and Col9 = '""&amp;K274&amp;""' and Col6 ="&amp;" ""&amp;M274&amp;"" and Col4 = date '""&amp;YEAR(C274)&amp;""-""&amp;MONTH(C274)&amp;""-""&amp;DAY(C274)&amp;""'""))&gt;0,""Depositada"",if(sum(QUERY(IMPORTRANGE(""https://docs.google.com/spreadsheets/d/1EcLIvUgMoBC5as4ikW0wuQsGH5yVZ6cQ1y16qEfgPnk"",""BD M Sangrias!a:i""),""select Col6 whe"&amp;"re Col7 = 'Caixa Atendimento' and Col9 = '""&amp;K274&amp;""' and Col6 = ""&amp;M274&amp;"" and Col4 = date '""&amp;YEAR(C274)&amp;""-""&amp;MONTH(C274)&amp;""-""&amp;DAY(C274)&amp;""'""))&gt;0,""Caixa Atendimento"",""Caixa Sangria"")),""""),""Caixa Sangria"")"),"")</f>
        <v/>
      </c>
      <c r="M274" s="185" t="str">
        <f>IFERROR(__xludf.DUMMYFUNCTION("ifna(VALUE(REGEXEXTRACT(E274,""[0-9.]+[,]+[0-9]+"")))"),"")</f>
        <v/>
      </c>
      <c r="N274" s="185"/>
      <c r="O274" s="185"/>
      <c r="P274" s="185"/>
      <c r="Q274" s="185"/>
      <c r="R274" s="185"/>
      <c r="S274" s="185"/>
      <c r="T274" s="185"/>
      <c r="U274" s="185"/>
      <c r="V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184" t="str">
        <f>IFERROR(__xludf.DUMMYFUNCTION("ifna(IF(and(D275=""Saída"",J275=""Sangria""),if(sum(QUERY(IMPORTRANGE(""https://docs.google.com/spreadsheets/d/1E4szPcLzsqlw4uyBAoJ61L1ChCgpz4wVP8tHfHW1g_c"",""BD M Sangrias!a:i""),""select Col6 where Col7 = 'Depositada' and Col9 = '""&amp;K275&amp;""' and Col6 ="&amp;" ""&amp;M275&amp;"" and Col4 = date '""&amp;YEAR(C275)&amp;""-""&amp;MONTH(C275)&amp;""-""&amp;DAY(C275)&amp;""'""))&gt;0,""Depositada"",if(sum(QUERY(IMPORTRANGE(""https://docs.google.com/spreadsheets/d/1EcLIvUgMoBC5as4ikW0wuQsGH5yVZ6cQ1y16qEfgPnk"",""BD M Sangrias!a:i""),""select Col6 whe"&amp;"re Col7 = 'Caixa Atendimento' and Col9 = '""&amp;K275&amp;""' and Col6 = ""&amp;M275&amp;"" and Col4 = date '""&amp;YEAR(C275)&amp;""-""&amp;MONTH(C275)&amp;""-""&amp;DAY(C275)&amp;""'""))&gt;0,""Caixa Atendimento"",""Caixa Sangria"")),""""),""Caixa Sangria"")"),"")</f>
        <v/>
      </c>
      <c r="M275" s="185" t="str">
        <f>IFERROR(__xludf.DUMMYFUNCTION("ifna(VALUE(REGEXEXTRACT(E275,""[0-9.]+[,]+[0-9]+"")))"),"")</f>
        <v/>
      </c>
      <c r="N275" s="185"/>
      <c r="O275" s="185"/>
      <c r="P275" s="185"/>
      <c r="Q275" s="185"/>
      <c r="R275" s="185"/>
      <c r="S275" s="185"/>
      <c r="T275" s="185"/>
      <c r="U275" s="185"/>
      <c r="V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184" t="str">
        <f>IFERROR(__xludf.DUMMYFUNCTION("ifna(IF(and(D276=""Saída"",J276=""Sangria""),if(sum(QUERY(IMPORTRANGE(""https://docs.google.com/spreadsheets/d/1E4szPcLzsqlw4uyBAoJ61L1ChCgpz4wVP8tHfHW1g_c"",""BD M Sangrias!a:i""),""select Col6 where Col7 = 'Depositada' and Col9 = '""&amp;K276&amp;""' and Col6 ="&amp;" ""&amp;M276&amp;"" and Col4 = date '""&amp;YEAR(C276)&amp;""-""&amp;MONTH(C276)&amp;""-""&amp;DAY(C276)&amp;""'""))&gt;0,""Depositada"",if(sum(QUERY(IMPORTRANGE(""https://docs.google.com/spreadsheets/d/1EcLIvUgMoBC5as4ikW0wuQsGH5yVZ6cQ1y16qEfgPnk"",""BD M Sangrias!a:i""),""select Col6 whe"&amp;"re Col7 = 'Caixa Atendimento' and Col9 = '""&amp;K276&amp;""' and Col6 = ""&amp;M276&amp;"" and Col4 = date '""&amp;YEAR(C276)&amp;""-""&amp;MONTH(C276)&amp;""-""&amp;DAY(C276)&amp;""'""))&gt;0,""Caixa Atendimento"",""Caixa Sangria"")),""""),""Caixa Sangria"")"),"")</f>
        <v/>
      </c>
      <c r="M276" s="185" t="str">
        <f>IFERROR(__xludf.DUMMYFUNCTION("ifna(VALUE(REGEXEXTRACT(E276,""[0-9.]+[,]+[0-9]+"")))"),"")</f>
        <v/>
      </c>
      <c r="N276" s="185"/>
      <c r="O276" s="185"/>
      <c r="P276" s="185"/>
      <c r="Q276" s="185"/>
      <c r="R276" s="185"/>
      <c r="S276" s="185"/>
      <c r="T276" s="185"/>
      <c r="U276" s="185"/>
      <c r="V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184" t="str">
        <f>IFERROR(__xludf.DUMMYFUNCTION("ifna(IF(and(D277=""Saída"",J277=""Sangria""),if(sum(QUERY(IMPORTRANGE(""https://docs.google.com/spreadsheets/d/1E4szPcLzsqlw4uyBAoJ61L1ChCgpz4wVP8tHfHW1g_c"",""BD M Sangrias!a:i""),""select Col6 where Col7 = 'Depositada' and Col9 = '""&amp;K277&amp;""' and Col6 ="&amp;" ""&amp;M277&amp;"" and Col4 = date '""&amp;YEAR(C277)&amp;""-""&amp;MONTH(C277)&amp;""-""&amp;DAY(C277)&amp;""'""))&gt;0,""Depositada"",if(sum(QUERY(IMPORTRANGE(""https://docs.google.com/spreadsheets/d/1EcLIvUgMoBC5as4ikW0wuQsGH5yVZ6cQ1y16qEfgPnk"",""BD M Sangrias!a:i""),""select Col6 whe"&amp;"re Col7 = 'Caixa Atendimento' and Col9 = '""&amp;K277&amp;""' and Col6 = ""&amp;M277&amp;"" and Col4 = date '""&amp;YEAR(C277)&amp;""-""&amp;MONTH(C277)&amp;""-""&amp;DAY(C277)&amp;""'""))&gt;0,""Caixa Atendimento"",""Caixa Sangria"")),""""),""Caixa Sangria"")"),"")</f>
        <v/>
      </c>
      <c r="M277" s="185" t="str">
        <f>IFERROR(__xludf.DUMMYFUNCTION("ifna(VALUE(REGEXEXTRACT(E277,""[0-9.]+[,]+[0-9]+"")))"),"")</f>
        <v/>
      </c>
      <c r="N277" s="185"/>
      <c r="O277" s="185"/>
      <c r="P277" s="185"/>
      <c r="Q277" s="185"/>
      <c r="R277" s="185"/>
      <c r="S277" s="185"/>
      <c r="T277" s="185"/>
      <c r="U277" s="185"/>
      <c r="V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184" t="str">
        <f>IFERROR(__xludf.DUMMYFUNCTION("ifna(IF(and(D278=""Saída"",J278=""Sangria""),if(sum(QUERY(IMPORTRANGE(""https://docs.google.com/spreadsheets/d/1E4szPcLzsqlw4uyBAoJ61L1ChCgpz4wVP8tHfHW1g_c"",""BD M Sangrias!a:i""),""select Col6 where Col7 = 'Depositada' and Col9 = '""&amp;K278&amp;""' and Col6 ="&amp;" ""&amp;M278&amp;"" and Col4 = date '""&amp;YEAR(C278)&amp;""-""&amp;MONTH(C278)&amp;""-""&amp;DAY(C278)&amp;""'""))&gt;0,""Depositada"",if(sum(QUERY(IMPORTRANGE(""https://docs.google.com/spreadsheets/d/1EcLIvUgMoBC5as4ikW0wuQsGH5yVZ6cQ1y16qEfgPnk"",""BD M Sangrias!a:i""),""select Col6 whe"&amp;"re Col7 = 'Caixa Atendimento' and Col9 = '""&amp;K278&amp;""' and Col6 = ""&amp;M278&amp;"" and Col4 = date '""&amp;YEAR(C278)&amp;""-""&amp;MONTH(C278)&amp;""-""&amp;DAY(C278)&amp;""'""))&gt;0,""Caixa Atendimento"",""Caixa Sangria"")),""""),""Caixa Sangria"")"),"")</f>
        <v/>
      </c>
      <c r="M278" s="185" t="str">
        <f>IFERROR(__xludf.DUMMYFUNCTION("ifna(VALUE(REGEXEXTRACT(E278,""[0-9.]+[,]+[0-9]+"")))"),"")</f>
        <v/>
      </c>
      <c r="N278" s="185"/>
      <c r="O278" s="185"/>
      <c r="P278" s="185"/>
      <c r="Q278" s="185"/>
      <c r="R278" s="185"/>
      <c r="S278" s="185"/>
      <c r="T278" s="185"/>
      <c r="U278" s="185"/>
      <c r="V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184" t="str">
        <f>IFERROR(__xludf.DUMMYFUNCTION("ifna(IF(and(D279=""Saída"",J279=""Sangria""),if(sum(QUERY(IMPORTRANGE(""https://docs.google.com/spreadsheets/d/1E4szPcLzsqlw4uyBAoJ61L1ChCgpz4wVP8tHfHW1g_c"",""BD M Sangrias!a:i""),""select Col6 where Col7 = 'Depositada' and Col9 = '""&amp;K279&amp;""' and Col6 ="&amp;" ""&amp;M279&amp;"" and Col4 = date '""&amp;YEAR(C279)&amp;""-""&amp;MONTH(C279)&amp;""-""&amp;DAY(C279)&amp;""'""))&gt;0,""Depositada"",if(sum(QUERY(IMPORTRANGE(""https://docs.google.com/spreadsheets/d/1EcLIvUgMoBC5as4ikW0wuQsGH5yVZ6cQ1y16qEfgPnk"",""BD M Sangrias!a:i""),""select Col6 whe"&amp;"re Col7 = 'Caixa Atendimento' and Col9 = '""&amp;K279&amp;""' and Col6 = ""&amp;M279&amp;"" and Col4 = date '""&amp;YEAR(C279)&amp;""-""&amp;MONTH(C279)&amp;""-""&amp;DAY(C279)&amp;""'""))&gt;0,""Caixa Atendimento"",""Caixa Sangria"")),""""),""Caixa Sangria"")"),"")</f>
        <v/>
      </c>
      <c r="M279" s="185" t="str">
        <f>IFERROR(__xludf.DUMMYFUNCTION("ifna(VALUE(REGEXEXTRACT(E279,""[0-9.]+[,]+[0-9]+"")))"),"")</f>
        <v/>
      </c>
      <c r="N279" s="185"/>
      <c r="O279" s="185"/>
      <c r="P279" s="185"/>
      <c r="Q279" s="185"/>
      <c r="R279" s="185"/>
      <c r="S279" s="185"/>
      <c r="T279" s="185"/>
      <c r="U279" s="185"/>
      <c r="V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184" t="str">
        <f>IFERROR(__xludf.DUMMYFUNCTION("ifna(IF(and(D280=""Saída"",J280=""Sangria""),if(sum(QUERY(IMPORTRANGE(""https://docs.google.com/spreadsheets/d/1E4szPcLzsqlw4uyBAoJ61L1ChCgpz4wVP8tHfHW1g_c"",""BD M Sangrias!a:i""),""select Col6 where Col7 = 'Depositada' and Col9 = '""&amp;K280&amp;""' and Col6 ="&amp;" ""&amp;M280&amp;"" and Col4 = date '""&amp;YEAR(C280)&amp;""-""&amp;MONTH(C280)&amp;""-""&amp;DAY(C280)&amp;""'""))&gt;0,""Depositada"",if(sum(QUERY(IMPORTRANGE(""https://docs.google.com/spreadsheets/d/1EcLIvUgMoBC5as4ikW0wuQsGH5yVZ6cQ1y16qEfgPnk"",""BD M Sangrias!a:i""),""select Col6 whe"&amp;"re Col7 = 'Caixa Atendimento' and Col9 = '""&amp;K280&amp;""' and Col6 = ""&amp;M280&amp;"" and Col4 = date '""&amp;YEAR(C280)&amp;""-""&amp;MONTH(C280)&amp;""-""&amp;DAY(C280)&amp;""'""))&gt;0,""Caixa Atendimento"",""Caixa Sangria"")),""""),""Caixa Sangria"")"),"")</f>
        <v/>
      </c>
      <c r="M280" s="185" t="str">
        <f>IFERROR(__xludf.DUMMYFUNCTION("ifna(VALUE(REGEXEXTRACT(E280,""[0-9.]+[,]+[0-9]+"")))"),"")</f>
        <v/>
      </c>
      <c r="N280" s="185"/>
      <c r="O280" s="185"/>
      <c r="P280" s="185"/>
      <c r="Q280" s="185"/>
      <c r="R280" s="185"/>
      <c r="S280" s="185"/>
      <c r="T280" s="185"/>
      <c r="U280" s="185"/>
      <c r="V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184" t="str">
        <f>IFERROR(__xludf.DUMMYFUNCTION("ifna(IF(and(D281=""Saída"",J281=""Sangria""),if(sum(QUERY(IMPORTRANGE(""https://docs.google.com/spreadsheets/d/1E4szPcLzsqlw4uyBAoJ61L1ChCgpz4wVP8tHfHW1g_c"",""BD M Sangrias!a:i""),""select Col6 where Col7 = 'Depositada' and Col9 = '""&amp;K281&amp;""' and Col6 ="&amp;" ""&amp;M281&amp;"" and Col4 = date '""&amp;YEAR(C281)&amp;""-""&amp;MONTH(C281)&amp;""-""&amp;DAY(C281)&amp;""'""))&gt;0,""Depositada"",if(sum(QUERY(IMPORTRANGE(""https://docs.google.com/spreadsheets/d/1EcLIvUgMoBC5as4ikW0wuQsGH5yVZ6cQ1y16qEfgPnk"",""BD M Sangrias!a:i""),""select Col6 whe"&amp;"re Col7 = 'Caixa Atendimento' and Col9 = '""&amp;K281&amp;""' and Col6 = ""&amp;M281&amp;"" and Col4 = date '""&amp;YEAR(C281)&amp;""-""&amp;MONTH(C281)&amp;""-""&amp;DAY(C281)&amp;""'""))&gt;0,""Caixa Atendimento"",""Caixa Sangria"")),""""),""Caixa Sangria"")"),"")</f>
        <v/>
      </c>
      <c r="M281" s="185" t="str">
        <f>IFERROR(__xludf.DUMMYFUNCTION("ifna(VALUE(REGEXEXTRACT(E281,""[0-9.]+[,]+[0-9]+"")))"),"")</f>
        <v/>
      </c>
      <c r="N281" s="185"/>
      <c r="O281" s="185"/>
      <c r="P281" s="185"/>
      <c r="Q281" s="185"/>
      <c r="R281" s="185"/>
      <c r="S281" s="185"/>
      <c r="T281" s="185"/>
      <c r="U281" s="185"/>
      <c r="V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184" t="str">
        <f>IFERROR(__xludf.DUMMYFUNCTION("ifna(IF(and(D282=""Saída"",J282=""Sangria""),if(sum(QUERY(IMPORTRANGE(""https://docs.google.com/spreadsheets/d/1E4szPcLzsqlw4uyBAoJ61L1ChCgpz4wVP8tHfHW1g_c"",""BD M Sangrias!a:i""),""select Col6 where Col7 = 'Depositada' and Col9 = '""&amp;K282&amp;""' and Col6 ="&amp;" ""&amp;M282&amp;"" and Col4 = date '""&amp;YEAR(C282)&amp;""-""&amp;MONTH(C282)&amp;""-""&amp;DAY(C282)&amp;""'""))&gt;0,""Depositada"",if(sum(QUERY(IMPORTRANGE(""https://docs.google.com/spreadsheets/d/1EcLIvUgMoBC5as4ikW0wuQsGH5yVZ6cQ1y16qEfgPnk"",""BD M Sangrias!a:i""),""select Col6 whe"&amp;"re Col7 = 'Caixa Atendimento' and Col9 = '""&amp;K282&amp;""' and Col6 = ""&amp;M282&amp;"" and Col4 = date '""&amp;YEAR(C282)&amp;""-""&amp;MONTH(C282)&amp;""-""&amp;DAY(C282)&amp;""'""))&gt;0,""Caixa Atendimento"",""Caixa Sangria"")),""""),""Caixa Sangria"")"),"")</f>
        <v/>
      </c>
      <c r="M282" s="185" t="str">
        <f>IFERROR(__xludf.DUMMYFUNCTION("ifna(VALUE(REGEXEXTRACT(E282,""[0-9.]+[,]+[0-9]+"")))"),"")</f>
        <v/>
      </c>
      <c r="N282" s="185"/>
      <c r="O282" s="185"/>
      <c r="P282" s="185"/>
      <c r="Q282" s="185"/>
      <c r="R282" s="185"/>
      <c r="S282" s="185"/>
      <c r="T282" s="185"/>
      <c r="U282" s="185"/>
      <c r="V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184" t="str">
        <f>IFERROR(__xludf.DUMMYFUNCTION("ifna(IF(and(D283=""Saída"",J283=""Sangria""),if(sum(QUERY(IMPORTRANGE(""https://docs.google.com/spreadsheets/d/1E4szPcLzsqlw4uyBAoJ61L1ChCgpz4wVP8tHfHW1g_c"",""BD M Sangrias!a:i""),""select Col6 where Col7 = 'Depositada' and Col9 = '""&amp;K283&amp;""' and Col6 ="&amp;" ""&amp;M283&amp;"" and Col4 = date '""&amp;YEAR(C283)&amp;""-""&amp;MONTH(C283)&amp;""-""&amp;DAY(C283)&amp;""'""))&gt;0,""Depositada"",if(sum(QUERY(IMPORTRANGE(""https://docs.google.com/spreadsheets/d/1EcLIvUgMoBC5as4ikW0wuQsGH5yVZ6cQ1y16qEfgPnk"",""BD M Sangrias!a:i""),""select Col6 whe"&amp;"re Col7 = 'Caixa Atendimento' and Col9 = '""&amp;K283&amp;""' and Col6 = ""&amp;M283&amp;"" and Col4 = date '""&amp;YEAR(C283)&amp;""-""&amp;MONTH(C283)&amp;""-""&amp;DAY(C283)&amp;""'""))&gt;0,""Caixa Atendimento"",""Caixa Sangria"")),""""),""Caixa Sangria"")"),"")</f>
        <v/>
      </c>
      <c r="M283" s="185" t="str">
        <f>IFERROR(__xludf.DUMMYFUNCTION("ifna(VALUE(REGEXEXTRACT(E283,""[0-9.]+[,]+[0-9]+"")))"),"")</f>
        <v/>
      </c>
      <c r="N283" s="185"/>
      <c r="O283" s="185"/>
      <c r="P283" s="185"/>
      <c r="Q283" s="185"/>
      <c r="R283" s="185"/>
      <c r="S283" s="185"/>
      <c r="T283" s="185"/>
      <c r="U283" s="185"/>
      <c r="V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184" t="str">
        <f>IFERROR(__xludf.DUMMYFUNCTION("ifna(IF(and(D284=""Saída"",J284=""Sangria""),if(sum(QUERY(IMPORTRANGE(""https://docs.google.com/spreadsheets/d/1E4szPcLzsqlw4uyBAoJ61L1ChCgpz4wVP8tHfHW1g_c"",""BD M Sangrias!a:i""),""select Col6 where Col7 = 'Depositada' and Col9 = '""&amp;K284&amp;""' and Col6 ="&amp;" ""&amp;M284&amp;"" and Col4 = date '""&amp;YEAR(C284)&amp;""-""&amp;MONTH(C284)&amp;""-""&amp;DAY(C284)&amp;""'""))&gt;0,""Depositada"",if(sum(QUERY(IMPORTRANGE(""https://docs.google.com/spreadsheets/d/1EcLIvUgMoBC5as4ikW0wuQsGH5yVZ6cQ1y16qEfgPnk"",""BD M Sangrias!a:i""),""select Col6 whe"&amp;"re Col7 = 'Caixa Atendimento' and Col9 = '""&amp;K284&amp;""' and Col6 = ""&amp;M284&amp;"" and Col4 = date '""&amp;YEAR(C284)&amp;""-""&amp;MONTH(C284)&amp;""-""&amp;DAY(C284)&amp;""'""))&gt;0,""Caixa Atendimento"",""Caixa Sangria"")),""""),""Caixa Sangria"")"),"")</f>
        <v/>
      </c>
      <c r="M284" s="185" t="str">
        <f>IFERROR(__xludf.DUMMYFUNCTION("ifna(VALUE(REGEXEXTRACT(E284,""[0-9.]+[,]+[0-9]+"")))"),"")</f>
        <v/>
      </c>
      <c r="N284" s="185"/>
      <c r="O284" s="185"/>
      <c r="P284" s="185"/>
      <c r="Q284" s="185"/>
      <c r="R284" s="185"/>
      <c r="S284" s="185"/>
      <c r="T284" s="185"/>
      <c r="U284" s="185"/>
      <c r="V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184" t="str">
        <f>IFERROR(__xludf.DUMMYFUNCTION("ifna(IF(and(D285=""Saída"",J285=""Sangria""),if(sum(QUERY(IMPORTRANGE(""https://docs.google.com/spreadsheets/d/1E4szPcLzsqlw4uyBAoJ61L1ChCgpz4wVP8tHfHW1g_c"",""BD M Sangrias!a:i""),""select Col6 where Col7 = 'Depositada' and Col9 = '""&amp;K285&amp;""' and Col6 ="&amp;" ""&amp;M285&amp;"" and Col4 = date '""&amp;YEAR(C285)&amp;""-""&amp;MONTH(C285)&amp;""-""&amp;DAY(C285)&amp;""'""))&gt;0,""Depositada"",if(sum(QUERY(IMPORTRANGE(""https://docs.google.com/spreadsheets/d/1EcLIvUgMoBC5as4ikW0wuQsGH5yVZ6cQ1y16qEfgPnk"",""BD M Sangrias!a:i""),""select Col6 whe"&amp;"re Col7 = 'Caixa Atendimento' and Col9 = '""&amp;K285&amp;""' and Col6 = ""&amp;M285&amp;"" and Col4 = date '""&amp;YEAR(C285)&amp;""-""&amp;MONTH(C285)&amp;""-""&amp;DAY(C285)&amp;""'""))&gt;0,""Caixa Atendimento"",""Caixa Sangria"")),""""),""Caixa Sangria"")"),"")</f>
        <v/>
      </c>
      <c r="M285" s="185" t="str">
        <f>IFERROR(__xludf.DUMMYFUNCTION("ifna(VALUE(REGEXEXTRACT(E285,""[0-9.]+[,]+[0-9]+"")))"),"")</f>
        <v/>
      </c>
      <c r="N285" s="185"/>
      <c r="O285" s="185"/>
      <c r="P285" s="185"/>
      <c r="Q285" s="185"/>
      <c r="R285" s="185"/>
      <c r="S285" s="185"/>
      <c r="T285" s="185"/>
      <c r="U285" s="185"/>
      <c r="V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184" t="str">
        <f>IFERROR(__xludf.DUMMYFUNCTION("ifna(IF(and(D286=""Saída"",J286=""Sangria""),if(sum(QUERY(IMPORTRANGE(""https://docs.google.com/spreadsheets/d/1E4szPcLzsqlw4uyBAoJ61L1ChCgpz4wVP8tHfHW1g_c"",""BD M Sangrias!a:i""),""select Col6 where Col7 = 'Depositada' and Col9 = '""&amp;K286&amp;""' and Col6 ="&amp;" ""&amp;M286&amp;"" and Col4 = date '""&amp;YEAR(C286)&amp;""-""&amp;MONTH(C286)&amp;""-""&amp;DAY(C286)&amp;""'""))&gt;0,""Depositada"",if(sum(QUERY(IMPORTRANGE(""https://docs.google.com/spreadsheets/d/1EcLIvUgMoBC5as4ikW0wuQsGH5yVZ6cQ1y16qEfgPnk"",""BD M Sangrias!a:i""),""select Col6 whe"&amp;"re Col7 = 'Caixa Atendimento' and Col9 = '""&amp;K286&amp;""' and Col6 = ""&amp;M286&amp;"" and Col4 = date '""&amp;YEAR(C286)&amp;""-""&amp;MONTH(C286)&amp;""-""&amp;DAY(C286)&amp;""'""))&gt;0,""Caixa Atendimento"",""Caixa Sangria"")),""""),""Caixa Sangria"")"),"")</f>
        <v/>
      </c>
      <c r="M286" s="185" t="str">
        <f>IFERROR(__xludf.DUMMYFUNCTION("ifna(VALUE(REGEXEXTRACT(E286,""[0-9.]+[,]+[0-9]+"")))"),"")</f>
        <v/>
      </c>
      <c r="N286" s="185"/>
      <c r="O286" s="185"/>
      <c r="P286" s="185"/>
      <c r="Q286" s="185"/>
      <c r="R286" s="185"/>
      <c r="S286" s="185"/>
      <c r="T286" s="185"/>
      <c r="U286" s="185"/>
      <c r="V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184" t="str">
        <f>IFERROR(__xludf.DUMMYFUNCTION("ifna(IF(and(D287=""Saída"",J287=""Sangria""),if(sum(QUERY(IMPORTRANGE(""https://docs.google.com/spreadsheets/d/1E4szPcLzsqlw4uyBAoJ61L1ChCgpz4wVP8tHfHW1g_c"",""BD M Sangrias!a:i""),""select Col6 where Col7 = 'Depositada' and Col9 = '""&amp;K287&amp;""' and Col6 ="&amp;" ""&amp;M287&amp;"" and Col4 = date '""&amp;YEAR(C287)&amp;""-""&amp;MONTH(C287)&amp;""-""&amp;DAY(C287)&amp;""'""))&gt;0,""Depositada"",if(sum(QUERY(IMPORTRANGE(""https://docs.google.com/spreadsheets/d/1EcLIvUgMoBC5as4ikW0wuQsGH5yVZ6cQ1y16qEfgPnk"",""BD M Sangrias!a:i""),""select Col6 whe"&amp;"re Col7 = 'Caixa Atendimento' and Col9 = '""&amp;K287&amp;""' and Col6 = ""&amp;M287&amp;"" and Col4 = date '""&amp;YEAR(C287)&amp;""-""&amp;MONTH(C287)&amp;""-""&amp;DAY(C287)&amp;""'""))&gt;0,""Caixa Atendimento"",""Caixa Sangria"")),""""),""Caixa Sangria"")"),"")</f>
        <v/>
      </c>
      <c r="M287" s="185" t="str">
        <f>IFERROR(__xludf.DUMMYFUNCTION("ifna(VALUE(REGEXEXTRACT(E287,""[0-9.]+[,]+[0-9]+"")))"),"")</f>
        <v/>
      </c>
      <c r="N287" s="185"/>
      <c r="O287" s="185"/>
      <c r="P287" s="185"/>
      <c r="Q287" s="185"/>
      <c r="R287" s="185"/>
      <c r="S287" s="185"/>
      <c r="T287" s="185"/>
      <c r="U287" s="185"/>
      <c r="V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184" t="str">
        <f>IFERROR(__xludf.DUMMYFUNCTION("ifna(IF(and(D288=""Saída"",J288=""Sangria""),if(sum(QUERY(IMPORTRANGE(""https://docs.google.com/spreadsheets/d/1E4szPcLzsqlw4uyBAoJ61L1ChCgpz4wVP8tHfHW1g_c"",""BD M Sangrias!a:i""),""select Col6 where Col7 = 'Depositada' and Col9 = '""&amp;K288&amp;""' and Col6 ="&amp;" ""&amp;M288&amp;"" and Col4 = date '""&amp;YEAR(C288)&amp;""-""&amp;MONTH(C288)&amp;""-""&amp;DAY(C288)&amp;""'""))&gt;0,""Depositada"",if(sum(QUERY(IMPORTRANGE(""https://docs.google.com/spreadsheets/d/1EcLIvUgMoBC5as4ikW0wuQsGH5yVZ6cQ1y16qEfgPnk"",""BD M Sangrias!a:i""),""select Col6 whe"&amp;"re Col7 = 'Caixa Atendimento' and Col9 = '""&amp;K288&amp;""' and Col6 = ""&amp;M288&amp;"" and Col4 = date '""&amp;YEAR(C288)&amp;""-""&amp;MONTH(C288)&amp;""-""&amp;DAY(C288)&amp;""'""))&gt;0,""Caixa Atendimento"",""Caixa Sangria"")),""""),""Caixa Sangria"")"),"")</f>
        <v/>
      </c>
      <c r="M288" s="185" t="str">
        <f>IFERROR(__xludf.DUMMYFUNCTION("ifna(VALUE(REGEXEXTRACT(E288,""[0-9.]+[,]+[0-9]+"")))"),"")</f>
        <v/>
      </c>
      <c r="N288" s="185"/>
      <c r="O288" s="185"/>
      <c r="P288" s="185"/>
      <c r="Q288" s="185"/>
      <c r="R288" s="185"/>
      <c r="S288" s="185"/>
      <c r="T288" s="185"/>
      <c r="U288" s="185"/>
      <c r="V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184" t="str">
        <f>IFERROR(__xludf.DUMMYFUNCTION("ifna(IF(and(D289=""Saída"",J289=""Sangria""),if(sum(QUERY(IMPORTRANGE(""https://docs.google.com/spreadsheets/d/1E4szPcLzsqlw4uyBAoJ61L1ChCgpz4wVP8tHfHW1g_c"",""BD M Sangrias!a:i""),""select Col6 where Col7 = 'Depositada' and Col9 = '""&amp;K289&amp;""' and Col6 ="&amp;" ""&amp;M289&amp;"" and Col4 = date '""&amp;YEAR(C289)&amp;""-""&amp;MONTH(C289)&amp;""-""&amp;DAY(C289)&amp;""'""))&gt;0,""Depositada"",if(sum(QUERY(IMPORTRANGE(""https://docs.google.com/spreadsheets/d/1EcLIvUgMoBC5as4ikW0wuQsGH5yVZ6cQ1y16qEfgPnk"",""BD M Sangrias!a:i""),""select Col6 whe"&amp;"re Col7 = 'Caixa Atendimento' and Col9 = '""&amp;K289&amp;""' and Col6 = ""&amp;M289&amp;"" and Col4 = date '""&amp;YEAR(C289)&amp;""-""&amp;MONTH(C289)&amp;""-""&amp;DAY(C289)&amp;""'""))&gt;0,""Caixa Atendimento"",""Caixa Sangria"")),""""),""Caixa Sangria"")"),"")</f>
        <v/>
      </c>
      <c r="M289" s="185" t="str">
        <f>IFERROR(__xludf.DUMMYFUNCTION("ifna(VALUE(REGEXEXTRACT(E289,""[0-9.]+[,]+[0-9]+"")))"),"")</f>
        <v/>
      </c>
      <c r="N289" s="185"/>
      <c r="O289" s="185"/>
      <c r="P289" s="185"/>
      <c r="Q289" s="185"/>
      <c r="R289" s="185"/>
      <c r="S289" s="185"/>
      <c r="T289" s="185"/>
      <c r="U289" s="185"/>
      <c r="V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184" t="str">
        <f>IFERROR(__xludf.DUMMYFUNCTION("ifna(IF(and(D290=""Saída"",J290=""Sangria""),if(sum(QUERY(IMPORTRANGE(""https://docs.google.com/spreadsheets/d/1E4szPcLzsqlw4uyBAoJ61L1ChCgpz4wVP8tHfHW1g_c"",""BD M Sangrias!a:i""),""select Col6 where Col7 = 'Depositada' and Col9 = '""&amp;K290&amp;""' and Col6 ="&amp;" ""&amp;M290&amp;"" and Col4 = date '""&amp;YEAR(C290)&amp;""-""&amp;MONTH(C290)&amp;""-""&amp;DAY(C290)&amp;""'""))&gt;0,""Depositada"",if(sum(QUERY(IMPORTRANGE(""https://docs.google.com/spreadsheets/d/1EcLIvUgMoBC5as4ikW0wuQsGH5yVZ6cQ1y16qEfgPnk"",""BD M Sangrias!a:i""),""select Col6 whe"&amp;"re Col7 = 'Caixa Atendimento' and Col9 = '""&amp;K290&amp;""' and Col6 = ""&amp;M290&amp;"" and Col4 = date '""&amp;YEAR(C290)&amp;""-""&amp;MONTH(C290)&amp;""-""&amp;DAY(C290)&amp;""'""))&gt;0,""Caixa Atendimento"",""Caixa Sangria"")),""""),""Caixa Sangria"")"),"")</f>
        <v/>
      </c>
      <c r="M290" s="185" t="str">
        <f>IFERROR(__xludf.DUMMYFUNCTION("ifna(VALUE(REGEXEXTRACT(E290,""[0-9.]+[,]+[0-9]+"")))"),"")</f>
        <v/>
      </c>
      <c r="N290" s="185"/>
      <c r="O290" s="185"/>
      <c r="P290" s="185"/>
      <c r="Q290" s="185"/>
      <c r="R290" s="185"/>
      <c r="S290" s="185"/>
      <c r="T290" s="185"/>
      <c r="U290" s="185"/>
      <c r="V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184" t="str">
        <f>IFERROR(__xludf.DUMMYFUNCTION("ifna(IF(and(D291=""Saída"",J291=""Sangria""),if(sum(QUERY(IMPORTRANGE(""https://docs.google.com/spreadsheets/d/1E4szPcLzsqlw4uyBAoJ61L1ChCgpz4wVP8tHfHW1g_c"",""BD M Sangrias!a:i""),""select Col6 where Col7 = 'Depositada' and Col9 = '""&amp;K291&amp;""' and Col6 ="&amp;" ""&amp;M291&amp;"" and Col4 = date '""&amp;YEAR(C291)&amp;""-""&amp;MONTH(C291)&amp;""-""&amp;DAY(C291)&amp;""'""))&gt;0,""Depositada"",if(sum(QUERY(IMPORTRANGE(""https://docs.google.com/spreadsheets/d/1EcLIvUgMoBC5as4ikW0wuQsGH5yVZ6cQ1y16qEfgPnk"",""BD M Sangrias!a:i""),""select Col6 whe"&amp;"re Col7 = 'Caixa Atendimento' and Col9 = '""&amp;K291&amp;""' and Col6 = ""&amp;M291&amp;"" and Col4 = date '""&amp;YEAR(C291)&amp;""-""&amp;MONTH(C291)&amp;""-""&amp;DAY(C291)&amp;""'""))&gt;0,""Caixa Atendimento"",""Caixa Sangria"")),""""),""Caixa Sangria"")"),"")</f>
        <v/>
      </c>
      <c r="M291" s="185" t="str">
        <f>IFERROR(__xludf.DUMMYFUNCTION("ifna(VALUE(REGEXEXTRACT(E291,""[0-9.]+[,]+[0-9]+"")))"),"")</f>
        <v/>
      </c>
      <c r="N291" s="185"/>
      <c r="O291" s="185"/>
      <c r="P291" s="185"/>
      <c r="Q291" s="185"/>
      <c r="R291" s="185"/>
      <c r="S291" s="185"/>
      <c r="T291" s="185"/>
      <c r="U291" s="185"/>
      <c r="V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184" t="str">
        <f>IFERROR(__xludf.DUMMYFUNCTION("ifna(IF(and(D292=""Saída"",J292=""Sangria""),if(sum(QUERY(IMPORTRANGE(""https://docs.google.com/spreadsheets/d/1E4szPcLzsqlw4uyBAoJ61L1ChCgpz4wVP8tHfHW1g_c"",""BD M Sangrias!a:i""),""select Col6 where Col7 = 'Depositada' and Col9 = '""&amp;K292&amp;""' and Col6 ="&amp;" ""&amp;M292&amp;"" and Col4 = date '""&amp;YEAR(C292)&amp;""-""&amp;MONTH(C292)&amp;""-""&amp;DAY(C292)&amp;""'""))&gt;0,""Depositada"",if(sum(QUERY(IMPORTRANGE(""https://docs.google.com/spreadsheets/d/1EcLIvUgMoBC5as4ikW0wuQsGH5yVZ6cQ1y16qEfgPnk"",""BD M Sangrias!a:i""),""select Col6 whe"&amp;"re Col7 = 'Caixa Atendimento' and Col9 = '""&amp;K292&amp;""' and Col6 = ""&amp;M292&amp;"" and Col4 = date '""&amp;YEAR(C292)&amp;""-""&amp;MONTH(C292)&amp;""-""&amp;DAY(C292)&amp;""'""))&gt;0,""Caixa Atendimento"",""Caixa Sangria"")),""""),""Caixa Sangria"")"),"")</f>
        <v/>
      </c>
      <c r="M292" s="185" t="str">
        <f>IFERROR(__xludf.DUMMYFUNCTION("ifna(VALUE(REGEXEXTRACT(E292,""[0-9.]+[,]+[0-9]+"")))"),"")</f>
        <v/>
      </c>
      <c r="N292" s="185"/>
      <c r="O292" s="185"/>
      <c r="P292" s="185"/>
      <c r="Q292" s="185"/>
      <c r="R292" s="185"/>
      <c r="S292" s="185"/>
      <c r="T292" s="185"/>
      <c r="U292" s="185"/>
      <c r="V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184" t="str">
        <f>IFERROR(__xludf.DUMMYFUNCTION("ifna(IF(and(D293=""Saída"",J293=""Sangria""),if(sum(QUERY(IMPORTRANGE(""https://docs.google.com/spreadsheets/d/1E4szPcLzsqlw4uyBAoJ61L1ChCgpz4wVP8tHfHW1g_c"",""BD M Sangrias!a:i""),""select Col6 where Col7 = 'Depositada' and Col9 = '""&amp;K293&amp;""' and Col6 ="&amp;" ""&amp;M293&amp;"" and Col4 = date '""&amp;YEAR(C293)&amp;""-""&amp;MONTH(C293)&amp;""-""&amp;DAY(C293)&amp;""'""))&gt;0,""Depositada"",if(sum(QUERY(IMPORTRANGE(""https://docs.google.com/spreadsheets/d/1EcLIvUgMoBC5as4ikW0wuQsGH5yVZ6cQ1y16qEfgPnk"",""BD M Sangrias!a:i""),""select Col6 whe"&amp;"re Col7 = 'Caixa Atendimento' and Col9 = '""&amp;K293&amp;""' and Col6 = ""&amp;M293&amp;"" and Col4 = date '""&amp;YEAR(C293)&amp;""-""&amp;MONTH(C293)&amp;""-""&amp;DAY(C293)&amp;""'""))&gt;0,""Caixa Atendimento"",""Caixa Sangria"")),""""),""Caixa Sangria"")"),"")</f>
        <v/>
      </c>
      <c r="M293" s="185" t="str">
        <f>IFERROR(__xludf.DUMMYFUNCTION("ifna(VALUE(REGEXEXTRACT(E293,""[0-9.]+[,]+[0-9]+"")))"),"")</f>
        <v/>
      </c>
      <c r="N293" s="185"/>
      <c r="O293" s="185"/>
      <c r="P293" s="185"/>
      <c r="Q293" s="185"/>
      <c r="R293" s="185"/>
      <c r="S293" s="185"/>
      <c r="T293" s="185"/>
      <c r="U293" s="185"/>
      <c r="V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184" t="str">
        <f>IFERROR(__xludf.DUMMYFUNCTION("ifna(IF(and(D294=""Saída"",J294=""Sangria""),if(sum(QUERY(IMPORTRANGE(""https://docs.google.com/spreadsheets/d/1E4szPcLzsqlw4uyBAoJ61L1ChCgpz4wVP8tHfHW1g_c"",""BD M Sangrias!a:i""),""select Col6 where Col7 = 'Depositada' and Col9 = '""&amp;K294&amp;""' and Col6 ="&amp;" ""&amp;M294&amp;"" and Col4 = date '""&amp;YEAR(C294)&amp;""-""&amp;MONTH(C294)&amp;""-""&amp;DAY(C294)&amp;""'""))&gt;0,""Depositada"",if(sum(QUERY(IMPORTRANGE(""https://docs.google.com/spreadsheets/d/1EcLIvUgMoBC5as4ikW0wuQsGH5yVZ6cQ1y16qEfgPnk"",""BD M Sangrias!a:i""),""select Col6 whe"&amp;"re Col7 = 'Caixa Atendimento' and Col9 = '""&amp;K294&amp;""' and Col6 = ""&amp;M294&amp;"" and Col4 = date '""&amp;YEAR(C294)&amp;""-""&amp;MONTH(C294)&amp;""-""&amp;DAY(C294)&amp;""'""))&gt;0,""Caixa Atendimento"",""Caixa Sangria"")),""""),""Caixa Sangria"")"),"")</f>
        <v/>
      </c>
      <c r="M294" s="185" t="str">
        <f>IFERROR(__xludf.DUMMYFUNCTION("ifna(VALUE(REGEXEXTRACT(E294,""[0-9.]+[,]+[0-9]+"")))"),"")</f>
        <v/>
      </c>
      <c r="N294" s="185"/>
      <c r="O294" s="185"/>
      <c r="P294" s="185"/>
      <c r="Q294" s="185"/>
      <c r="R294" s="185"/>
      <c r="S294" s="185"/>
      <c r="T294" s="185"/>
      <c r="U294" s="185"/>
      <c r="V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184" t="str">
        <f>IFERROR(__xludf.DUMMYFUNCTION("ifna(IF(and(D295=""Saída"",J295=""Sangria""),if(sum(QUERY(IMPORTRANGE(""https://docs.google.com/spreadsheets/d/1E4szPcLzsqlw4uyBAoJ61L1ChCgpz4wVP8tHfHW1g_c"",""BD M Sangrias!a:i""),""select Col6 where Col7 = 'Depositada' and Col9 = '""&amp;K295&amp;""' and Col6 ="&amp;" ""&amp;M295&amp;"" and Col4 = date '""&amp;YEAR(C295)&amp;""-""&amp;MONTH(C295)&amp;""-""&amp;DAY(C295)&amp;""'""))&gt;0,""Depositada"",if(sum(QUERY(IMPORTRANGE(""https://docs.google.com/spreadsheets/d/1EcLIvUgMoBC5as4ikW0wuQsGH5yVZ6cQ1y16qEfgPnk"",""BD M Sangrias!a:i""),""select Col6 whe"&amp;"re Col7 = 'Caixa Atendimento' and Col9 = '""&amp;K295&amp;""' and Col6 = ""&amp;M295&amp;"" and Col4 = date '""&amp;YEAR(C295)&amp;""-""&amp;MONTH(C295)&amp;""-""&amp;DAY(C295)&amp;""'""))&gt;0,""Caixa Atendimento"",""Caixa Sangria"")),""""),""Caixa Sangria"")"),"")</f>
        <v/>
      </c>
      <c r="M295" s="185" t="str">
        <f>IFERROR(__xludf.DUMMYFUNCTION("ifna(VALUE(REGEXEXTRACT(E295,""[0-9.]+[,]+[0-9]+"")))"),"")</f>
        <v/>
      </c>
      <c r="N295" s="185"/>
      <c r="O295" s="185"/>
      <c r="P295" s="185"/>
      <c r="Q295" s="185"/>
      <c r="R295" s="185"/>
      <c r="S295" s="185"/>
      <c r="T295" s="185"/>
      <c r="U295" s="185"/>
      <c r="V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184" t="str">
        <f>IFERROR(__xludf.DUMMYFUNCTION("ifna(IF(and(D296=""Saída"",J296=""Sangria""),if(sum(QUERY(IMPORTRANGE(""https://docs.google.com/spreadsheets/d/1E4szPcLzsqlw4uyBAoJ61L1ChCgpz4wVP8tHfHW1g_c"",""BD M Sangrias!a:i""),""select Col6 where Col7 = 'Depositada' and Col9 = '""&amp;K296&amp;""' and Col6 ="&amp;" ""&amp;M296&amp;"" and Col4 = date '""&amp;YEAR(C296)&amp;""-""&amp;MONTH(C296)&amp;""-""&amp;DAY(C296)&amp;""'""))&gt;0,""Depositada"",if(sum(QUERY(IMPORTRANGE(""https://docs.google.com/spreadsheets/d/1EcLIvUgMoBC5as4ikW0wuQsGH5yVZ6cQ1y16qEfgPnk"",""BD M Sangrias!a:i""),""select Col6 whe"&amp;"re Col7 = 'Caixa Atendimento' and Col9 = '""&amp;K296&amp;""' and Col6 = ""&amp;M296&amp;"" and Col4 = date '""&amp;YEAR(C296)&amp;""-""&amp;MONTH(C296)&amp;""-""&amp;DAY(C296)&amp;""'""))&gt;0,""Caixa Atendimento"",""Caixa Sangria"")),""""),""Caixa Sangria"")"),"")</f>
        <v/>
      </c>
      <c r="M296" s="185" t="str">
        <f>IFERROR(__xludf.DUMMYFUNCTION("ifna(VALUE(REGEXEXTRACT(E296,""[0-9.]+[,]+[0-9]+"")))"),"")</f>
        <v/>
      </c>
      <c r="N296" s="185"/>
      <c r="O296" s="185"/>
      <c r="P296" s="185"/>
      <c r="Q296" s="185"/>
      <c r="R296" s="185"/>
      <c r="S296" s="185"/>
      <c r="T296" s="185"/>
      <c r="U296" s="185"/>
      <c r="V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184" t="str">
        <f>IFERROR(__xludf.DUMMYFUNCTION("ifna(IF(and(D297=""Saída"",J297=""Sangria""),if(sum(QUERY(IMPORTRANGE(""https://docs.google.com/spreadsheets/d/1E4szPcLzsqlw4uyBAoJ61L1ChCgpz4wVP8tHfHW1g_c"",""BD M Sangrias!a:i""),""select Col6 where Col7 = 'Depositada' and Col9 = '""&amp;K297&amp;""' and Col6 ="&amp;" ""&amp;M297&amp;"" and Col4 = date '""&amp;YEAR(C297)&amp;""-""&amp;MONTH(C297)&amp;""-""&amp;DAY(C297)&amp;""'""))&gt;0,""Depositada"",if(sum(QUERY(IMPORTRANGE(""https://docs.google.com/spreadsheets/d/1EcLIvUgMoBC5as4ikW0wuQsGH5yVZ6cQ1y16qEfgPnk"",""BD M Sangrias!a:i""),""select Col6 whe"&amp;"re Col7 = 'Caixa Atendimento' and Col9 = '""&amp;K297&amp;""' and Col6 = ""&amp;M297&amp;"" and Col4 = date '""&amp;YEAR(C297)&amp;""-""&amp;MONTH(C297)&amp;""-""&amp;DAY(C297)&amp;""'""))&gt;0,""Caixa Atendimento"",""Caixa Sangria"")),""""),""Caixa Sangria"")"),"")</f>
        <v/>
      </c>
      <c r="M297" s="185" t="str">
        <f>IFERROR(__xludf.DUMMYFUNCTION("ifna(VALUE(REGEXEXTRACT(E297,""[0-9.]+[,]+[0-9]+"")))"),"")</f>
        <v/>
      </c>
      <c r="N297" s="185"/>
      <c r="O297" s="185"/>
      <c r="P297" s="185"/>
      <c r="Q297" s="185"/>
      <c r="R297" s="185"/>
      <c r="S297" s="185"/>
      <c r="T297" s="185"/>
      <c r="U297" s="185"/>
      <c r="V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184" t="str">
        <f>IFERROR(__xludf.DUMMYFUNCTION("ifna(IF(and(D298=""Saída"",J298=""Sangria""),if(sum(QUERY(IMPORTRANGE(""https://docs.google.com/spreadsheets/d/1E4szPcLzsqlw4uyBAoJ61L1ChCgpz4wVP8tHfHW1g_c"",""BD M Sangrias!a:i""),""select Col6 where Col7 = 'Depositada' and Col9 = '""&amp;K298&amp;""' and Col6 ="&amp;" ""&amp;M298&amp;"" and Col4 = date '""&amp;YEAR(C298)&amp;""-""&amp;MONTH(C298)&amp;""-""&amp;DAY(C298)&amp;""'""))&gt;0,""Depositada"",if(sum(QUERY(IMPORTRANGE(""https://docs.google.com/spreadsheets/d/1EcLIvUgMoBC5as4ikW0wuQsGH5yVZ6cQ1y16qEfgPnk"",""BD M Sangrias!a:i""),""select Col6 whe"&amp;"re Col7 = 'Caixa Atendimento' and Col9 = '""&amp;K298&amp;""' and Col6 = ""&amp;M298&amp;"" and Col4 = date '""&amp;YEAR(C298)&amp;""-""&amp;MONTH(C298)&amp;""-""&amp;DAY(C298)&amp;""'""))&gt;0,""Caixa Atendimento"",""Caixa Sangria"")),""""),""Caixa Sangria"")"),"")</f>
        <v/>
      </c>
      <c r="M298" s="185" t="str">
        <f>IFERROR(__xludf.DUMMYFUNCTION("ifna(VALUE(REGEXEXTRACT(E298,""[0-9.]+[,]+[0-9]+"")))"),"")</f>
        <v/>
      </c>
      <c r="N298" s="185"/>
      <c r="O298" s="185"/>
      <c r="P298" s="185"/>
      <c r="Q298" s="185"/>
      <c r="R298" s="185"/>
      <c r="S298" s="185"/>
      <c r="T298" s="185"/>
      <c r="U298" s="185"/>
      <c r="V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184" t="str">
        <f>IFERROR(__xludf.DUMMYFUNCTION("ifna(IF(and(D299=""Saída"",J299=""Sangria""),if(sum(QUERY(IMPORTRANGE(""https://docs.google.com/spreadsheets/d/1E4szPcLzsqlw4uyBAoJ61L1ChCgpz4wVP8tHfHW1g_c"",""BD M Sangrias!a:i""),""select Col6 where Col7 = 'Depositada' and Col9 = '""&amp;K299&amp;""' and Col6 ="&amp;" ""&amp;M299&amp;"" and Col4 = date '""&amp;YEAR(C299)&amp;""-""&amp;MONTH(C299)&amp;""-""&amp;DAY(C299)&amp;""'""))&gt;0,""Depositada"",if(sum(QUERY(IMPORTRANGE(""https://docs.google.com/spreadsheets/d/1EcLIvUgMoBC5as4ikW0wuQsGH5yVZ6cQ1y16qEfgPnk"",""BD M Sangrias!a:i""),""select Col6 whe"&amp;"re Col7 = 'Caixa Atendimento' and Col9 = '""&amp;K299&amp;""' and Col6 = ""&amp;M299&amp;"" and Col4 = date '""&amp;YEAR(C299)&amp;""-""&amp;MONTH(C299)&amp;""-""&amp;DAY(C299)&amp;""'""))&gt;0,""Caixa Atendimento"",""Caixa Sangria"")),""""),""Caixa Sangria"")"),"")</f>
        <v/>
      </c>
      <c r="M299" s="185" t="str">
        <f>IFERROR(__xludf.DUMMYFUNCTION("ifna(VALUE(REGEXEXTRACT(E299,""[0-9.]+[,]+[0-9]+"")))"),"")</f>
        <v/>
      </c>
      <c r="N299" s="185"/>
      <c r="O299" s="185"/>
      <c r="P299" s="185"/>
      <c r="Q299" s="185"/>
      <c r="R299" s="185"/>
      <c r="S299" s="185"/>
      <c r="T299" s="185"/>
      <c r="U299" s="185"/>
      <c r="V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184" t="str">
        <f>IFERROR(__xludf.DUMMYFUNCTION("ifna(IF(and(D300=""Saída"",J300=""Sangria""),if(sum(QUERY(IMPORTRANGE(""https://docs.google.com/spreadsheets/d/1E4szPcLzsqlw4uyBAoJ61L1ChCgpz4wVP8tHfHW1g_c"",""BD M Sangrias!a:i""),""select Col6 where Col7 = 'Depositada' and Col9 = '""&amp;K300&amp;""' and Col6 ="&amp;" ""&amp;M300&amp;"" and Col4 = date '""&amp;YEAR(C300)&amp;""-""&amp;MONTH(C300)&amp;""-""&amp;DAY(C300)&amp;""'""))&gt;0,""Depositada"",if(sum(QUERY(IMPORTRANGE(""https://docs.google.com/spreadsheets/d/1EcLIvUgMoBC5as4ikW0wuQsGH5yVZ6cQ1y16qEfgPnk"",""BD M Sangrias!a:i""),""select Col6 whe"&amp;"re Col7 = 'Caixa Atendimento' and Col9 = '""&amp;K300&amp;""' and Col6 = ""&amp;M300&amp;"" and Col4 = date '""&amp;YEAR(C300)&amp;""-""&amp;MONTH(C300)&amp;""-""&amp;DAY(C300)&amp;""'""))&gt;0,""Caixa Atendimento"",""Caixa Sangria"")),""""),""Caixa Sangria"")"),"")</f>
        <v/>
      </c>
      <c r="M300" s="185" t="str">
        <f>IFERROR(__xludf.DUMMYFUNCTION("ifna(VALUE(REGEXEXTRACT(E300,""[0-9.]+[,]+[0-9]+"")))"),"")</f>
        <v/>
      </c>
      <c r="N300" s="185"/>
      <c r="O300" s="185"/>
      <c r="P300" s="185"/>
      <c r="Q300" s="185"/>
      <c r="R300" s="185"/>
      <c r="S300" s="185"/>
      <c r="T300" s="185"/>
      <c r="U300" s="185"/>
      <c r="V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184" t="str">
        <f>IFERROR(__xludf.DUMMYFUNCTION("ifna(IF(and(D301=""Saída"",J301=""Sangria""),if(sum(QUERY(IMPORTRANGE(""https://docs.google.com/spreadsheets/d/1E4szPcLzsqlw4uyBAoJ61L1ChCgpz4wVP8tHfHW1g_c"",""BD M Sangrias!a:i""),""select Col6 where Col7 = 'Depositada' and Col9 = '""&amp;K301&amp;""' and Col6 ="&amp;" ""&amp;M301&amp;"" and Col4 = date '""&amp;YEAR(C301)&amp;""-""&amp;MONTH(C301)&amp;""-""&amp;DAY(C301)&amp;""'""))&gt;0,""Depositada"",if(sum(QUERY(IMPORTRANGE(""https://docs.google.com/spreadsheets/d/1EcLIvUgMoBC5as4ikW0wuQsGH5yVZ6cQ1y16qEfgPnk"",""BD M Sangrias!a:i""),""select Col6 whe"&amp;"re Col7 = 'Caixa Atendimento' and Col9 = '""&amp;K301&amp;""' and Col6 = ""&amp;M301&amp;"" and Col4 = date '""&amp;YEAR(C301)&amp;""-""&amp;MONTH(C301)&amp;""-""&amp;DAY(C301)&amp;""'""))&gt;0,""Caixa Atendimento"",""Caixa Sangria"")),""""),""Caixa Sangria"")"),"")</f>
        <v/>
      </c>
      <c r="M301" s="185" t="str">
        <f>IFERROR(__xludf.DUMMYFUNCTION("ifna(VALUE(REGEXEXTRACT(E301,""[0-9.]+[,]+[0-9]+"")))"),"")</f>
        <v/>
      </c>
      <c r="N301" s="185"/>
      <c r="O301" s="185"/>
      <c r="P301" s="185"/>
      <c r="Q301" s="185"/>
      <c r="R301" s="185"/>
      <c r="S301" s="185"/>
      <c r="T301" s="185"/>
      <c r="U301" s="185"/>
      <c r="V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184" t="str">
        <f>IFERROR(__xludf.DUMMYFUNCTION("ifna(IF(and(D302=""Saída"",J302=""Sangria""),if(sum(QUERY(IMPORTRANGE(""https://docs.google.com/spreadsheets/d/1E4szPcLzsqlw4uyBAoJ61L1ChCgpz4wVP8tHfHW1g_c"",""BD M Sangrias!a:i""),""select Col6 where Col7 = 'Depositada' and Col9 = '""&amp;K302&amp;""' and Col6 ="&amp;" ""&amp;M302&amp;"" and Col4 = date '""&amp;YEAR(C302)&amp;""-""&amp;MONTH(C302)&amp;""-""&amp;DAY(C302)&amp;""'""))&gt;0,""Depositada"",if(sum(QUERY(IMPORTRANGE(""https://docs.google.com/spreadsheets/d/1EcLIvUgMoBC5as4ikW0wuQsGH5yVZ6cQ1y16qEfgPnk"",""BD M Sangrias!a:i""),""select Col6 whe"&amp;"re Col7 = 'Caixa Atendimento' and Col9 = '""&amp;K302&amp;""' and Col6 = ""&amp;M302&amp;"" and Col4 = date '""&amp;YEAR(C302)&amp;""-""&amp;MONTH(C302)&amp;""-""&amp;DAY(C302)&amp;""'""))&gt;0,""Caixa Atendimento"",""Caixa Sangria"")),""""),""Caixa Sangria"")"),"")</f>
        <v/>
      </c>
      <c r="M302" s="185" t="str">
        <f>IFERROR(__xludf.DUMMYFUNCTION("ifna(VALUE(REGEXEXTRACT(E302,""[0-9.]+[,]+[0-9]+"")))"),"")</f>
        <v/>
      </c>
      <c r="N302" s="185"/>
      <c r="O302" s="185"/>
      <c r="P302" s="185"/>
      <c r="Q302" s="185"/>
      <c r="R302" s="185"/>
      <c r="S302" s="185"/>
      <c r="T302" s="185"/>
      <c r="U302" s="185"/>
      <c r="V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184" t="str">
        <f>IFERROR(__xludf.DUMMYFUNCTION("ifna(IF(and(D303=""Saída"",J303=""Sangria""),if(sum(QUERY(IMPORTRANGE(""https://docs.google.com/spreadsheets/d/1E4szPcLzsqlw4uyBAoJ61L1ChCgpz4wVP8tHfHW1g_c"",""BD M Sangrias!a:i""),""select Col6 where Col7 = 'Depositada' and Col9 = '""&amp;K303&amp;""' and Col6 ="&amp;" ""&amp;M303&amp;"" and Col4 = date '""&amp;YEAR(C303)&amp;""-""&amp;MONTH(C303)&amp;""-""&amp;DAY(C303)&amp;""'""))&gt;0,""Depositada"",if(sum(QUERY(IMPORTRANGE(""https://docs.google.com/spreadsheets/d/1EcLIvUgMoBC5as4ikW0wuQsGH5yVZ6cQ1y16qEfgPnk"",""BD M Sangrias!a:i""),""select Col6 whe"&amp;"re Col7 = 'Caixa Atendimento' and Col9 = '""&amp;K303&amp;""' and Col6 = ""&amp;M303&amp;"" and Col4 = date '""&amp;YEAR(C303)&amp;""-""&amp;MONTH(C303)&amp;""-""&amp;DAY(C303)&amp;""'""))&gt;0,""Caixa Atendimento"",""Caixa Sangria"")),""""),""Caixa Sangria"")"),"")</f>
        <v/>
      </c>
      <c r="M303" s="185" t="str">
        <f>IFERROR(__xludf.DUMMYFUNCTION("ifna(VALUE(REGEXEXTRACT(E303,""[0-9.]+[,]+[0-9]+"")))"),"")</f>
        <v/>
      </c>
      <c r="N303" s="185"/>
      <c r="O303" s="185"/>
      <c r="P303" s="185"/>
      <c r="Q303" s="185"/>
      <c r="R303" s="185"/>
      <c r="S303" s="185"/>
      <c r="T303" s="185"/>
      <c r="U303" s="185"/>
      <c r="V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184" t="str">
        <f>IFERROR(__xludf.DUMMYFUNCTION("ifna(IF(and(D304=""Saída"",J304=""Sangria""),if(sum(QUERY(IMPORTRANGE(""https://docs.google.com/spreadsheets/d/1E4szPcLzsqlw4uyBAoJ61L1ChCgpz4wVP8tHfHW1g_c"",""BD M Sangrias!a:i""),""select Col6 where Col7 = 'Depositada' and Col9 = '""&amp;K304&amp;""' and Col6 ="&amp;" ""&amp;M304&amp;"" and Col4 = date '""&amp;YEAR(C304)&amp;""-""&amp;MONTH(C304)&amp;""-""&amp;DAY(C304)&amp;""'""))&gt;0,""Depositada"",if(sum(QUERY(IMPORTRANGE(""https://docs.google.com/spreadsheets/d/1EcLIvUgMoBC5as4ikW0wuQsGH5yVZ6cQ1y16qEfgPnk"",""BD M Sangrias!a:i""),""select Col6 whe"&amp;"re Col7 = 'Caixa Atendimento' and Col9 = '""&amp;K304&amp;""' and Col6 = ""&amp;M304&amp;"" and Col4 = date '""&amp;YEAR(C304)&amp;""-""&amp;MONTH(C304)&amp;""-""&amp;DAY(C304)&amp;""'""))&gt;0,""Caixa Atendimento"",""Caixa Sangria"")),""""),""Caixa Sangria"")"),"")</f>
        <v/>
      </c>
      <c r="M304" s="185" t="str">
        <f>IFERROR(__xludf.DUMMYFUNCTION("ifna(VALUE(REGEXEXTRACT(E304,""[0-9.]+[,]+[0-9]+"")))"),"")</f>
        <v/>
      </c>
      <c r="N304" s="185"/>
      <c r="O304" s="185"/>
      <c r="P304" s="185"/>
      <c r="Q304" s="185"/>
      <c r="R304" s="185"/>
      <c r="S304" s="185"/>
      <c r="T304" s="185"/>
      <c r="U304" s="185"/>
      <c r="V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184" t="str">
        <f>IFERROR(__xludf.DUMMYFUNCTION("ifna(IF(and(D305=""Saída"",J305=""Sangria""),if(sum(QUERY(IMPORTRANGE(""https://docs.google.com/spreadsheets/d/1E4szPcLzsqlw4uyBAoJ61L1ChCgpz4wVP8tHfHW1g_c"",""BD M Sangrias!a:i""),""select Col6 where Col7 = 'Depositada' and Col9 = '""&amp;K305&amp;""' and Col6 ="&amp;" ""&amp;M305&amp;"" and Col4 = date '""&amp;YEAR(C305)&amp;""-""&amp;MONTH(C305)&amp;""-""&amp;DAY(C305)&amp;""'""))&gt;0,""Depositada"",if(sum(QUERY(IMPORTRANGE(""https://docs.google.com/spreadsheets/d/1EcLIvUgMoBC5as4ikW0wuQsGH5yVZ6cQ1y16qEfgPnk"",""BD M Sangrias!a:i""),""select Col6 whe"&amp;"re Col7 = 'Caixa Atendimento' and Col9 = '""&amp;K305&amp;""' and Col6 = ""&amp;M305&amp;"" and Col4 = date '""&amp;YEAR(C305)&amp;""-""&amp;MONTH(C305)&amp;""-""&amp;DAY(C305)&amp;""'""))&gt;0,""Caixa Atendimento"",""Caixa Sangria"")),""""),""Caixa Sangria"")"),"")</f>
        <v/>
      </c>
      <c r="M305" s="185" t="str">
        <f>IFERROR(__xludf.DUMMYFUNCTION("ifna(VALUE(REGEXEXTRACT(E305,""[0-9.]+[,]+[0-9]+"")))"),"")</f>
        <v/>
      </c>
      <c r="N305" s="185"/>
      <c r="O305" s="185"/>
      <c r="P305" s="185"/>
      <c r="Q305" s="185"/>
      <c r="R305" s="185"/>
      <c r="S305" s="185"/>
      <c r="T305" s="185"/>
      <c r="U305" s="185"/>
      <c r="V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184" t="str">
        <f>IFERROR(__xludf.DUMMYFUNCTION("ifna(IF(and(D306=""Saída"",J306=""Sangria""),if(sum(QUERY(IMPORTRANGE(""https://docs.google.com/spreadsheets/d/1E4szPcLzsqlw4uyBAoJ61L1ChCgpz4wVP8tHfHW1g_c"",""BD M Sangrias!a:i""),""select Col6 where Col7 = 'Depositada' and Col9 = '""&amp;K306&amp;""' and Col6 ="&amp;" ""&amp;M306&amp;"" and Col4 = date '""&amp;YEAR(C306)&amp;""-""&amp;MONTH(C306)&amp;""-""&amp;DAY(C306)&amp;""'""))&gt;0,""Depositada"",if(sum(QUERY(IMPORTRANGE(""https://docs.google.com/spreadsheets/d/1EcLIvUgMoBC5as4ikW0wuQsGH5yVZ6cQ1y16qEfgPnk"",""BD M Sangrias!a:i""),""select Col6 whe"&amp;"re Col7 = 'Caixa Atendimento' and Col9 = '""&amp;K306&amp;""' and Col6 = ""&amp;M306&amp;"" and Col4 = date '""&amp;YEAR(C306)&amp;""-""&amp;MONTH(C306)&amp;""-""&amp;DAY(C306)&amp;""'""))&gt;0,""Caixa Atendimento"",""Caixa Sangria"")),""""),""Caixa Sangria"")"),"")</f>
        <v/>
      </c>
      <c r="M306" s="185" t="str">
        <f>IFERROR(__xludf.DUMMYFUNCTION("ifna(VALUE(REGEXEXTRACT(E306,""[0-9.]+[,]+[0-9]+"")))"),"")</f>
        <v/>
      </c>
      <c r="N306" s="185"/>
      <c r="O306" s="185"/>
      <c r="P306" s="185"/>
      <c r="Q306" s="185"/>
      <c r="R306" s="185"/>
      <c r="S306" s="185"/>
      <c r="T306" s="185"/>
      <c r="U306" s="185"/>
      <c r="V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184" t="str">
        <f>IFERROR(__xludf.DUMMYFUNCTION("ifna(IF(and(D307=""Saída"",J307=""Sangria""),if(sum(QUERY(IMPORTRANGE(""https://docs.google.com/spreadsheets/d/1E4szPcLzsqlw4uyBAoJ61L1ChCgpz4wVP8tHfHW1g_c"",""BD M Sangrias!a:i""),""select Col6 where Col7 = 'Depositada' and Col9 = '""&amp;K307&amp;""' and Col6 ="&amp;" ""&amp;M307&amp;"" and Col4 = date '""&amp;YEAR(C307)&amp;""-""&amp;MONTH(C307)&amp;""-""&amp;DAY(C307)&amp;""'""))&gt;0,""Depositada"",if(sum(QUERY(IMPORTRANGE(""https://docs.google.com/spreadsheets/d/1EcLIvUgMoBC5as4ikW0wuQsGH5yVZ6cQ1y16qEfgPnk"",""BD M Sangrias!a:i""),""select Col6 whe"&amp;"re Col7 = 'Caixa Atendimento' and Col9 = '""&amp;K307&amp;""' and Col6 = ""&amp;M307&amp;"" and Col4 = date '""&amp;YEAR(C307)&amp;""-""&amp;MONTH(C307)&amp;""-""&amp;DAY(C307)&amp;""'""))&gt;0,""Caixa Atendimento"",""Caixa Sangria"")),""""),""Caixa Sangria"")"),"")</f>
        <v/>
      </c>
      <c r="M307" s="185" t="str">
        <f>IFERROR(__xludf.DUMMYFUNCTION("ifna(VALUE(REGEXEXTRACT(E307,""[0-9.]+[,]+[0-9]+"")))"),"")</f>
        <v/>
      </c>
      <c r="N307" s="185"/>
      <c r="O307" s="185"/>
      <c r="P307" s="185"/>
      <c r="Q307" s="185"/>
      <c r="R307" s="185"/>
      <c r="S307" s="185"/>
      <c r="T307" s="185"/>
      <c r="U307" s="185"/>
      <c r="V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184" t="str">
        <f>IFERROR(__xludf.DUMMYFUNCTION("ifna(IF(and(D308=""Saída"",J308=""Sangria""),if(sum(QUERY(IMPORTRANGE(""https://docs.google.com/spreadsheets/d/1E4szPcLzsqlw4uyBAoJ61L1ChCgpz4wVP8tHfHW1g_c"",""BD M Sangrias!a:i""),""select Col6 where Col7 = 'Depositada' and Col9 = '""&amp;K308&amp;""' and Col6 ="&amp;" ""&amp;M308&amp;"" and Col4 = date '""&amp;YEAR(C308)&amp;""-""&amp;MONTH(C308)&amp;""-""&amp;DAY(C308)&amp;""'""))&gt;0,""Depositada"",if(sum(QUERY(IMPORTRANGE(""https://docs.google.com/spreadsheets/d/1EcLIvUgMoBC5as4ikW0wuQsGH5yVZ6cQ1y16qEfgPnk"",""BD M Sangrias!a:i""),""select Col6 whe"&amp;"re Col7 = 'Caixa Atendimento' and Col9 = '""&amp;K308&amp;""' and Col6 = ""&amp;M308&amp;"" and Col4 = date '""&amp;YEAR(C308)&amp;""-""&amp;MONTH(C308)&amp;""-""&amp;DAY(C308)&amp;""'""))&gt;0,""Caixa Atendimento"",""Caixa Sangria"")),""""),""Caixa Sangria"")"),"")</f>
        <v/>
      </c>
      <c r="M308" s="185" t="str">
        <f>IFERROR(__xludf.DUMMYFUNCTION("ifna(VALUE(REGEXEXTRACT(E308,""[0-9.]+[,]+[0-9]+"")))"),"")</f>
        <v/>
      </c>
      <c r="N308" s="185"/>
      <c r="O308" s="185"/>
      <c r="P308" s="185"/>
      <c r="Q308" s="185"/>
      <c r="R308" s="185"/>
      <c r="S308" s="185"/>
      <c r="T308" s="185"/>
      <c r="U308" s="185"/>
      <c r="V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184" t="str">
        <f>IFERROR(__xludf.DUMMYFUNCTION("ifna(IF(and(D309=""Saída"",J309=""Sangria""),if(sum(QUERY(IMPORTRANGE(""https://docs.google.com/spreadsheets/d/1E4szPcLzsqlw4uyBAoJ61L1ChCgpz4wVP8tHfHW1g_c"",""BD M Sangrias!a:i""),""select Col6 where Col7 = 'Depositada' and Col9 = '""&amp;K309&amp;""' and Col6 ="&amp;" ""&amp;M309&amp;"" and Col4 = date '""&amp;YEAR(C309)&amp;""-""&amp;MONTH(C309)&amp;""-""&amp;DAY(C309)&amp;""'""))&gt;0,""Depositada"",if(sum(QUERY(IMPORTRANGE(""https://docs.google.com/spreadsheets/d/1EcLIvUgMoBC5as4ikW0wuQsGH5yVZ6cQ1y16qEfgPnk"",""BD M Sangrias!a:i""),""select Col6 whe"&amp;"re Col7 = 'Caixa Atendimento' and Col9 = '""&amp;K309&amp;""' and Col6 = ""&amp;M309&amp;"" and Col4 = date '""&amp;YEAR(C309)&amp;""-""&amp;MONTH(C309)&amp;""-""&amp;DAY(C309)&amp;""'""))&gt;0,""Caixa Atendimento"",""Caixa Sangria"")),""""),""Caixa Sangria"")"),"")</f>
        <v/>
      </c>
      <c r="M309" s="185" t="str">
        <f>IFERROR(__xludf.DUMMYFUNCTION("ifna(VALUE(REGEXEXTRACT(E309,""[0-9.]+[,]+[0-9]+"")))"),"")</f>
        <v/>
      </c>
      <c r="N309" s="185"/>
      <c r="O309" s="185"/>
      <c r="P309" s="185"/>
      <c r="Q309" s="185"/>
      <c r="R309" s="185"/>
      <c r="S309" s="185"/>
      <c r="T309" s="185"/>
      <c r="U309" s="185"/>
      <c r="V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184" t="str">
        <f>IFERROR(__xludf.DUMMYFUNCTION("ifna(IF(and(D310=""Saída"",J310=""Sangria""),if(sum(QUERY(IMPORTRANGE(""https://docs.google.com/spreadsheets/d/1E4szPcLzsqlw4uyBAoJ61L1ChCgpz4wVP8tHfHW1g_c"",""BD M Sangrias!a:i""),""select Col6 where Col7 = 'Depositada' and Col9 = '""&amp;K310&amp;""' and Col6 ="&amp;" ""&amp;M310&amp;"" and Col4 = date '""&amp;YEAR(C310)&amp;""-""&amp;MONTH(C310)&amp;""-""&amp;DAY(C310)&amp;""'""))&gt;0,""Depositada"",if(sum(QUERY(IMPORTRANGE(""https://docs.google.com/spreadsheets/d/1EcLIvUgMoBC5as4ikW0wuQsGH5yVZ6cQ1y16qEfgPnk"",""BD M Sangrias!a:i""),""select Col6 whe"&amp;"re Col7 = 'Caixa Atendimento' and Col9 = '""&amp;K310&amp;""' and Col6 = ""&amp;M310&amp;"" and Col4 = date '""&amp;YEAR(C310)&amp;""-""&amp;MONTH(C310)&amp;""-""&amp;DAY(C310)&amp;""'""))&gt;0,""Caixa Atendimento"",""Caixa Sangria"")),""""),""Caixa Sangria"")"),"")</f>
        <v/>
      </c>
      <c r="M310" s="185" t="str">
        <f>IFERROR(__xludf.DUMMYFUNCTION("ifna(VALUE(REGEXEXTRACT(E310,""[0-9.]+[,]+[0-9]+"")))"),"")</f>
        <v/>
      </c>
      <c r="N310" s="185"/>
      <c r="O310" s="185"/>
      <c r="P310" s="185"/>
      <c r="Q310" s="185"/>
      <c r="R310" s="185"/>
      <c r="S310" s="185"/>
      <c r="T310" s="185"/>
      <c r="U310" s="185"/>
      <c r="V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184" t="str">
        <f>IFERROR(__xludf.DUMMYFUNCTION("ifna(IF(and(D311=""Saída"",J311=""Sangria""),if(sum(QUERY(IMPORTRANGE(""https://docs.google.com/spreadsheets/d/1E4szPcLzsqlw4uyBAoJ61L1ChCgpz4wVP8tHfHW1g_c"",""BD M Sangrias!a:i""),""select Col6 where Col7 = 'Depositada' and Col9 = '""&amp;K311&amp;""' and Col6 ="&amp;" ""&amp;M311&amp;"" and Col4 = date '""&amp;YEAR(C311)&amp;""-""&amp;MONTH(C311)&amp;""-""&amp;DAY(C311)&amp;""'""))&gt;0,""Depositada"",if(sum(QUERY(IMPORTRANGE(""https://docs.google.com/spreadsheets/d/1EcLIvUgMoBC5as4ikW0wuQsGH5yVZ6cQ1y16qEfgPnk"",""BD M Sangrias!a:i""),""select Col6 whe"&amp;"re Col7 = 'Caixa Atendimento' and Col9 = '""&amp;K311&amp;""' and Col6 = ""&amp;M311&amp;"" and Col4 = date '""&amp;YEAR(C311)&amp;""-""&amp;MONTH(C311)&amp;""-""&amp;DAY(C311)&amp;""'""))&gt;0,""Caixa Atendimento"",""Caixa Sangria"")),""""),""Caixa Sangria"")"),"")</f>
        <v/>
      </c>
      <c r="M311" s="185" t="str">
        <f>IFERROR(__xludf.DUMMYFUNCTION("ifna(VALUE(REGEXEXTRACT(E311,""[0-9.]+[,]+[0-9]+"")))"),"")</f>
        <v/>
      </c>
      <c r="N311" s="185"/>
      <c r="O311" s="185"/>
      <c r="P311" s="185"/>
      <c r="Q311" s="185"/>
      <c r="R311" s="185"/>
      <c r="S311" s="185"/>
      <c r="T311" s="185"/>
      <c r="U311" s="185"/>
      <c r="V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184" t="str">
        <f>IFERROR(__xludf.DUMMYFUNCTION("ifna(IF(and(D312=""Saída"",J312=""Sangria""),if(sum(QUERY(IMPORTRANGE(""https://docs.google.com/spreadsheets/d/1E4szPcLzsqlw4uyBAoJ61L1ChCgpz4wVP8tHfHW1g_c"",""BD M Sangrias!a:i""),""select Col6 where Col7 = 'Depositada' and Col9 = '""&amp;K312&amp;""' and Col6 ="&amp;" ""&amp;M312&amp;"" and Col4 = date '""&amp;YEAR(C312)&amp;""-""&amp;MONTH(C312)&amp;""-""&amp;DAY(C312)&amp;""'""))&gt;0,""Depositada"",if(sum(QUERY(IMPORTRANGE(""https://docs.google.com/spreadsheets/d/1EcLIvUgMoBC5as4ikW0wuQsGH5yVZ6cQ1y16qEfgPnk"",""BD M Sangrias!a:i""),""select Col6 whe"&amp;"re Col7 = 'Caixa Atendimento' and Col9 = '""&amp;K312&amp;""' and Col6 = ""&amp;M312&amp;"" and Col4 = date '""&amp;YEAR(C312)&amp;""-""&amp;MONTH(C312)&amp;""-""&amp;DAY(C312)&amp;""'""))&gt;0,""Caixa Atendimento"",""Caixa Sangria"")),""""),""Caixa Sangria"")"),"")</f>
        <v/>
      </c>
      <c r="M312" s="185" t="str">
        <f>IFERROR(__xludf.DUMMYFUNCTION("ifna(VALUE(REGEXEXTRACT(E312,""[0-9.]+[,]+[0-9]+"")))"),"")</f>
        <v/>
      </c>
      <c r="N312" s="185"/>
      <c r="O312" s="185"/>
      <c r="P312" s="185"/>
      <c r="Q312" s="185"/>
      <c r="R312" s="185"/>
      <c r="S312" s="185"/>
      <c r="T312" s="185"/>
      <c r="U312" s="185"/>
      <c r="V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184" t="str">
        <f>IFERROR(__xludf.DUMMYFUNCTION("ifna(IF(and(D313=""Saída"",J313=""Sangria""),if(sum(QUERY(IMPORTRANGE(""https://docs.google.com/spreadsheets/d/1E4szPcLzsqlw4uyBAoJ61L1ChCgpz4wVP8tHfHW1g_c"",""BD M Sangrias!a:i""),""select Col6 where Col7 = 'Depositada' and Col9 = '""&amp;K313&amp;""' and Col6 ="&amp;" ""&amp;M313&amp;"" and Col4 = date '""&amp;YEAR(C313)&amp;""-""&amp;MONTH(C313)&amp;""-""&amp;DAY(C313)&amp;""'""))&gt;0,""Depositada"",if(sum(QUERY(IMPORTRANGE(""https://docs.google.com/spreadsheets/d/1EcLIvUgMoBC5as4ikW0wuQsGH5yVZ6cQ1y16qEfgPnk"",""BD M Sangrias!a:i""),""select Col6 whe"&amp;"re Col7 = 'Caixa Atendimento' and Col9 = '""&amp;K313&amp;""' and Col6 = ""&amp;M313&amp;"" and Col4 = date '""&amp;YEAR(C313)&amp;""-""&amp;MONTH(C313)&amp;""-""&amp;DAY(C313)&amp;""'""))&gt;0,""Caixa Atendimento"",""Caixa Sangria"")),""""),""Caixa Sangria"")"),"")</f>
        <v/>
      </c>
      <c r="M313" s="185" t="str">
        <f>IFERROR(__xludf.DUMMYFUNCTION("ifna(VALUE(REGEXEXTRACT(E313,""[0-9.]+[,]+[0-9]+"")))"),"")</f>
        <v/>
      </c>
      <c r="N313" s="185"/>
      <c r="O313" s="185"/>
      <c r="P313" s="185"/>
      <c r="Q313" s="185"/>
      <c r="R313" s="185"/>
      <c r="S313" s="185"/>
      <c r="T313" s="185"/>
      <c r="U313" s="185"/>
      <c r="V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184" t="str">
        <f>IFERROR(__xludf.DUMMYFUNCTION("ifna(IF(and(D314=""Saída"",J314=""Sangria""),if(sum(QUERY(IMPORTRANGE(""https://docs.google.com/spreadsheets/d/1E4szPcLzsqlw4uyBAoJ61L1ChCgpz4wVP8tHfHW1g_c"",""BD M Sangrias!a:i""),""select Col6 where Col7 = 'Depositada' and Col9 = '""&amp;K314&amp;""' and Col6 ="&amp;" ""&amp;M314&amp;"" and Col4 = date '""&amp;YEAR(C314)&amp;""-""&amp;MONTH(C314)&amp;""-""&amp;DAY(C314)&amp;""'""))&gt;0,""Depositada"",if(sum(QUERY(IMPORTRANGE(""https://docs.google.com/spreadsheets/d/1EcLIvUgMoBC5as4ikW0wuQsGH5yVZ6cQ1y16qEfgPnk"",""BD M Sangrias!a:i""),""select Col6 whe"&amp;"re Col7 = 'Caixa Atendimento' and Col9 = '""&amp;K314&amp;""' and Col6 = ""&amp;M314&amp;"" and Col4 = date '""&amp;YEAR(C314)&amp;""-""&amp;MONTH(C314)&amp;""-""&amp;DAY(C314)&amp;""'""))&gt;0,""Caixa Atendimento"",""Caixa Sangria"")),""""),""Caixa Sangria"")"),"")</f>
        <v/>
      </c>
      <c r="M314" s="185" t="str">
        <f>IFERROR(__xludf.DUMMYFUNCTION("ifna(VALUE(REGEXEXTRACT(E314,""[0-9.]+[,]+[0-9]+"")))"),"")</f>
        <v/>
      </c>
      <c r="N314" s="185"/>
      <c r="O314" s="185"/>
      <c r="P314" s="185"/>
      <c r="Q314" s="185"/>
      <c r="R314" s="185"/>
      <c r="S314" s="185"/>
      <c r="T314" s="185"/>
      <c r="U314" s="185"/>
      <c r="V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184" t="str">
        <f>IFERROR(__xludf.DUMMYFUNCTION("ifna(IF(and(D315=""Saída"",J315=""Sangria""),if(sum(QUERY(IMPORTRANGE(""https://docs.google.com/spreadsheets/d/1E4szPcLzsqlw4uyBAoJ61L1ChCgpz4wVP8tHfHW1g_c"",""BD M Sangrias!a:i""),""select Col6 where Col7 = 'Depositada' and Col9 = '""&amp;K315&amp;""' and Col6 ="&amp;" ""&amp;M315&amp;"" and Col4 = date '""&amp;YEAR(C315)&amp;""-""&amp;MONTH(C315)&amp;""-""&amp;DAY(C315)&amp;""'""))&gt;0,""Depositada"",if(sum(QUERY(IMPORTRANGE(""https://docs.google.com/spreadsheets/d/1EcLIvUgMoBC5as4ikW0wuQsGH5yVZ6cQ1y16qEfgPnk"",""BD M Sangrias!a:i""),""select Col6 whe"&amp;"re Col7 = 'Caixa Atendimento' and Col9 = '""&amp;K315&amp;""' and Col6 = ""&amp;M315&amp;"" and Col4 = date '""&amp;YEAR(C315)&amp;""-""&amp;MONTH(C315)&amp;""-""&amp;DAY(C315)&amp;""'""))&gt;0,""Caixa Atendimento"",""Caixa Sangria"")),""""),""Caixa Sangria"")"),"")</f>
        <v/>
      </c>
      <c r="M315" s="185" t="str">
        <f>IFERROR(__xludf.DUMMYFUNCTION("ifna(VALUE(REGEXEXTRACT(E315,""[0-9.]+[,]+[0-9]+"")))"),"")</f>
        <v/>
      </c>
      <c r="N315" s="185"/>
      <c r="O315" s="185"/>
      <c r="P315" s="185"/>
      <c r="Q315" s="185"/>
      <c r="R315" s="185"/>
      <c r="S315" s="185"/>
      <c r="T315" s="185"/>
      <c r="U315" s="185"/>
      <c r="V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184" t="str">
        <f>IFERROR(__xludf.DUMMYFUNCTION("ifna(IF(and(D316=""Saída"",J316=""Sangria""),if(sum(QUERY(IMPORTRANGE(""https://docs.google.com/spreadsheets/d/1E4szPcLzsqlw4uyBAoJ61L1ChCgpz4wVP8tHfHW1g_c"",""BD M Sangrias!a:i""),""select Col6 where Col7 = 'Depositada' and Col9 = '""&amp;K316&amp;""' and Col6 ="&amp;" ""&amp;M316&amp;"" and Col4 = date '""&amp;YEAR(C316)&amp;""-""&amp;MONTH(C316)&amp;""-""&amp;DAY(C316)&amp;""'""))&gt;0,""Depositada"",if(sum(QUERY(IMPORTRANGE(""https://docs.google.com/spreadsheets/d/1EcLIvUgMoBC5as4ikW0wuQsGH5yVZ6cQ1y16qEfgPnk"",""BD M Sangrias!a:i""),""select Col6 whe"&amp;"re Col7 = 'Caixa Atendimento' and Col9 = '""&amp;K316&amp;""' and Col6 = ""&amp;M316&amp;"" and Col4 = date '""&amp;YEAR(C316)&amp;""-""&amp;MONTH(C316)&amp;""-""&amp;DAY(C316)&amp;""'""))&gt;0,""Caixa Atendimento"",""Caixa Sangria"")),""""),""Caixa Sangria"")"),"")</f>
        <v/>
      </c>
      <c r="M316" s="185" t="str">
        <f>IFERROR(__xludf.DUMMYFUNCTION("ifna(VALUE(REGEXEXTRACT(E316,""[0-9.]+[,]+[0-9]+"")))"),"")</f>
        <v/>
      </c>
      <c r="N316" s="185"/>
      <c r="O316" s="185"/>
      <c r="P316" s="185"/>
      <c r="Q316" s="185"/>
      <c r="R316" s="185"/>
      <c r="S316" s="185"/>
      <c r="T316" s="185"/>
      <c r="U316" s="185"/>
      <c r="V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184" t="str">
        <f>IFERROR(__xludf.DUMMYFUNCTION("ifna(IF(and(D317=""Saída"",J317=""Sangria""),if(sum(QUERY(IMPORTRANGE(""https://docs.google.com/spreadsheets/d/1E4szPcLzsqlw4uyBAoJ61L1ChCgpz4wVP8tHfHW1g_c"",""BD M Sangrias!a:i""),""select Col6 where Col7 = 'Depositada' and Col9 = '""&amp;K317&amp;""' and Col6 ="&amp;" ""&amp;M317&amp;"" and Col4 = date '""&amp;YEAR(C317)&amp;""-""&amp;MONTH(C317)&amp;""-""&amp;DAY(C317)&amp;""'""))&gt;0,""Depositada"",if(sum(QUERY(IMPORTRANGE(""https://docs.google.com/spreadsheets/d/1EcLIvUgMoBC5as4ikW0wuQsGH5yVZ6cQ1y16qEfgPnk"",""BD M Sangrias!a:i""),""select Col6 whe"&amp;"re Col7 = 'Caixa Atendimento' and Col9 = '""&amp;K317&amp;""' and Col6 = ""&amp;M317&amp;"" and Col4 = date '""&amp;YEAR(C317)&amp;""-""&amp;MONTH(C317)&amp;""-""&amp;DAY(C317)&amp;""'""))&gt;0,""Caixa Atendimento"",""Caixa Sangria"")),""""),""Caixa Sangria"")"),"")</f>
        <v/>
      </c>
      <c r="M317" s="185" t="str">
        <f>IFERROR(__xludf.DUMMYFUNCTION("ifna(VALUE(REGEXEXTRACT(E317,""[0-9.]+[,]+[0-9]+"")))"),"")</f>
        <v/>
      </c>
      <c r="N317" s="185"/>
      <c r="O317" s="185"/>
      <c r="P317" s="185"/>
      <c r="Q317" s="185"/>
      <c r="R317" s="185"/>
      <c r="S317" s="185"/>
      <c r="T317" s="185"/>
      <c r="U317" s="185"/>
      <c r="V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184" t="str">
        <f>IFERROR(__xludf.DUMMYFUNCTION("ifna(IF(and(D318=""Saída"",J318=""Sangria""),if(sum(QUERY(IMPORTRANGE(""https://docs.google.com/spreadsheets/d/1E4szPcLzsqlw4uyBAoJ61L1ChCgpz4wVP8tHfHW1g_c"",""BD M Sangrias!a:i""),""select Col6 where Col7 = 'Depositada' and Col9 = '""&amp;K318&amp;""' and Col6 ="&amp;" ""&amp;M318&amp;"" and Col4 = date '""&amp;YEAR(C318)&amp;""-""&amp;MONTH(C318)&amp;""-""&amp;DAY(C318)&amp;""'""))&gt;0,""Depositada"",if(sum(QUERY(IMPORTRANGE(""https://docs.google.com/spreadsheets/d/1EcLIvUgMoBC5as4ikW0wuQsGH5yVZ6cQ1y16qEfgPnk"",""BD M Sangrias!a:i""),""select Col6 whe"&amp;"re Col7 = 'Caixa Atendimento' and Col9 = '""&amp;K318&amp;""' and Col6 = ""&amp;M318&amp;"" and Col4 = date '""&amp;YEAR(C318)&amp;""-""&amp;MONTH(C318)&amp;""-""&amp;DAY(C318)&amp;""'""))&gt;0,""Caixa Atendimento"",""Caixa Sangria"")),""""),""Caixa Sangria"")"),"")</f>
        <v/>
      </c>
      <c r="M318" s="185" t="str">
        <f>IFERROR(__xludf.DUMMYFUNCTION("ifna(VALUE(REGEXEXTRACT(E318,""[0-9.]+[,]+[0-9]+"")))"),"")</f>
        <v/>
      </c>
      <c r="N318" s="185"/>
      <c r="O318" s="185"/>
      <c r="P318" s="185"/>
      <c r="Q318" s="185"/>
      <c r="R318" s="185"/>
      <c r="S318" s="185"/>
      <c r="T318" s="185"/>
      <c r="U318" s="185"/>
      <c r="V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184" t="str">
        <f>IFERROR(__xludf.DUMMYFUNCTION("ifna(IF(and(D319=""Saída"",J319=""Sangria""),if(sum(QUERY(IMPORTRANGE(""https://docs.google.com/spreadsheets/d/1E4szPcLzsqlw4uyBAoJ61L1ChCgpz4wVP8tHfHW1g_c"",""BD M Sangrias!a:i""),""select Col6 where Col7 = 'Depositada' and Col9 = '""&amp;K319&amp;""' and Col6 ="&amp;" ""&amp;M319&amp;"" and Col4 = date '""&amp;YEAR(C319)&amp;""-""&amp;MONTH(C319)&amp;""-""&amp;DAY(C319)&amp;""'""))&gt;0,""Depositada"",if(sum(QUERY(IMPORTRANGE(""https://docs.google.com/spreadsheets/d/1EcLIvUgMoBC5as4ikW0wuQsGH5yVZ6cQ1y16qEfgPnk"",""BD M Sangrias!a:i""),""select Col6 whe"&amp;"re Col7 = 'Caixa Atendimento' and Col9 = '""&amp;K319&amp;""' and Col6 = ""&amp;M319&amp;"" and Col4 = date '""&amp;YEAR(C319)&amp;""-""&amp;MONTH(C319)&amp;""-""&amp;DAY(C319)&amp;""'""))&gt;0,""Caixa Atendimento"",""Caixa Sangria"")),""""),""Caixa Sangria"")"),"")</f>
        <v/>
      </c>
      <c r="M319" s="185" t="str">
        <f>IFERROR(__xludf.DUMMYFUNCTION("ifna(VALUE(REGEXEXTRACT(E319,""[0-9.]+[,]+[0-9]+"")))"),"")</f>
        <v/>
      </c>
      <c r="N319" s="185"/>
      <c r="O319" s="185"/>
      <c r="P319" s="185"/>
      <c r="Q319" s="185"/>
      <c r="R319" s="185"/>
      <c r="S319" s="185"/>
      <c r="T319" s="185"/>
      <c r="U319" s="185"/>
      <c r="V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184" t="str">
        <f>IFERROR(__xludf.DUMMYFUNCTION("ifna(IF(and(D320=""Saída"",J320=""Sangria""),if(sum(QUERY(IMPORTRANGE(""https://docs.google.com/spreadsheets/d/1E4szPcLzsqlw4uyBAoJ61L1ChCgpz4wVP8tHfHW1g_c"",""BD M Sangrias!a:i""),""select Col6 where Col7 = 'Depositada' and Col9 = '""&amp;K320&amp;""' and Col6 ="&amp;" ""&amp;M320&amp;"" and Col4 = date '""&amp;YEAR(C320)&amp;""-""&amp;MONTH(C320)&amp;""-""&amp;DAY(C320)&amp;""'""))&gt;0,""Depositada"",if(sum(QUERY(IMPORTRANGE(""https://docs.google.com/spreadsheets/d/1EcLIvUgMoBC5as4ikW0wuQsGH5yVZ6cQ1y16qEfgPnk"",""BD M Sangrias!a:i""),""select Col6 whe"&amp;"re Col7 = 'Caixa Atendimento' and Col9 = '""&amp;K320&amp;""' and Col6 = ""&amp;M320&amp;"" and Col4 = date '""&amp;YEAR(C320)&amp;""-""&amp;MONTH(C320)&amp;""-""&amp;DAY(C320)&amp;""'""))&gt;0,""Caixa Atendimento"",""Caixa Sangria"")),""""),""Caixa Sangria"")"),"")</f>
        <v/>
      </c>
      <c r="M320" s="185" t="str">
        <f>IFERROR(__xludf.DUMMYFUNCTION("ifna(VALUE(REGEXEXTRACT(E320,""[0-9.]+[,]+[0-9]+"")))"),"")</f>
        <v/>
      </c>
      <c r="N320" s="185"/>
      <c r="O320" s="185"/>
      <c r="P320" s="185"/>
      <c r="Q320" s="185"/>
      <c r="R320" s="185"/>
      <c r="S320" s="185"/>
      <c r="T320" s="185"/>
      <c r="U320" s="185"/>
      <c r="V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184" t="str">
        <f>IFERROR(__xludf.DUMMYFUNCTION("ifna(IF(and(D321=""Saída"",J321=""Sangria""),if(sum(QUERY(IMPORTRANGE(""https://docs.google.com/spreadsheets/d/1E4szPcLzsqlw4uyBAoJ61L1ChCgpz4wVP8tHfHW1g_c"",""BD M Sangrias!a:i""),""select Col6 where Col7 = 'Depositada' and Col9 = '""&amp;K321&amp;""' and Col6 ="&amp;" ""&amp;M321&amp;"" and Col4 = date '""&amp;YEAR(C321)&amp;""-""&amp;MONTH(C321)&amp;""-""&amp;DAY(C321)&amp;""'""))&gt;0,""Depositada"",if(sum(QUERY(IMPORTRANGE(""https://docs.google.com/spreadsheets/d/1EcLIvUgMoBC5as4ikW0wuQsGH5yVZ6cQ1y16qEfgPnk"",""BD M Sangrias!a:i""),""select Col6 whe"&amp;"re Col7 = 'Caixa Atendimento' and Col9 = '""&amp;K321&amp;""' and Col6 = ""&amp;M321&amp;"" and Col4 = date '""&amp;YEAR(C321)&amp;""-""&amp;MONTH(C321)&amp;""-""&amp;DAY(C321)&amp;""'""))&gt;0,""Caixa Atendimento"",""Caixa Sangria"")),""""),""Caixa Sangria"")"),"")</f>
        <v/>
      </c>
      <c r="M321" s="185" t="str">
        <f>IFERROR(__xludf.DUMMYFUNCTION("ifna(VALUE(REGEXEXTRACT(E321,""[0-9.]+[,]+[0-9]+"")))"),"")</f>
        <v/>
      </c>
      <c r="N321" s="185"/>
      <c r="O321" s="185"/>
      <c r="P321" s="185"/>
      <c r="Q321" s="185"/>
      <c r="R321" s="185"/>
      <c r="S321" s="185"/>
      <c r="T321" s="185"/>
      <c r="U321" s="185"/>
      <c r="V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184" t="str">
        <f>IFERROR(__xludf.DUMMYFUNCTION("ifna(IF(and(D322=""Saída"",J322=""Sangria""),if(sum(QUERY(IMPORTRANGE(""https://docs.google.com/spreadsheets/d/1E4szPcLzsqlw4uyBAoJ61L1ChCgpz4wVP8tHfHW1g_c"",""BD M Sangrias!a:i""),""select Col6 where Col7 = 'Depositada' and Col9 = '""&amp;K322&amp;""' and Col6 ="&amp;" ""&amp;M322&amp;"" and Col4 = date '""&amp;YEAR(C322)&amp;""-""&amp;MONTH(C322)&amp;""-""&amp;DAY(C322)&amp;""'""))&gt;0,""Depositada"",if(sum(QUERY(IMPORTRANGE(""https://docs.google.com/spreadsheets/d/1EcLIvUgMoBC5as4ikW0wuQsGH5yVZ6cQ1y16qEfgPnk"",""BD M Sangrias!a:i""),""select Col6 whe"&amp;"re Col7 = 'Caixa Atendimento' and Col9 = '""&amp;K322&amp;""' and Col6 = ""&amp;M322&amp;"" and Col4 = date '""&amp;YEAR(C322)&amp;""-""&amp;MONTH(C322)&amp;""-""&amp;DAY(C322)&amp;""'""))&gt;0,""Caixa Atendimento"",""Caixa Sangria"")),""""),""Caixa Sangria"")"),"")</f>
        <v/>
      </c>
      <c r="M322" s="185" t="str">
        <f>IFERROR(__xludf.DUMMYFUNCTION("ifna(VALUE(REGEXEXTRACT(E322,""[0-9.]+[,]+[0-9]+"")))"),"")</f>
        <v/>
      </c>
      <c r="N322" s="185"/>
      <c r="O322" s="185"/>
      <c r="P322" s="185"/>
      <c r="Q322" s="185"/>
      <c r="R322" s="185"/>
      <c r="S322" s="185"/>
      <c r="T322" s="185"/>
      <c r="U322" s="185"/>
      <c r="V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184" t="str">
        <f>IFERROR(__xludf.DUMMYFUNCTION("ifna(IF(and(D323=""Saída"",J323=""Sangria""),if(sum(QUERY(IMPORTRANGE(""https://docs.google.com/spreadsheets/d/1E4szPcLzsqlw4uyBAoJ61L1ChCgpz4wVP8tHfHW1g_c"",""BD M Sangrias!a:i""),""select Col6 where Col7 = 'Depositada' and Col9 = '""&amp;K323&amp;""' and Col6 ="&amp;" ""&amp;M323&amp;"" and Col4 = date '""&amp;YEAR(C323)&amp;""-""&amp;MONTH(C323)&amp;""-""&amp;DAY(C323)&amp;""'""))&gt;0,""Depositada"",if(sum(QUERY(IMPORTRANGE(""https://docs.google.com/spreadsheets/d/1EcLIvUgMoBC5as4ikW0wuQsGH5yVZ6cQ1y16qEfgPnk"",""BD M Sangrias!a:i""),""select Col6 whe"&amp;"re Col7 = 'Caixa Atendimento' and Col9 = '""&amp;K323&amp;""' and Col6 = ""&amp;M323&amp;"" and Col4 = date '""&amp;YEAR(C323)&amp;""-""&amp;MONTH(C323)&amp;""-""&amp;DAY(C323)&amp;""'""))&gt;0,""Caixa Atendimento"",""Caixa Sangria"")),""""),""Caixa Sangria"")"),"")</f>
        <v/>
      </c>
      <c r="M323" s="185" t="str">
        <f>IFERROR(__xludf.DUMMYFUNCTION("ifna(VALUE(REGEXEXTRACT(E323,""[0-9.]+[,]+[0-9]+"")))"),"")</f>
        <v/>
      </c>
      <c r="N323" s="185"/>
      <c r="O323" s="185"/>
      <c r="P323" s="185"/>
      <c r="Q323" s="185"/>
      <c r="R323" s="185"/>
      <c r="S323" s="185"/>
      <c r="T323" s="185"/>
      <c r="U323" s="185"/>
      <c r="V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184" t="str">
        <f>IFERROR(__xludf.DUMMYFUNCTION("ifna(IF(and(D324=""Saída"",J324=""Sangria""),if(sum(QUERY(IMPORTRANGE(""https://docs.google.com/spreadsheets/d/1E4szPcLzsqlw4uyBAoJ61L1ChCgpz4wVP8tHfHW1g_c"",""BD M Sangrias!a:i""),""select Col6 where Col7 = 'Depositada' and Col9 = '""&amp;K324&amp;""' and Col6 ="&amp;" ""&amp;M324&amp;"" and Col4 = date '""&amp;YEAR(C324)&amp;""-""&amp;MONTH(C324)&amp;""-""&amp;DAY(C324)&amp;""'""))&gt;0,""Depositada"",if(sum(QUERY(IMPORTRANGE(""https://docs.google.com/spreadsheets/d/1EcLIvUgMoBC5as4ikW0wuQsGH5yVZ6cQ1y16qEfgPnk"",""BD M Sangrias!a:i""),""select Col6 whe"&amp;"re Col7 = 'Caixa Atendimento' and Col9 = '""&amp;K324&amp;""' and Col6 = ""&amp;M324&amp;"" and Col4 = date '""&amp;YEAR(C324)&amp;""-""&amp;MONTH(C324)&amp;""-""&amp;DAY(C324)&amp;""'""))&gt;0,""Caixa Atendimento"",""Caixa Sangria"")),""""),""Caixa Sangria"")"),"")</f>
        <v/>
      </c>
      <c r="M324" s="185" t="str">
        <f>IFERROR(__xludf.DUMMYFUNCTION("ifna(VALUE(REGEXEXTRACT(E324,""[0-9.]+[,]+[0-9]+"")))"),"")</f>
        <v/>
      </c>
      <c r="N324" s="185"/>
      <c r="O324" s="185"/>
      <c r="P324" s="185"/>
      <c r="Q324" s="185"/>
      <c r="R324" s="185"/>
      <c r="S324" s="185"/>
      <c r="T324" s="185"/>
      <c r="U324" s="185"/>
      <c r="V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184" t="str">
        <f>IFERROR(__xludf.DUMMYFUNCTION("ifna(IF(and(D325=""Saída"",J325=""Sangria""),if(sum(QUERY(IMPORTRANGE(""https://docs.google.com/spreadsheets/d/1E4szPcLzsqlw4uyBAoJ61L1ChCgpz4wVP8tHfHW1g_c"",""BD M Sangrias!a:i""),""select Col6 where Col7 = 'Depositada' and Col9 = '""&amp;K325&amp;""' and Col6 ="&amp;" ""&amp;M325&amp;"" and Col4 = date '""&amp;YEAR(C325)&amp;""-""&amp;MONTH(C325)&amp;""-""&amp;DAY(C325)&amp;""'""))&gt;0,""Depositada"",if(sum(QUERY(IMPORTRANGE(""https://docs.google.com/spreadsheets/d/1EcLIvUgMoBC5as4ikW0wuQsGH5yVZ6cQ1y16qEfgPnk"",""BD M Sangrias!a:i""),""select Col6 whe"&amp;"re Col7 = 'Caixa Atendimento' and Col9 = '""&amp;K325&amp;""' and Col6 = ""&amp;M325&amp;"" and Col4 = date '""&amp;YEAR(C325)&amp;""-""&amp;MONTH(C325)&amp;""-""&amp;DAY(C325)&amp;""'""))&gt;0,""Caixa Atendimento"",""Caixa Sangria"")),""""),""Caixa Sangria"")"),"")</f>
        <v/>
      </c>
      <c r="M325" s="185" t="str">
        <f>IFERROR(__xludf.DUMMYFUNCTION("ifna(VALUE(REGEXEXTRACT(E325,""[0-9.]+[,]+[0-9]+"")))"),"")</f>
        <v/>
      </c>
      <c r="N325" s="185"/>
      <c r="O325" s="185"/>
      <c r="P325" s="185"/>
      <c r="Q325" s="185"/>
      <c r="R325" s="185"/>
      <c r="S325" s="185"/>
      <c r="T325" s="185"/>
      <c r="U325" s="185"/>
      <c r="V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184" t="str">
        <f>IFERROR(__xludf.DUMMYFUNCTION("ifna(IF(and(D326=""Saída"",J326=""Sangria""),if(sum(QUERY(IMPORTRANGE(""https://docs.google.com/spreadsheets/d/1E4szPcLzsqlw4uyBAoJ61L1ChCgpz4wVP8tHfHW1g_c"",""BD M Sangrias!a:i""),""select Col6 where Col7 = 'Depositada' and Col9 = '""&amp;K326&amp;""' and Col6 ="&amp;" ""&amp;M326&amp;"" and Col4 = date '""&amp;YEAR(C326)&amp;""-""&amp;MONTH(C326)&amp;""-""&amp;DAY(C326)&amp;""'""))&gt;0,""Depositada"",if(sum(QUERY(IMPORTRANGE(""https://docs.google.com/spreadsheets/d/1EcLIvUgMoBC5as4ikW0wuQsGH5yVZ6cQ1y16qEfgPnk"",""BD M Sangrias!a:i""),""select Col6 whe"&amp;"re Col7 = 'Caixa Atendimento' and Col9 = '""&amp;K326&amp;""' and Col6 = ""&amp;M326&amp;"" and Col4 = date '""&amp;YEAR(C326)&amp;""-""&amp;MONTH(C326)&amp;""-""&amp;DAY(C326)&amp;""'""))&gt;0,""Caixa Atendimento"",""Caixa Sangria"")),""""),""Caixa Sangria"")"),"")</f>
        <v/>
      </c>
      <c r="M326" s="185" t="str">
        <f>IFERROR(__xludf.DUMMYFUNCTION("ifna(VALUE(REGEXEXTRACT(E326,""[0-9.]+[,]+[0-9]+"")))"),"")</f>
        <v/>
      </c>
      <c r="N326" s="185"/>
      <c r="O326" s="185"/>
      <c r="P326" s="185"/>
      <c r="Q326" s="185"/>
      <c r="R326" s="185"/>
      <c r="S326" s="185"/>
      <c r="T326" s="185"/>
      <c r="U326" s="185"/>
      <c r="V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184" t="str">
        <f>IFERROR(__xludf.DUMMYFUNCTION("ifna(IF(and(D327=""Saída"",J327=""Sangria""),if(sum(QUERY(IMPORTRANGE(""https://docs.google.com/spreadsheets/d/1E4szPcLzsqlw4uyBAoJ61L1ChCgpz4wVP8tHfHW1g_c"",""BD M Sangrias!a:i""),""select Col6 where Col7 = 'Depositada' and Col9 = '""&amp;K327&amp;""' and Col6 ="&amp;" ""&amp;M327&amp;"" and Col4 = date '""&amp;YEAR(C327)&amp;""-""&amp;MONTH(C327)&amp;""-""&amp;DAY(C327)&amp;""'""))&gt;0,""Depositada"",if(sum(QUERY(IMPORTRANGE(""https://docs.google.com/spreadsheets/d/1EcLIvUgMoBC5as4ikW0wuQsGH5yVZ6cQ1y16qEfgPnk"",""BD M Sangrias!a:i""),""select Col6 whe"&amp;"re Col7 = 'Caixa Atendimento' and Col9 = '""&amp;K327&amp;""' and Col6 = ""&amp;M327&amp;"" and Col4 = date '""&amp;YEAR(C327)&amp;""-""&amp;MONTH(C327)&amp;""-""&amp;DAY(C327)&amp;""'""))&gt;0,""Caixa Atendimento"",""Caixa Sangria"")),""""),""Caixa Sangria"")"),"")</f>
        <v/>
      </c>
      <c r="M327" s="185" t="str">
        <f>IFERROR(__xludf.DUMMYFUNCTION("ifna(VALUE(REGEXEXTRACT(E327,""[0-9.]+[,]+[0-9]+"")))"),"")</f>
        <v/>
      </c>
      <c r="N327" s="185"/>
      <c r="O327" s="185"/>
      <c r="P327" s="185"/>
      <c r="Q327" s="185"/>
      <c r="R327" s="185"/>
      <c r="S327" s="185"/>
      <c r="T327" s="185"/>
      <c r="U327" s="185"/>
      <c r="V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184" t="str">
        <f>IFERROR(__xludf.DUMMYFUNCTION("ifna(IF(and(D328=""Saída"",J328=""Sangria""),if(sum(QUERY(IMPORTRANGE(""https://docs.google.com/spreadsheets/d/1E4szPcLzsqlw4uyBAoJ61L1ChCgpz4wVP8tHfHW1g_c"",""BD M Sangrias!a:i""),""select Col6 where Col7 = 'Depositada' and Col9 = '""&amp;K328&amp;""' and Col6 ="&amp;" ""&amp;M328&amp;"" and Col4 = date '""&amp;YEAR(C328)&amp;""-""&amp;MONTH(C328)&amp;""-""&amp;DAY(C328)&amp;""'""))&gt;0,""Depositada"",if(sum(QUERY(IMPORTRANGE(""https://docs.google.com/spreadsheets/d/1EcLIvUgMoBC5as4ikW0wuQsGH5yVZ6cQ1y16qEfgPnk"",""BD M Sangrias!a:i""),""select Col6 whe"&amp;"re Col7 = 'Caixa Atendimento' and Col9 = '""&amp;K328&amp;""' and Col6 = ""&amp;M328&amp;"" and Col4 = date '""&amp;YEAR(C328)&amp;""-""&amp;MONTH(C328)&amp;""-""&amp;DAY(C328)&amp;""'""))&gt;0,""Caixa Atendimento"",""Caixa Sangria"")),""""),""Caixa Sangria"")"),"")</f>
        <v/>
      </c>
      <c r="M328" s="185" t="str">
        <f>IFERROR(__xludf.DUMMYFUNCTION("ifna(VALUE(REGEXEXTRACT(E328,""[0-9.]+[,]+[0-9]+"")))"),"")</f>
        <v/>
      </c>
      <c r="N328" s="185"/>
      <c r="O328" s="185"/>
      <c r="P328" s="185"/>
      <c r="Q328" s="185"/>
      <c r="R328" s="185"/>
      <c r="S328" s="185"/>
      <c r="T328" s="185"/>
      <c r="U328" s="185"/>
      <c r="V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184" t="str">
        <f>IFERROR(__xludf.DUMMYFUNCTION("ifna(IF(and(D329=""Saída"",J329=""Sangria""),if(sum(QUERY(IMPORTRANGE(""https://docs.google.com/spreadsheets/d/1E4szPcLzsqlw4uyBAoJ61L1ChCgpz4wVP8tHfHW1g_c"",""BD M Sangrias!a:i""),""select Col6 where Col7 = 'Depositada' and Col9 = '""&amp;K329&amp;""' and Col6 ="&amp;" ""&amp;M329&amp;"" and Col4 = date '""&amp;YEAR(C329)&amp;""-""&amp;MONTH(C329)&amp;""-""&amp;DAY(C329)&amp;""'""))&gt;0,""Depositada"",if(sum(QUERY(IMPORTRANGE(""https://docs.google.com/spreadsheets/d/1EcLIvUgMoBC5as4ikW0wuQsGH5yVZ6cQ1y16qEfgPnk"",""BD M Sangrias!a:i""),""select Col6 whe"&amp;"re Col7 = 'Caixa Atendimento' and Col9 = '""&amp;K329&amp;""' and Col6 = ""&amp;M329&amp;"" and Col4 = date '""&amp;YEAR(C329)&amp;""-""&amp;MONTH(C329)&amp;""-""&amp;DAY(C329)&amp;""'""))&gt;0,""Caixa Atendimento"",""Caixa Sangria"")),""""),""Caixa Sangria"")"),"")</f>
        <v/>
      </c>
      <c r="M329" s="185" t="str">
        <f>IFERROR(__xludf.DUMMYFUNCTION("ifna(VALUE(REGEXEXTRACT(E329,""[0-9.]+[,]+[0-9]+"")))"),"")</f>
        <v/>
      </c>
      <c r="N329" s="185"/>
      <c r="O329" s="185"/>
      <c r="P329" s="185"/>
      <c r="Q329" s="185"/>
      <c r="R329" s="185"/>
      <c r="S329" s="185"/>
      <c r="T329" s="185"/>
      <c r="U329" s="185"/>
      <c r="V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184" t="str">
        <f>IFERROR(__xludf.DUMMYFUNCTION("ifna(IF(and(D330=""Saída"",J330=""Sangria""),if(sum(QUERY(IMPORTRANGE(""https://docs.google.com/spreadsheets/d/1E4szPcLzsqlw4uyBAoJ61L1ChCgpz4wVP8tHfHW1g_c"",""BD M Sangrias!a:i""),""select Col6 where Col7 = 'Depositada' and Col9 = '""&amp;K330&amp;""' and Col6 ="&amp;" ""&amp;M330&amp;"" and Col4 = date '""&amp;YEAR(C330)&amp;""-""&amp;MONTH(C330)&amp;""-""&amp;DAY(C330)&amp;""'""))&gt;0,""Depositada"",if(sum(QUERY(IMPORTRANGE(""https://docs.google.com/spreadsheets/d/1EcLIvUgMoBC5as4ikW0wuQsGH5yVZ6cQ1y16qEfgPnk"",""BD M Sangrias!a:i""),""select Col6 whe"&amp;"re Col7 = 'Caixa Atendimento' and Col9 = '""&amp;K330&amp;""' and Col6 = ""&amp;M330&amp;"" and Col4 = date '""&amp;YEAR(C330)&amp;""-""&amp;MONTH(C330)&amp;""-""&amp;DAY(C330)&amp;""'""))&gt;0,""Caixa Atendimento"",""Caixa Sangria"")),""""),""Caixa Sangria"")"),"")</f>
        <v/>
      </c>
      <c r="M330" s="185" t="str">
        <f>IFERROR(__xludf.DUMMYFUNCTION("ifna(VALUE(REGEXEXTRACT(E330,""[0-9.]+[,]+[0-9]+"")))"),"")</f>
        <v/>
      </c>
      <c r="N330" s="185"/>
      <c r="O330" s="185"/>
      <c r="P330" s="185"/>
      <c r="Q330" s="185"/>
      <c r="R330" s="185"/>
      <c r="S330" s="185"/>
      <c r="T330" s="185"/>
      <c r="U330" s="185"/>
      <c r="V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184" t="str">
        <f>IFERROR(__xludf.DUMMYFUNCTION("ifna(IF(and(D331=""Saída"",J331=""Sangria""),if(sum(QUERY(IMPORTRANGE(""https://docs.google.com/spreadsheets/d/1E4szPcLzsqlw4uyBAoJ61L1ChCgpz4wVP8tHfHW1g_c"",""BD M Sangrias!a:i""),""select Col6 where Col7 = 'Depositada' and Col9 = '""&amp;K331&amp;""' and Col6 ="&amp;" ""&amp;M331&amp;"" and Col4 = date '""&amp;YEAR(C331)&amp;""-""&amp;MONTH(C331)&amp;""-""&amp;DAY(C331)&amp;""'""))&gt;0,""Depositada"",if(sum(QUERY(IMPORTRANGE(""https://docs.google.com/spreadsheets/d/1EcLIvUgMoBC5as4ikW0wuQsGH5yVZ6cQ1y16qEfgPnk"",""BD M Sangrias!a:i""),""select Col6 whe"&amp;"re Col7 = 'Caixa Atendimento' and Col9 = '""&amp;K331&amp;""' and Col6 = ""&amp;M331&amp;"" and Col4 = date '""&amp;YEAR(C331)&amp;""-""&amp;MONTH(C331)&amp;""-""&amp;DAY(C331)&amp;""'""))&gt;0,""Caixa Atendimento"",""Caixa Sangria"")),""""),""Caixa Sangria"")"),"")</f>
        <v/>
      </c>
      <c r="M331" s="185" t="str">
        <f>IFERROR(__xludf.DUMMYFUNCTION("ifna(VALUE(REGEXEXTRACT(E331,""[0-9.]+[,]+[0-9]+"")))"),"")</f>
        <v/>
      </c>
      <c r="N331" s="185"/>
      <c r="O331" s="185"/>
      <c r="P331" s="185"/>
      <c r="Q331" s="185"/>
      <c r="R331" s="185"/>
      <c r="S331" s="185"/>
      <c r="T331" s="185"/>
      <c r="U331" s="185"/>
      <c r="V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184" t="str">
        <f>IFERROR(__xludf.DUMMYFUNCTION("ifna(IF(and(D332=""Saída"",J332=""Sangria""),if(sum(QUERY(IMPORTRANGE(""https://docs.google.com/spreadsheets/d/1E4szPcLzsqlw4uyBAoJ61L1ChCgpz4wVP8tHfHW1g_c"",""BD M Sangrias!a:i""),""select Col6 where Col7 = 'Depositada' and Col9 = '""&amp;K332&amp;""' and Col6 ="&amp;" ""&amp;M332&amp;"" and Col4 = date '""&amp;YEAR(C332)&amp;""-""&amp;MONTH(C332)&amp;""-""&amp;DAY(C332)&amp;""'""))&gt;0,""Depositada"",if(sum(QUERY(IMPORTRANGE(""https://docs.google.com/spreadsheets/d/1EcLIvUgMoBC5as4ikW0wuQsGH5yVZ6cQ1y16qEfgPnk"",""BD M Sangrias!a:i""),""select Col6 whe"&amp;"re Col7 = 'Caixa Atendimento' and Col9 = '""&amp;K332&amp;""' and Col6 = ""&amp;M332&amp;"" and Col4 = date '""&amp;YEAR(C332)&amp;""-""&amp;MONTH(C332)&amp;""-""&amp;DAY(C332)&amp;""'""))&gt;0,""Caixa Atendimento"",""Caixa Sangria"")),""""),""Caixa Sangria"")"),"")</f>
        <v/>
      </c>
      <c r="M332" s="185" t="str">
        <f>IFERROR(__xludf.DUMMYFUNCTION("ifna(VALUE(REGEXEXTRACT(E332,""[0-9.]+[,]+[0-9]+"")))"),"")</f>
        <v/>
      </c>
      <c r="N332" s="185"/>
      <c r="O332" s="185"/>
      <c r="P332" s="185"/>
      <c r="Q332" s="185"/>
      <c r="R332" s="185"/>
      <c r="S332" s="185"/>
      <c r="T332" s="185"/>
      <c r="U332" s="185"/>
      <c r="V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184" t="str">
        <f>IFERROR(__xludf.DUMMYFUNCTION("ifna(IF(and(D333=""Saída"",J333=""Sangria""),if(sum(QUERY(IMPORTRANGE(""https://docs.google.com/spreadsheets/d/1E4szPcLzsqlw4uyBAoJ61L1ChCgpz4wVP8tHfHW1g_c"",""BD M Sangrias!a:i""),""select Col6 where Col7 = 'Depositada' and Col9 = '""&amp;K333&amp;""' and Col6 ="&amp;" ""&amp;M333&amp;"" and Col4 = date '""&amp;YEAR(C333)&amp;""-""&amp;MONTH(C333)&amp;""-""&amp;DAY(C333)&amp;""'""))&gt;0,""Depositada"",if(sum(QUERY(IMPORTRANGE(""https://docs.google.com/spreadsheets/d/1EcLIvUgMoBC5as4ikW0wuQsGH5yVZ6cQ1y16qEfgPnk"",""BD M Sangrias!a:i""),""select Col6 whe"&amp;"re Col7 = 'Caixa Atendimento' and Col9 = '""&amp;K333&amp;""' and Col6 = ""&amp;M333&amp;"" and Col4 = date '""&amp;YEAR(C333)&amp;""-""&amp;MONTH(C333)&amp;""-""&amp;DAY(C333)&amp;""'""))&gt;0,""Caixa Atendimento"",""Caixa Sangria"")),""""),""Caixa Sangria"")"),"")</f>
        <v/>
      </c>
      <c r="M333" s="185" t="str">
        <f>IFERROR(__xludf.DUMMYFUNCTION("ifna(VALUE(REGEXEXTRACT(E333,""[0-9.]+[,]+[0-9]+"")))"),"")</f>
        <v/>
      </c>
      <c r="N333" s="185"/>
      <c r="O333" s="185"/>
      <c r="P333" s="185"/>
      <c r="Q333" s="185"/>
      <c r="R333" s="185"/>
      <c r="S333" s="185"/>
      <c r="T333" s="185"/>
      <c r="U333" s="185"/>
      <c r="V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184" t="str">
        <f>IFERROR(__xludf.DUMMYFUNCTION("ifna(IF(and(D334=""Saída"",J334=""Sangria""),if(sum(QUERY(IMPORTRANGE(""https://docs.google.com/spreadsheets/d/1E4szPcLzsqlw4uyBAoJ61L1ChCgpz4wVP8tHfHW1g_c"",""BD M Sangrias!a:i""),""select Col6 where Col7 = 'Depositada' and Col9 = '""&amp;K334&amp;""' and Col6 ="&amp;" ""&amp;M334&amp;"" and Col4 = date '""&amp;YEAR(C334)&amp;""-""&amp;MONTH(C334)&amp;""-""&amp;DAY(C334)&amp;""'""))&gt;0,""Depositada"",if(sum(QUERY(IMPORTRANGE(""https://docs.google.com/spreadsheets/d/1EcLIvUgMoBC5as4ikW0wuQsGH5yVZ6cQ1y16qEfgPnk"",""BD M Sangrias!a:i""),""select Col6 whe"&amp;"re Col7 = 'Caixa Atendimento' and Col9 = '""&amp;K334&amp;""' and Col6 = ""&amp;M334&amp;"" and Col4 = date '""&amp;YEAR(C334)&amp;""-""&amp;MONTH(C334)&amp;""-""&amp;DAY(C334)&amp;""'""))&gt;0,""Caixa Atendimento"",""Caixa Sangria"")),""""),""Caixa Sangria"")"),"")</f>
        <v/>
      </c>
      <c r="M334" s="185" t="str">
        <f>IFERROR(__xludf.DUMMYFUNCTION("ifna(VALUE(REGEXEXTRACT(E334,""[0-9.]+[,]+[0-9]+"")))"),"")</f>
        <v/>
      </c>
      <c r="N334" s="185"/>
      <c r="O334" s="185"/>
      <c r="P334" s="185"/>
      <c r="Q334" s="185"/>
      <c r="R334" s="185"/>
      <c r="S334" s="185"/>
      <c r="T334" s="185"/>
      <c r="U334" s="185"/>
      <c r="V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184" t="str">
        <f>IFERROR(__xludf.DUMMYFUNCTION("ifna(IF(and(D335=""Saída"",J335=""Sangria""),if(sum(QUERY(IMPORTRANGE(""https://docs.google.com/spreadsheets/d/1E4szPcLzsqlw4uyBAoJ61L1ChCgpz4wVP8tHfHW1g_c"",""BD M Sangrias!a:i""),""select Col6 where Col7 = 'Depositada' and Col9 = '""&amp;K335&amp;""' and Col6 ="&amp;" ""&amp;M335&amp;"" and Col4 = date '""&amp;YEAR(C335)&amp;""-""&amp;MONTH(C335)&amp;""-""&amp;DAY(C335)&amp;""'""))&gt;0,""Depositada"",if(sum(QUERY(IMPORTRANGE(""https://docs.google.com/spreadsheets/d/1EcLIvUgMoBC5as4ikW0wuQsGH5yVZ6cQ1y16qEfgPnk"",""BD M Sangrias!a:i""),""select Col6 whe"&amp;"re Col7 = 'Caixa Atendimento' and Col9 = '""&amp;K335&amp;""' and Col6 = ""&amp;M335&amp;"" and Col4 = date '""&amp;YEAR(C335)&amp;""-""&amp;MONTH(C335)&amp;""-""&amp;DAY(C335)&amp;""'""))&gt;0,""Caixa Atendimento"",""Caixa Sangria"")),""""),""Caixa Sangria"")"),"")</f>
        <v/>
      </c>
      <c r="M335" s="185" t="str">
        <f>IFERROR(__xludf.DUMMYFUNCTION("ifna(VALUE(REGEXEXTRACT(E335,""[0-9.]+[,]+[0-9]+"")))"),"")</f>
        <v/>
      </c>
      <c r="N335" s="185"/>
      <c r="O335" s="185"/>
      <c r="P335" s="185"/>
      <c r="Q335" s="185"/>
      <c r="R335" s="185"/>
      <c r="S335" s="185"/>
      <c r="T335" s="185"/>
      <c r="U335" s="185"/>
      <c r="V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184" t="str">
        <f>IFERROR(__xludf.DUMMYFUNCTION("ifna(IF(and(D336=""Saída"",J336=""Sangria""),if(sum(QUERY(IMPORTRANGE(""https://docs.google.com/spreadsheets/d/1E4szPcLzsqlw4uyBAoJ61L1ChCgpz4wVP8tHfHW1g_c"",""BD M Sangrias!a:i""),""select Col6 where Col7 = 'Depositada' and Col9 = '""&amp;K336&amp;""' and Col6 ="&amp;" ""&amp;M336&amp;"" and Col4 = date '""&amp;YEAR(C336)&amp;""-""&amp;MONTH(C336)&amp;""-""&amp;DAY(C336)&amp;""'""))&gt;0,""Depositada"",if(sum(QUERY(IMPORTRANGE(""https://docs.google.com/spreadsheets/d/1EcLIvUgMoBC5as4ikW0wuQsGH5yVZ6cQ1y16qEfgPnk"",""BD M Sangrias!a:i""),""select Col6 whe"&amp;"re Col7 = 'Caixa Atendimento' and Col9 = '""&amp;K336&amp;""' and Col6 = ""&amp;M336&amp;"" and Col4 = date '""&amp;YEAR(C336)&amp;""-""&amp;MONTH(C336)&amp;""-""&amp;DAY(C336)&amp;""'""))&gt;0,""Caixa Atendimento"",""Caixa Sangria"")),""""),""Caixa Sangria"")"),"")</f>
        <v/>
      </c>
      <c r="M336" s="185" t="str">
        <f>IFERROR(__xludf.DUMMYFUNCTION("ifna(VALUE(REGEXEXTRACT(E336,""[0-9.]+[,]+[0-9]+"")))"),"")</f>
        <v/>
      </c>
      <c r="N336" s="185"/>
      <c r="O336" s="185"/>
      <c r="P336" s="185"/>
      <c r="Q336" s="185"/>
      <c r="R336" s="185"/>
      <c r="S336" s="185"/>
      <c r="T336" s="185"/>
      <c r="U336" s="185"/>
      <c r="V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184" t="str">
        <f>IFERROR(__xludf.DUMMYFUNCTION("ifna(IF(and(D337=""Saída"",J337=""Sangria""),if(sum(QUERY(IMPORTRANGE(""https://docs.google.com/spreadsheets/d/1E4szPcLzsqlw4uyBAoJ61L1ChCgpz4wVP8tHfHW1g_c"",""BD M Sangrias!a:i""),""select Col6 where Col7 = 'Depositada' and Col9 = '""&amp;K337&amp;""' and Col6 ="&amp;" ""&amp;M337&amp;"" and Col4 = date '""&amp;YEAR(C337)&amp;""-""&amp;MONTH(C337)&amp;""-""&amp;DAY(C337)&amp;""'""))&gt;0,""Depositada"",if(sum(QUERY(IMPORTRANGE(""https://docs.google.com/spreadsheets/d/1EcLIvUgMoBC5as4ikW0wuQsGH5yVZ6cQ1y16qEfgPnk"",""BD M Sangrias!a:i""),""select Col6 whe"&amp;"re Col7 = 'Caixa Atendimento' and Col9 = '""&amp;K337&amp;""' and Col6 = ""&amp;M337&amp;"" and Col4 = date '""&amp;YEAR(C337)&amp;""-""&amp;MONTH(C337)&amp;""-""&amp;DAY(C337)&amp;""'""))&gt;0,""Caixa Atendimento"",""Caixa Sangria"")),""""),""Caixa Sangria"")"),"")</f>
        <v/>
      </c>
      <c r="M337" s="185" t="str">
        <f>IFERROR(__xludf.DUMMYFUNCTION("ifna(VALUE(REGEXEXTRACT(E337,""[0-9.]+[,]+[0-9]+"")))"),"")</f>
        <v/>
      </c>
      <c r="N337" s="185"/>
      <c r="O337" s="185"/>
      <c r="P337" s="185"/>
      <c r="Q337" s="185"/>
      <c r="R337" s="185"/>
      <c r="S337" s="185"/>
      <c r="T337" s="185"/>
      <c r="U337" s="185"/>
      <c r="V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184" t="str">
        <f>IFERROR(__xludf.DUMMYFUNCTION("ifna(IF(and(D338=""Saída"",J338=""Sangria""),if(sum(QUERY(IMPORTRANGE(""https://docs.google.com/spreadsheets/d/1E4szPcLzsqlw4uyBAoJ61L1ChCgpz4wVP8tHfHW1g_c"",""BD M Sangrias!a:i""),""select Col6 where Col7 = 'Depositada' and Col9 = '""&amp;K338&amp;""' and Col6 ="&amp;" ""&amp;M338&amp;"" and Col4 = date '""&amp;YEAR(C338)&amp;""-""&amp;MONTH(C338)&amp;""-""&amp;DAY(C338)&amp;""'""))&gt;0,""Depositada"",if(sum(QUERY(IMPORTRANGE(""https://docs.google.com/spreadsheets/d/1EcLIvUgMoBC5as4ikW0wuQsGH5yVZ6cQ1y16qEfgPnk"",""BD M Sangrias!a:i""),""select Col6 whe"&amp;"re Col7 = 'Caixa Atendimento' and Col9 = '""&amp;K338&amp;""' and Col6 = ""&amp;M338&amp;"" and Col4 = date '""&amp;YEAR(C338)&amp;""-""&amp;MONTH(C338)&amp;""-""&amp;DAY(C338)&amp;""'""))&gt;0,""Caixa Atendimento"",""Caixa Sangria"")),""""),""Caixa Sangria"")"),"")</f>
        <v/>
      </c>
      <c r="M338" s="185" t="str">
        <f>IFERROR(__xludf.DUMMYFUNCTION("ifna(VALUE(REGEXEXTRACT(E338,""[0-9.]+[,]+[0-9]+"")))"),"")</f>
        <v/>
      </c>
      <c r="N338" s="185"/>
      <c r="O338" s="185"/>
      <c r="P338" s="185"/>
      <c r="Q338" s="185"/>
      <c r="R338" s="185"/>
      <c r="S338" s="185"/>
      <c r="T338" s="185"/>
      <c r="U338" s="185"/>
      <c r="V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184" t="str">
        <f>IFERROR(__xludf.DUMMYFUNCTION("ifna(IF(and(D339=""Saída"",J339=""Sangria""),if(sum(QUERY(IMPORTRANGE(""https://docs.google.com/spreadsheets/d/1E4szPcLzsqlw4uyBAoJ61L1ChCgpz4wVP8tHfHW1g_c"",""BD M Sangrias!a:i""),""select Col6 where Col7 = 'Depositada' and Col9 = '""&amp;K339&amp;""' and Col6 ="&amp;" ""&amp;M339&amp;"" and Col4 = date '""&amp;YEAR(C339)&amp;""-""&amp;MONTH(C339)&amp;""-""&amp;DAY(C339)&amp;""'""))&gt;0,""Depositada"",if(sum(QUERY(IMPORTRANGE(""https://docs.google.com/spreadsheets/d/1EcLIvUgMoBC5as4ikW0wuQsGH5yVZ6cQ1y16qEfgPnk"",""BD M Sangrias!a:i""),""select Col6 whe"&amp;"re Col7 = 'Caixa Atendimento' and Col9 = '""&amp;K339&amp;""' and Col6 = ""&amp;M339&amp;"" and Col4 = date '""&amp;YEAR(C339)&amp;""-""&amp;MONTH(C339)&amp;""-""&amp;DAY(C339)&amp;""'""))&gt;0,""Caixa Atendimento"",""Caixa Sangria"")),""""),""Caixa Sangria"")"),"")</f>
        <v/>
      </c>
      <c r="M339" s="185" t="str">
        <f>IFERROR(__xludf.DUMMYFUNCTION("ifna(VALUE(REGEXEXTRACT(E339,""[0-9.]+[,]+[0-9]+"")))"),"")</f>
        <v/>
      </c>
      <c r="N339" s="185"/>
      <c r="O339" s="185"/>
      <c r="P339" s="185"/>
      <c r="Q339" s="185"/>
      <c r="R339" s="185"/>
      <c r="S339" s="185"/>
      <c r="T339" s="185"/>
      <c r="U339" s="185"/>
      <c r="V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184" t="str">
        <f>IFERROR(__xludf.DUMMYFUNCTION("ifna(IF(and(D340=""Saída"",J340=""Sangria""),if(sum(QUERY(IMPORTRANGE(""https://docs.google.com/spreadsheets/d/1E4szPcLzsqlw4uyBAoJ61L1ChCgpz4wVP8tHfHW1g_c"",""BD M Sangrias!a:i""),""select Col6 where Col7 = 'Depositada' and Col9 = '""&amp;K340&amp;""' and Col6 ="&amp;" ""&amp;M340&amp;"" and Col4 = date '""&amp;YEAR(C340)&amp;""-""&amp;MONTH(C340)&amp;""-""&amp;DAY(C340)&amp;""'""))&gt;0,""Depositada"",if(sum(QUERY(IMPORTRANGE(""https://docs.google.com/spreadsheets/d/1EcLIvUgMoBC5as4ikW0wuQsGH5yVZ6cQ1y16qEfgPnk"",""BD M Sangrias!a:i""),""select Col6 whe"&amp;"re Col7 = 'Caixa Atendimento' and Col9 = '""&amp;K340&amp;""' and Col6 = ""&amp;M340&amp;"" and Col4 = date '""&amp;YEAR(C340)&amp;""-""&amp;MONTH(C340)&amp;""-""&amp;DAY(C340)&amp;""'""))&gt;0,""Caixa Atendimento"",""Caixa Sangria"")),""""),""Caixa Sangria"")"),"")</f>
        <v/>
      </c>
      <c r="M340" s="185" t="str">
        <f>IFERROR(__xludf.DUMMYFUNCTION("ifna(VALUE(REGEXEXTRACT(E340,""[0-9.]+[,]+[0-9]+"")))"),"")</f>
        <v/>
      </c>
      <c r="N340" s="185"/>
      <c r="O340" s="185"/>
      <c r="P340" s="185"/>
      <c r="Q340" s="185"/>
      <c r="R340" s="185"/>
      <c r="S340" s="185"/>
      <c r="T340" s="185"/>
      <c r="U340" s="185"/>
      <c r="V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184" t="str">
        <f>IFERROR(__xludf.DUMMYFUNCTION("ifna(IF(and(D341=""Saída"",J341=""Sangria""),if(sum(QUERY(IMPORTRANGE(""https://docs.google.com/spreadsheets/d/1E4szPcLzsqlw4uyBAoJ61L1ChCgpz4wVP8tHfHW1g_c"",""BD M Sangrias!a:i""),""select Col6 where Col7 = 'Depositada' and Col9 = '""&amp;K341&amp;""' and Col6 ="&amp;" ""&amp;M341&amp;"" and Col4 = date '""&amp;YEAR(C341)&amp;""-""&amp;MONTH(C341)&amp;""-""&amp;DAY(C341)&amp;""'""))&gt;0,""Depositada"",if(sum(QUERY(IMPORTRANGE(""https://docs.google.com/spreadsheets/d/1EcLIvUgMoBC5as4ikW0wuQsGH5yVZ6cQ1y16qEfgPnk"",""BD M Sangrias!a:i""),""select Col6 whe"&amp;"re Col7 = 'Caixa Atendimento' and Col9 = '""&amp;K341&amp;""' and Col6 = ""&amp;M341&amp;"" and Col4 = date '""&amp;YEAR(C341)&amp;""-""&amp;MONTH(C341)&amp;""-""&amp;DAY(C341)&amp;""'""))&gt;0,""Caixa Atendimento"",""Caixa Sangria"")),""""),""Caixa Sangria"")"),"")</f>
        <v/>
      </c>
      <c r="M341" s="185" t="str">
        <f>IFERROR(__xludf.DUMMYFUNCTION("ifna(VALUE(REGEXEXTRACT(E341,""[0-9.]+[,]+[0-9]+"")))"),"")</f>
        <v/>
      </c>
      <c r="N341" s="185"/>
      <c r="O341" s="185"/>
      <c r="P341" s="185"/>
      <c r="Q341" s="185"/>
      <c r="R341" s="185"/>
      <c r="S341" s="185"/>
      <c r="T341" s="185"/>
      <c r="U341" s="185"/>
      <c r="V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184" t="str">
        <f>IFERROR(__xludf.DUMMYFUNCTION("ifna(IF(and(D342=""Saída"",J342=""Sangria""),if(sum(QUERY(IMPORTRANGE(""https://docs.google.com/spreadsheets/d/1E4szPcLzsqlw4uyBAoJ61L1ChCgpz4wVP8tHfHW1g_c"",""BD M Sangrias!a:i""),""select Col6 where Col7 = 'Depositada' and Col9 = '""&amp;K342&amp;""' and Col6 ="&amp;" ""&amp;M342&amp;"" and Col4 = date '""&amp;YEAR(C342)&amp;""-""&amp;MONTH(C342)&amp;""-""&amp;DAY(C342)&amp;""'""))&gt;0,""Depositada"",if(sum(QUERY(IMPORTRANGE(""https://docs.google.com/spreadsheets/d/1EcLIvUgMoBC5as4ikW0wuQsGH5yVZ6cQ1y16qEfgPnk"",""BD M Sangrias!a:i""),""select Col6 whe"&amp;"re Col7 = 'Caixa Atendimento' and Col9 = '""&amp;K342&amp;""' and Col6 = ""&amp;M342&amp;"" and Col4 = date '""&amp;YEAR(C342)&amp;""-""&amp;MONTH(C342)&amp;""-""&amp;DAY(C342)&amp;""'""))&gt;0,""Caixa Atendimento"",""Caixa Sangria"")),""""),""Caixa Sangria"")"),"")</f>
        <v/>
      </c>
      <c r="M342" s="185" t="str">
        <f>IFERROR(__xludf.DUMMYFUNCTION("ifna(VALUE(REGEXEXTRACT(E342,""[0-9.]+[,]+[0-9]+"")))"),"")</f>
        <v/>
      </c>
      <c r="N342" s="185"/>
      <c r="O342" s="185"/>
      <c r="P342" s="185"/>
      <c r="Q342" s="185"/>
      <c r="R342" s="185"/>
      <c r="S342" s="185"/>
      <c r="T342" s="185"/>
      <c r="U342" s="185"/>
      <c r="V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184" t="str">
        <f>IFERROR(__xludf.DUMMYFUNCTION("ifna(IF(and(D343=""Saída"",J343=""Sangria""),if(sum(QUERY(IMPORTRANGE(""https://docs.google.com/spreadsheets/d/1E4szPcLzsqlw4uyBAoJ61L1ChCgpz4wVP8tHfHW1g_c"",""BD M Sangrias!a:i""),""select Col6 where Col7 = 'Depositada' and Col9 = '""&amp;K343&amp;""' and Col6 ="&amp;" ""&amp;M343&amp;"" and Col4 = date '""&amp;YEAR(C343)&amp;""-""&amp;MONTH(C343)&amp;""-""&amp;DAY(C343)&amp;""'""))&gt;0,""Depositada"",if(sum(QUERY(IMPORTRANGE(""https://docs.google.com/spreadsheets/d/1EcLIvUgMoBC5as4ikW0wuQsGH5yVZ6cQ1y16qEfgPnk"",""BD M Sangrias!a:i""),""select Col6 whe"&amp;"re Col7 = 'Caixa Atendimento' and Col9 = '""&amp;K343&amp;""' and Col6 = ""&amp;M343&amp;"" and Col4 = date '""&amp;YEAR(C343)&amp;""-""&amp;MONTH(C343)&amp;""-""&amp;DAY(C343)&amp;""'""))&gt;0,""Caixa Atendimento"",""Caixa Sangria"")),""""),""Caixa Sangria"")"),"")</f>
        <v/>
      </c>
      <c r="M343" s="185" t="str">
        <f>IFERROR(__xludf.DUMMYFUNCTION("ifna(VALUE(REGEXEXTRACT(E343,""[0-9.]+[,]+[0-9]+"")))"),"")</f>
        <v/>
      </c>
      <c r="N343" s="185"/>
      <c r="O343" s="185"/>
      <c r="P343" s="185"/>
      <c r="Q343" s="185"/>
      <c r="R343" s="185"/>
      <c r="S343" s="185"/>
      <c r="T343" s="185"/>
      <c r="U343" s="185"/>
      <c r="V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184" t="str">
        <f>IFERROR(__xludf.DUMMYFUNCTION("ifna(IF(and(D344=""Saída"",J344=""Sangria""),if(sum(QUERY(IMPORTRANGE(""https://docs.google.com/spreadsheets/d/1E4szPcLzsqlw4uyBAoJ61L1ChCgpz4wVP8tHfHW1g_c"",""BD M Sangrias!a:i""),""select Col6 where Col7 = 'Depositada' and Col9 = '""&amp;K344&amp;""' and Col6 ="&amp;" ""&amp;M344&amp;"" and Col4 = date '""&amp;YEAR(C344)&amp;""-""&amp;MONTH(C344)&amp;""-""&amp;DAY(C344)&amp;""'""))&gt;0,""Depositada"",if(sum(QUERY(IMPORTRANGE(""https://docs.google.com/spreadsheets/d/1EcLIvUgMoBC5as4ikW0wuQsGH5yVZ6cQ1y16qEfgPnk"",""BD M Sangrias!a:i""),""select Col6 whe"&amp;"re Col7 = 'Caixa Atendimento' and Col9 = '""&amp;K344&amp;""' and Col6 = ""&amp;M344&amp;"" and Col4 = date '""&amp;YEAR(C344)&amp;""-""&amp;MONTH(C344)&amp;""-""&amp;DAY(C344)&amp;""'""))&gt;0,""Caixa Atendimento"",""Caixa Sangria"")),""""),""Caixa Sangria"")"),"")</f>
        <v/>
      </c>
      <c r="M344" s="185" t="str">
        <f>IFERROR(__xludf.DUMMYFUNCTION("ifna(VALUE(REGEXEXTRACT(E344,""[0-9.]+[,]+[0-9]+"")))"),"")</f>
        <v/>
      </c>
      <c r="N344" s="185"/>
      <c r="O344" s="185"/>
      <c r="P344" s="185"/>
      <c r="Q344" s="185"/>
      <c r="R344" s="185"/>
      <c r="S344" s="185"/>
      <c r="T344" s="185"/>
      <c r="U344" s="185"/>
      <c r="V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184" t="str">
        <f>IFERROR(__xludf.DUMMYFUNCTION("ifna(IF(and(D345=""Saída"",J345=""Sangria""),if(sum(QUERY(IMPORTRANGE(""https://docs.google.com/spreadsheets/d/1E4szPcLzsqlw4uyBAoJ61L1ChCgpz4wVP8tHfHW1g_c"",""BD M Sangrias!a:i""),""select Col6 where Col7 = 'Depositada' and Col9 = '""&amp;K345&amp;""' and Col6 ="&amp;" ""&amp;M345&amp;"" and Col4 = date '""&amp;YEAR(C345)&amp;""-""&amp;MONTH(C345)&amp;""-""&amp;DAY(C345)&amp;""'""))&gt;0,""Depositada"",if(sum(QUERY(IMPORTRANGE(""https://docs.google.com/spreadsheets/d/1EcLIvUgMoBC5as4ikW0wuQsGH5yVZ6cQ1y16qEfgPnk"",""BD M Sangrias!a:i""),""select Col6 whe"&amp;"re Col7 = 'Caixa Atendimento' and Col9 = '""&amp;K345&amp;""' and Col6 = ""&amp;M345&amp;"" and Col4 = date '""&amp;YEAR(C345)&amp;""-""&amp;MONTH(C345)&amp;""-""&amp;DAY(C345)&amp;""'""))&gt;0,""Caixa Atendimento"",""Caixa Sangria"")),""""),""Caixa Sangria"")"),"")</f>
        <v/>
      </c>
      <c r="M345" s="185" t="str">
        <f>IFERROR(__xludf.DUMMYFUNCTION("ifna(VALUE(REGEXEXTRACT(E345,""[0-9.]+[,]+[0-9]+"")))"),"")</f>
        <v/>
      </c>
      <c r="N345" s="185"/>
      <c r="O345" s="185"/>
      <c r="P345" s="185"/>
      <c r="Q345" s="185"/>
      <c r="R345" s="185"/>
      <c r="S345" s="185"/>
      <c r="T345" s="185"/>
      <c r="U345" s="185"/>
      <c r="V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184" t="str">
        <f>IFERROR(__xludf.DUMMYFUNCTION("ifna(IF(and(D346=""Saída"",J346=""Sangria""),if(sum(QUERY(IMPORTRANGE(""https://docs.google.com/spreadsheets/d/1E4szPcLzsqlw4uyBAoJ61L1ChCgpz4wVP8tHfHW1g_c"",""BD M Sangrias!a:i""),""select Col6 where Col7 = 'Depositada' and Col9 = '""&amp;K346&amp;""' and Col6 ="&amp;" ""&amp;M346&amp;"" and Col4 = date '""&amp;YEAR(C346)&amp;""-""&amp;MONTH(C346)&amp;""-""&amp;DAY(C346)&amp;""'""))&gt;0,""Depositada"",if(sum(QUERY(IMPORTRANGE(""https://docs.google.com/spreadsheets/d/1EcLIvUgMoBC5as4ikW0wuQsGH5yVZ6cQ1y16qEfgPnk"",""BD M Sangrias!a:i""),""select Col6 whe"&amp;"re Col7 = 'Caixa Atendimento' and Col9 = '""&amp;K346&amp;""' and Col6 = ""&amp;M346&amp;"" and Col4 = date '""&amp;YEAR(C346)&amp;""-""&amp;MONTH(C346)&amp;""-""&amp;DAY(C346)&amp;""'""))&gt;0,""Caixa Atendimento"",""Caixa Sangria"")),""""),""Caixa Sangria"")"),"")</f>
        <v/>
      </c>
      <c r="M346" s="185" t="str">
        <f>IFERROR(__xludf.DUMMYFUNCTION("ifna(VALUE(REGEXEXTRACT(E346,""[0-9.]+[,]+[0-9]+"")))"),"")</f>
        <v/>
      </c>
      <c r="N346" s="185"/>
      <c r="O346" s="185"/>
      <c r="P346" s="185"/>
      <c r="Q346" s="185"/>
      <c r="R346" s="185"/>
      <c r="S346" s="185"/>
      <c r="T346" s="185"/>
      <c r="U346" s="185"/>
      <c r="V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184" t="str">
        <f>IFERROR(__xludf.DUMMYFUNCTION("ifna(IF(and(D347=""Saída"",J347=""Sangria""),if(sum(QUERY(IMPORTRANGE(""https://docs.google.com/spreadsheets/d/1E4szPcLzsqlw4uyBAoJ61L1ChCgpz4wVP8tHfHW1g_c"",""BD M Sangrias!a:i""),""select Col6 where Col7 = 'Depositada' and Col9 = '""&amp;K347&amp;""' and Col6 ="&amp;" ""&amp;M347&amp;"" and Col4 = date '""&amp;YEAR(C347)&amp;""-""&amp;MONTH(C347)&amp;""-""&amp;DAY(C347)&amp;""'""))&gt;0,""Depositada"",if(sum(QUERY(IMPORTRANGE(""https://docs.google.com/spreadsheets/d/1EcLIvUgMoBC5as4ikW0wuQsGH5yVZ6cQ1y16qEfgPnk"",""BD M Sangrias!a:i""),""select Col6 whe"&amp;"re Col7 = 'Caixa Atendimento' and Col9 = '""&amp;K347&amp;""' and Col6 = ""&amp;M347&amp;"" and Col4 = date '""&amp;YEAR(C347)&amp;""-""&amp;MONTH(C347)&amp;""-""&amp;DAY(C347)&amp;""'""))&gt;0,""Caixa Atendimento"",""Caixa Sangria"")),""""),""Caixa Sangria"")"),"")</f>
        <v/>
      </c>
      <c r="M347" s="185" t="str">
        <f>IFERROR(__xludf.DUMMYFUNCTION("ifna(VALUE(REGEXEXTRACT(E347,""[0-9.]+[,]+[0-9]+"")))"),"")</f>
        <v/>
      </c>
      <c r="N347" s="185"/>
      <c r="O347" s="185"/>
      <c r="P347" s="185"/>
      <c r="Q347" s="185"/>
      <c r="R347" s="185"/>
      <c r="S347" s="185"/>
      <c r="T347" s="185"/>
      <c r="U347" s="185"/>
      <c r="V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184" t="str">
        <f>IFERROR(__xludf.DUMMYFUNCTION("ifna(IF(and(D348=""Saída"",J348=""Sangria""),if(sum(QUERY(IMPORTRANGE(""https://docs.google.com/spreadsheets/d/1E4szPcLzsqlw4uyBAoJ61L1ChCgpz4wVP8tHfHW1g_c"",""BD M Sangrias!a:i""),""select Col6 where Col7 = 'Depositada' and Col9 = '""&amp;K348&amp;""' and Col6 ="&amp;" ""&amp;M348&amp;"" and Col4 = date '""&amp;YEAR(C348)&amp;""-""&amp;MONTH(C348)&amp;""-""&amp;DAY(C348)&amp;""'""))&gt;0,""Depositada"",if(sum(QUERY(IMPORTRANGE(""https://docs.google.com/spreadsheets/d/1EcLIvUgMoBC5as4ikW0wuQsGH5yVZ6cQ1y16qEfgPnk"",""BD M Sangrias!a:i""),""select Col6 whe"&amp;"re Col7 = 'Caixa Atendimento' and Col9 = '""&amp;K348&amp;""' and Col6 = ""&amp;M348&amp;"" and Col4 = date '""&amp;YEAR(C348)&amp;""-""&amp;MONTH(C348)&amp;""-""&amp;DAY(C348)&amp;""'""))&gt;0,""Caixa Atendimento"",""Caixa Sangria"")),""""),""Caixa Sangria"")"),"")</f>
        <v/>
      </c>
      <c r="M348" s="185" t="str">
        <f>IFERROR(__xludf.DUMMYFUNCTION("ifna(VALUE(REGEXEXTRACT(E348,""[0-9.]+[,]+[0-9]+"")))"),"")</f>
        <v/>
      </c>
      <c r="N348" s="185"/>
      <c r="O348" s="185"/>
      <c r="P348" s="185"/>
      <c r="Q348" s="185"/>
      <c r="R348" s="185"/>
      <c r="S348" s="185"/>
      <c r="T348" s="185"/>
      <c r="U348" s="185"/>
      <c r="V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184" t="str">
        <f>IFERROR(__xludf.DUMMYFUNCTION("ifna(IF(and(D349=""Saída"",J349=""Sangria""),if(sum(QUERY(IMPORTRANGE(""https://docs.google.com/spreadsheets/d/1E4szPcLzsqlw4uyBAoJ61L1ChCgpz4wVP8tHfHW1g_c"",""BD M Sangrias!a:i""),""select Col6 where Col7 = 'Depositada' and Col9 = '""&amp;K349&amp;""' and Col6 ="&amp;" ""&amp;M349&amp;"" and Col4 = date '""&amp;YEAR(C349)&amp;""-""&amp;MONTH(C349)&amp;""-""&amp;DAY(C349)&amp;""'""))&gt;0,""Depositada"",if(sum(QUERY(IMPORTRANGE(""https://docs.google.com/spreadsheets/d/1EcLIvUgMoBC5as4ikW0wuQsGH5yVZ6cQ1y16qEfgPnk"",""BD M Sangrias!a:i""),""select Col6 whe"&amp;"re Col7 = 'Caixa Atendimento' and Col9 = '""&amp;K349&amp;""' and Col6 = ""&amp;M349&amp;"" and Col4 = date '""&amp;YEAR(C349)&amp;""-""&amp;MONTH(C349)&amp;""-""&amp;DAY(C349)&amp;""'""))&gt;0,""Caixa Atendimento"",""Caixa Sangria"")),""""),""Caixa Sangria"")"),"")</f>
        <v/>
      </c>
      <c r="M349" s="185" t="str">
        <f>IFERROR(__xludf.DUMMYFUNCTION("ifna(VALUE(REGEXEXTRACT(E349,""[0-9.]+[,]+[0-9]+"")))"),"")</f>
        <v/>
      </c>
      <c r="N349" s="185"/>
      <c r="O349" s="185"/>
      <c r="P349" s="185"/>
      <c r="Q349" s="185"/>
      <c r="R349" s="185"/>
      <c r="S349" s="185"/>
      <c r="T349" s="185"/>
      <c r="U349" s="185"/>
      <c r="V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184" t="str">
        <f>IFERROR(__xludf.DUMMYFUNCTION("ifna(IF(and(D350=""Saída"",J350=""Sangria""),if(sum(QUERY(IMPORTRANGE(""https://docs.google.com/spreadsheets/d/1E4szPcLzsqlw4uyBAoJ61L1ChCgpz4wVP8tHfHW1g_c"",""BD M Sangrias!a:i""),""select Col6 where Col7 = 'Depositada' and Col9 = '""&amp;K350&amp;""' and Col6 ="&amp;" ""&amp;M350&amp;"" and Col4 = date '""&amp;YEAR(C350)&amp;""-""&amp;MONTH(C350)&amp;""-""&amp;DAY(C350)&amp;""'""))&gt;0,""Depositada"",if(sum(QUERY(IMPORTRANGE(""https://docs.google.com/spreadsheets/d/1EcLIvUgMoBC5as4ikW0wuQsGH5yVZ6cQ1y16qEfgPnk"",""BD M Sangrias!a:i""),""select Col6 whe"&amp;"re Col7 = 'Caixa Atendimento' and Col9 = '""&amp;K350&amp;""' and Col6 = ""&amp;M350&amp;"" and Col4 = date '""&amp;YEAR(C350)&amp;""-""&amp;MONTH(C350)&amp;""-""&amp;DAY(C350)&amp;""'""))&gt;0,""Caixa Atendimento"",""Caixa Sangria"")),""""),""Caixa Sangria"")"),"")</f>
        <v/>
      </c>
      <c r="M350" s="185" t="str">
        <f>IFERROR(__xludf.DUMMYFUNCTION("ifna(VALUE(REGEXEXTRACT(E350,""[0-9.]+[,]+[0-9]+"")))"),"")</f>
        <v/>
      </c>
      <c r="N350" s="185"/>
      <c r="O350" s="185"/>
      <c r="P350" s="185"/>
      <c r="Q350" s="185"/>
      <c r="R350" s="185"/>
      <c r="S350" s="185"/>
      <c r="T350" s="185"/>
      <c r="U350" s="185"/>
      <c r="V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184" t="str">
        <f>IFERROR(__xludf.DUMMYFUNCTION("ifna(IF(and(D351=""Saída"",J351=""Sangria""),if(sum(QUERY(IMPORTRANGE(""https://docs.google.com/spreadsheets/d/1E4szPcLzsqlw4uyBAoJ61L1ChCgpz4wVP8tHfHW1g_c"",""BD M Sangrias!a:i""),""select Col6 where Col7 = 'Depositada' and Col9 = '""&amp;K351&amp;""' and Col6 ="&amp;" ""&amp;M351&amp;"" and Col4 = date '""&amp;YEAR(C351)&amp;""-""&amp;MONTH(C351)&amp;""-""&amp;DAY(C351)&amp;""'""))&gt;0,""Depositada"",if(sum(QUERY(IMPORTRANGE(""https://docs.google.com/spreadsheets/d/1EcLIvUgMoBC5as4ikW0wuQsGH5yVZ6cQ1y16qEfgPnk"",""BD M Sangrias!a:i""),""select Col6 whe"&amp;"re Col7 = 'Caixa Atendimento' and Col9 = '""&amp;K351&amp;""' and Col6 = ""&amp;M351&amp;"" and Col4 = date '""&amp;YEAR(C351)&amp;""-""&amp;MONTH(C351)&amp;""-""&amp;DAY(C351)&amp;""'""))&gt;0,""Caixa Atendimento"",""Caixa Sangria"")),""""),""Caixa Sangria"")"),"")</f>
        <v/>
      </c>
      <c r="M351" s="185" t="str">
        <f>IFERROR(__xludf.DUMMYFUNCTION("ifna(VALUE(REGEXEXTRACT(E351,""[0-9.]+[,]+[0-9]+"")))"),"")</f>
        <v/>
      </c>
      <c r="N351" s="185"/>
      <c r="O351" s="185"/>
      <c r="P351" s="185"/>
      <c r="Q351" s="185"/>
      <c r="R351" s="185"/>
      <c r="S351" s="185"/>
      <c r="T351" s="185"/>
      <c r="U351" s="185"/>
      <c r="V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184" t="str">
        <f>IFERROR(__xludf.DUMMYFUNCTION("ifna(IF(and(D352=""Saída"",J352=""Sangria""),if(sum(QUERY(IMPORTRANGE(""https://docs.google.com/spreadsheets/d/1E4szPcLzsqlw4uyBAoJ61L1ChCgpz4wVP8tHfHW1g_c"",""BD M Sangrias!a:i""),""select Col6 where Col7 = 'Depositada' and Col9 = '""&amp;K352&amp;""' and Col6 ="&amp;" ""&amp;M352&amp;"" and Col4 = date '""&amp;YEAR(C352)&amp;""-""&amp;MONTH(C352)&amp;""-""&amp;DAY(C352)&amp;""'""))&gt;0,""Depositada"",if(sum(QUERY(IMPORTRANGE(""https://docs.google.com/spreadsheets/d/1EcLIvUgMoBC5as4ikW0wuQsGH5yVZ6cQ1y16qEfgPnk"",""BD M Sangrias!a:i""),""select Col6 whe"&amp;"re Col7 = 'Caixa Atendimento' and Col9 = '""&amp;K352&amp;""' and Col6 = ""&amp;M352&amp;"" and Col4 = date '""&amp;YEAR(C352)&amp;""-""&amp;MONTH(C352)&amp;""-""&amp;DAY(C352)&amp;""'""))&gt;0,""Caixa Atendimento"",""Caixa Sangria"")),""""),""Caixa Sangria"")"),"")</f>
        <v/>
      </c>
      <c r="M352" s="185" t="str">
        <f>IFERROR(__xludf.DUMMYFUNCTION("ifna(VALUE(REGEXEXTRACT(E352,""[0-9.]+[,]+[0-9]+"")))"),"")</f>
        <v/>
      </c>
      <c r="N352" s="185"/>
      <c r="O352" s="185"/>
      <c r="P352" s="185"/>
      <c r="Q352" s="185"/>
      <c r="R352" s="185"/>
      <c r="S352" s="185"/>
      <c r="T352" s="185"/>
      <c r="U352" s="185"/>
      <c r="V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184" t="str">
        <f>IFERROR(__xludf.DUMMYFUNCTION("ifna(IF(and(D353=""Saída"",J353=""Sangria""),if(sum(QUERY(IMPORTRANGE(""https://docs.google.com/spreadsheets/d/1E4szPcLzsqlw4uyBAoJ61L1ChCgpz4wVP8tHfHW1g_c"",""BD M Sangrias!a:i""),""select Col6 where Col7 = 'Depositada' and Col9 = '""&amp;K353&amp;""' and Col6 ="&amp;" ""&amp;M353&amp;"" and Col4 = date '""&amp;YEAR(C353)&amp;""-""&amp;MONTH(C353)&amp;""-""&amp;DAY(C353)&amp;""'""))&gt;0,""Depositada"",if(sum(QUERY(IMPORTRANGE(""https://docs.google.com/spreadsheets/d/1EcLIvUgMoBC5as4ikW0wuQsGH5yVZ6cQ1y16qEfgPnk"",""BD M Sangrias!a:i""),""select Col6 whe"&amp;"re Col7 = 'Caixa Atendimento' and Col9 = '""&amp;K353&amp;""' and Col6 = ""&amp;M353&amp;"" and Col4 = date '""&amp;YEAR(C353)&amp;""-""&amp;MONTH(C353)&amp;""-""&amp;DAY(C353)&amp;""'""))&gt;0,""Caixa Atendimento"",""Caixa Sangria"")),""""),""Caixa Sangria"")"),"")</f>
        <v/>
      </c>
      <c r="M353" s="185" t="str">
        <f>IFERROR(__xludf.DUMMYFUNCTION("ifna(VALUE(REGEXEXTRACT(E353,""[0-9.]+[,]+[0-9]+"")))"),"")</f>
        <v/>
      </c>
      <c r="N353" s="185"/>
      <c r="O353" s="185"/>
      <c r="P353" s="185"/>
      <c r="Q353" s="185"/>
      <c r="R353" s="185"/>
      <c r="S353" s="185"/>
      <c r="T353" s="185"/>
      <c r="U353" s="185"/>
      <c r="V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184" t="str">
        <f>IFERROR(__xludf.DUMMYFUNCTION("ifna(IF(and(D354=""Saída"",J354=""Sangria""),if(sum(QUERY(IMPORTRANGE(""https://docs.google.com/spreadsheets/d/1E4szPcLzsqlw4uyBAoJ61L1ChCgpz4wVP8tHfHW1g_c"",""BD M Sangrias!a:i""),""select Col6 where Col7 = 'Depositada' and Col9 = '""&amp;K354&amp;""' and Col6 ="&amp;" ""&amp;M354&amp;"" and Col4 = date '""&amp;YEAR(C354)&amp;""-""&amp;MONTH(C354)&amp;""-""&amp;DAY(C354)&amp;""'""))&gt;0,""Depositada"",if(sum(QUERY(IMPORTRANGE(""https://docs.google.com/spreadsheets/d/1EcLIvUgMoBC5as4ikW0wuQsGH5yVZ6cQ1y16qEfgPnk"",""BD M Sangrias!a:i""),""select Col6 whe"&amp;"re Col7 = 'Caixa Atendimento' and Col9 = '""&amp;K354&amp;""' and Col6 = ""&amp;M354&amp;"" and Col4 = date '""&amp;YEAR(C354)&amp;""-""&amp;MONTH(C354)&amp;""-""&amp;DAY(C354)&amp;""'""))&gt;0,""Caixa Atendimento"",""Caixa Sangria"")),""""),""Caixa Sangria"")"),"")</f>
        <v/>
      </c>
      <c r="M354" s="185" t="str">
        <f>IFERROR(__xludf.DUMMYFUNCTION("ifna(VALUE(REGEXEXTRACT(E354,""[0-9.]+[,]+[0-9]+"")))"),"")</f>
        <v/>
      </c>
      <c r="N354" s="185"/>
      <c r="O354" s="185"/>
      <c r="P354" s="185"/>
      <c r="Q354" s="185"/>
      <c r="R354" s="185"/>
      <c r="S354" s="185"/>
      <c r="T354" s="185"/>
      <c r="U354" s="185"/>
      <c r="V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184" t="str">
        <f>IFERROR(__xludf.DUMMYFUNCTION("ifna(IF(and(D355=""Saída"",J355=""Sangria""),if(sum(QUERY(IMPORTRANGE(""https://docs.google.com/spreadsheets/d/1E4szPcLzsqlw4uyBAoJ61L1ChCgpz4wVP8tHfHW1g_c"",""BD M Sangrias!a:i""),""select Col6 where Col7 = 'Depositada' and Col9 = '""&amp;K355&amp;""' and Col6 ="&amp;" ""&amp;M355&amp;"" and Col4 = date '""&amp;YEAR(C355)&amp;""-""&amp;MONTH(C355)&amp;""-""&amp;DAY(C355)&amp;""'""))&gt;0,""Depositada"",if(sum(QUERY(IMPORTRANGE(""https://docs.google.com/spreadsheets/d/1EcLIvUgMoBC5as4ikW0wuQsGH5yVZ6cQ1y16qEfgPnk"",""BD M Sangrias!a:i""),""select Col6 whe"&amp;"re Col7 = 'Caixa Atendimento' and Col9 = '""&amp;K355&amp;""' and Col6 = ""&amp;M355&amp;"" and Col4 = date '""&amp;YEAR(C355)&amp;""-""&amp;MONTH(C355)&amp;""-""&amp;DAY(C355)&amp;""'""))&gt;0,""Caixa Atendimento"",""Caixa Sangria"")),""""),""Caixa Sangria"")"),"")</f>
        <v/>
      </c>
      <c r="M355" s="185" t="str">
        <f>IFERROR(__xludf.DUMMYFUNCTION("ifna(VALUE(REGEXEXTRACT(E355,""[0-9.]+[,]+[0-9]+"")))"),"")</f>
        <v/>
      </c>
      <c r="N355" s="185"/>
      <c r="O355" s="185"/>
      <c r="P355" s="185"/>
      <c r="Q355" s="185"/>
      <c r="R355" s="185"/>
      <c r="S355" s="185"/>
      <c r="T355" s="185"/>
      <c r="U355" s="185"/>
      <c r="V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184" t="str">
        <f>IFERROR(__xludf.DUMMYFUNCTION("ifna(IF(and(D356=""Saída"",J356=""Sangria""),if(sum(QUERY(IMPORTRANGE(""https://docs.google.com/spreadsheets/d/1E4szPcLzsqlw4uyBAoJ61L1ChCgpz4wVP8tHfHW1g_c"",""BD M Sangrias!a:i""),""select Col6 where Col7 = 'Depositada' and Col9 = '""&amp;K356&amp;""' and Col6 ="&amp;" ""&amp;M356&amp;"" and Col4 = date '""&amp;YEAR(C356)&amp;""-""&amp;MONTH(C356)&amp;""-""&amp;DAY(C356)&amp;""'""))&gt;0,""Depositada"",if(sum(QUERY(IMPORTRANGE(""https://docs.google.com/spreadsheets/d/1EcLIvUgMoBC5as4ikW0wuQsGH5yVZ6cQ1y16qEfgPnk"",""BD M Sangrias!a:i""),""select Col6 whe"&amp;"re Col7 = 'Caixa Atendimento' and Col9 = '""&amp;K356&amp;""' and Col6 = ""&amp;M356&amp;"" and Col4 = date '""&amp;YEAR(C356)&amp;""-""&amp;MONTH(C356)&amp;""-""&amp;DAY(C356)&amp;""'""))&gt;0,""Caixa Atendimento"",""Caixa Sangria"")),""""),""Caixa Sangria"")"),"")</f>
        <v/>
      </c>
      <c r="M356" s="185" t="str">
        <f>IFERROR(__xludf.DUMMYFUNCTION("ifna(VALUE(REGEXEXTRACT(E356,""[0-9.]+[,]+[0-9]+"")))"),"")</f>
        <v/>
      </c>
      <c r="N356" s="185"/>
      <c r="O356" s="185"/>
      <c r="P356" s="185"/>
      <c r="Q356" s="185"/>
      <c r="R356" s="185"/>
      <c r="S356" s="185"/>
      <c r="T356" s="185"/>
      <c r="U356" s="185"/>
      <c r="V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184" t="str">
        <f>IFERROR(__xludf.DUMMYFUNCTION("ifna(IF(and(D357=""Saída"",J357=""Sangria""),if(sum(QUERY(IMPORTRANGE(""https://docs.google.com/spreadsheets/d/1E4szPcLzsqlw4uyBAoJ61L1ChCgpz4wVP8tHfHW1g_c"",""BD M Sangrias!a:i""),""select Col6 where Col7 = 'Depositada' and Col9 = '""&amp;K357&amp;""' and Col6 ="&amp;" ""&amp;M357&amp;"" and Col4 = date '""&amp;YEAR(C357)&amp;""-""&amp;MONTH(C357)&amp;""-""&amp;DAY(C357)&amp;""'""))&gt;0,""Depositada"",if(sum(QUERY(IMPORTRANGE(""https://docs.google.com/spreadsheets/d/1EcLIvUgMoBC5as4ikW0wuQsGH5yVZ6cQ1y16qEfgPnk"",""BD M Sangrias!a:i""),""select Col6 whe"&amp;"re Col7 = 'Caixa Atendimento' and Col9 = '""&amp;K357&amp;""' and Col6 = ""&amp;M357&amp;"" and Col4 = date '""&amp;YEAR(C357)&amp;""-""&amp;MONTH(C357)&amp;""-""&amp;DAY(C357)&amp;""'""))&gt;0,""Caixa Atendimento"",""Caixa Sangria"")),""""),""Caixa Sangria"")"),"")</f>
        <v/>
      </c>
      <c r="M357" s="185" t="str">
        <f>IFERROR(__xludf.DUMMYFUNCTION("ifna(VALUE(REGEXEXTRACT(E357,""[0-9.]+[,]+[0-9]+"")))"),"")</f>
        <v/>
      </c>
      <c r="N357" s="185"/>
      <c r="O357" s="185"/>
      <c r="P357" s="185"/>
      <c r="Q357" s="185"/>
      <c r="R357" s="185"/>
      <c r="S357" s="185"/>
      <c r="T357" s="185"/>
      <c r="U357" s="185"/>
      <c r="V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184" t="str">
        <f>IFERROR(__xludf.DUMMYFUNCTION("ifna(IF(and(D358=""Saída"",J358=""Sangria""),if(sum(QUERY(IMPORTRANGE(""https://docs.google.com/spreadsheets/d/1E4szPcLzsqlw4uyBAoJ61L1ChCgpz4wVP8tHfHW1g_c"",""BD M Sangrias!a:i""),""select Col6 where Col7 = 'Depositada' and Col9 = '""&amp;K358&amp;""' and Col6 ="&amp;" ""&amp;M358&amp;"" and Col4 = date '""&amp;YEAR(C358)&amp;""-""&amp;MONTH(C358)&amp;""-""&amp;DAY(C358)&amp;""'""))&gt;0,""Depositada"",if(sum(QUERY(IMPORTRANGE(""https://docs.google.com/spreadsheets/d/1EcLIvUgMoBC5as4ikW0wuQsGH5yVZ6cQ1y16qEfgPnk"",""BD M Sangrias!a:i""),""select Col6 whe"&amp;"re Col7 = 'Caixa Atendimento' and Col9 = '""&amp;K358&amp;""' and Col6 = ""&amp;M358&amp;"" and Col4 = date '""&amp;YEAR(C358)&amp;""-""&amp;MONTH(C358)&amp;""-""&amp;DAY(C358)&amp;""'""))&gt;0,""Caixa Atendimento"",""Caixa Sangria"")),""""),""Caixa Sangria"")"),"")</f>
        <v/>
      </c>
      <c r="M358" s="185" t="str">
        <f>IFERROR(__xludf.DUMMYFUNCTION("ifna(VALUE(REGEXEXTRACT(E358,""[0-9.]+[,]+[0-9]+"")))"),"")</f>
        <v/>
      </c>
      <c r="N358" s="185"/>
      <c r="O358" s="185"/>
      <c r="P358" s="185"/>
      <c r="Q358" s="185"/>
      <c r="R358" s="185"/>
      <c r="S358" s="185"/>
      <c r="T358" s="185"/>
      <c r="U358" s="185"/>
      <c r="V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184" t="str">
        <f>IFERROR(__xludf.DUMMYFUNCTION("ifna(IF(and(D359=""Saída"",J359=""Sangria""),if(sum(QUERY(IMPORTRANGE(""https://docs.google.com/spreadsheets/d/1E4szPcLzsqlw4uyBAoJ61L1ChCgpz4wVP8tHfHW1g_c"",""BD M Sangrias!a:i""),""select Col6 where Col7 = 'Depositada' and Col9 = '""&amp;K359&amp;""' and Col6 ="&amp;" ""&amp;M359&amp;"" and Col4 = date '""&amp;YEAR(C359)&amp;""-""&amp;MONTH(C359)&amp;""-""&amp;DAY(C359)&amp;""'""))&gt;0,""Depositada"",if(sum(QUERY(IMPORTRANGE(""https://docs.google.com/spreadsheets/d/1EcLIvUgMoBC5as4ikW0wuQsGH5yVZ6cQ1y16qEfgPnk"",""BD M Sangrias!a:i""),""select Col6 whe"&amp;"re Col7 = 'Caixa Atendimento' and Col9 = '""&amp;K359&amp;""' and Col6 = ""&amp;M359&amp;"" and Col4 = date '""&amp;YEAR(C359)&amp;""-""&amp;MONTH(C359)&amp;""-""&amp;DAY(C359)&amp;""'""))&gt;0,""Caixa Atendimento"",""Caixa Sangria"")),""""),""Caixa Sangria"")"),"")</f>
        <v/>
      </c>
      <c r="M359" s="185" t="str">
        <f>IFERROR(__xludf.DUMMYFUNCTION("ifna(VALUE(REGEXEXTRACT(E359,""[0-9.]+[,]+[0-9]+"")))"),"")</f>
        <v/>
      </c>
      <c r="N359" s="185"/>
      <c r="O359" s="185"/>
      <c r="P359" s="185"/>
      <c r="Q359" s="185"/>
      <c r="R359" s="185"/>
      <c r="S359" s="185"/>
      <c r="T359" s="185"/>
      <c r="U359" s="185"/>
      <c r="V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184" t="str">
        <f>IFERROR(__xludf.DUMMYFUNCTION("ifna(IF(and(D360=""Saída"",J360=""Sangria""),if(sum(QUERY(IMPORTRANGE(""https://docs.google.com/spreadsheets/d/1E4szPcLzsqlw4uyBAoJ61L1ChCgpz4wVP8tHfHW1g_c"",""BD M Sangrias!a:i""),""select Col6 where Col7 = 'Depositada' and Col9 = '""&amp;K360&amp;""' and Col6 ="&amp;" ""&amp;M360&amp;"" and Col4 = date '""&amp;YEAR(C360)&amp;""-""&amp;MONTH(C360)&amp;""-""&amp;DAY(C360)&amp;""'""))&gt;0,""Depositada"",if(sum(QUERY(IMPORTRANGE(""https://docs.google.com/spreadsheets/d/1EcLIvUgMoBC5as4ikW0wuQsGH5yVZ6cQ1y16qEfgPnk"",""BD M Sangrias!a:i""),""select Col6 whe"&amp;"re Col7 = 'Caixa Atendimento' and Col9 = '""&amp;K360&amp;""' and Col6 = ""&amp;M360&amp;"" and Col4 = date '""&amp;YEAR(C360)&amp;""-""&amp;MONTH(C360)&amp;""-""&amp;DAY(C360)&amp;""'""))&gt;0,""Caixa Atendimento"",""Caixa Sangria"")),""""),""Caixa Sangria"")"),"")</f>
        <v/>
      </c>
      <c r="M360" s="185" t="str">
        <f>IFERROR(__xludf.DUMMYFUNCTION("ifna(VALUE(REGEXEXTRACT(E360,""[0-9.]+[,]+[0-9]+"")))"),"")</f>
        <v/>
      </c>
      <c r="N360" s="185"/>
      <c r="O360" s="185"/>
      <c r="P360" s="185"/>
      <c r="Q360" s="185"/>
      <c r="R360" s="185"/>
      <c r="S360" s="185"/>
      <c r="T360" s="185"/>
      <c r="U360" s="185"/>
      <c r="V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184" t="str">
        <f>IFERROR(__xludf.DUMMYFUNCTION("ifna(IF(and(D361=""Saída"",J361=""Sangria""),if(sum(QUERY(IMPORTRANGE(""https://docs.google.com/spreadsheets/d/1E4szPcLzsqlw4uyBAoJ61L1ChCgpz4wVP8tHfHW1g_c"",""BD M Sangrias!a:i""),""select Col6 where Col7 = 'Depositada' and Col9 = '""&amp;K361&amp;""' and Col6 ="&amp;" ""&amp;M361&amp;"" and Col4 = date '""&amp;YEAR(C361)&amp;""-""&amp;MONTH(C361)&amp;""-""&amp;DAY(C361)&amp;""'""))&gt;0,""Depositada"",if(sum(QUERY(IMPORTRANGE(""https://docs.google.com/spreadsheets/d/1EcLIvUgMoBC5as4ikW0wuQsGH5yVZ6cQ1y16qEfgPnk"",""BD M Sangrias!a:i""),""select Col6 whe"&amp;"re Col7 = 'Caixa Atendimento' and Col9 = '""&amp;K361&amp;""' and Col6 = ""&amp;M361&amp;"" and Col4 = date '""&amp;YEAR(C361)&amp;""-""&amp;MONTH(C361)&amp;""-""&amp;DAY(C361)&amp;""'""))&gt;0,""Caixa Atendimento"",""Caixa Sangria"")),""""),""Caixa Sangria"")"),"")</f>
        <v/>
      </c>
      <c r="M361" s="185" t="str">
        <f>IFERROR(__xludf.DUMMYFUNCTION("ifna(VALUE(REGEXEXTRACT(E361,""[0-9.]+[,]+[0-9]+"")))"),"")</f>
        <v/>
      </c>
      <c r="N361" s="185"/>
      <c r="O361" s="185"/>
      <c r="P361" s="185"/>
      <c r="Q361" s="185"/>
      <c r="R361" s="185"/>
      <c r="S361" s="185"/>
      <c r="T361" s="185"/>
      <c r="U361" s="185"/>
      <c r="V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184" t="str">
        <f>IFERROR(__xludf.DUMMYFUNCTION("ifna(IF(and(D362=""Saída"",J362=""Sangria""),if(sum(QUERY(IMPORTRANGE(""https://docs.google.com/spreadsheets/d/1E4szPcLzsqlw4uyBAoJ61L1ChCgpz4wVP8tHfHW1g_c"",""BD M Sangrias!a:i""),""select Col6 where Col7 = 'Depositada' and Col9 = '""&amp;K362&amp;""' and Col6 ="&amp;" ""&amp;M362&amp;"" and Col4 = date '""&amp;YEAR(C362)&amp;""-""&amp;MONTH(C362)&amp;""-""&amp;DAY(C362)&amp;""'""))&gt;0,""Depositada"",if(sum(QUERY(IMPORTRANGE(""https://docs.google.com/spreadsheets/d/1EcLIvUgMoBC5as4ikW0wuQsGH5yVZ6cQ1y16qEfgPnk"",""BD M Sangrias!a:i""),""select Col6 whe"&amp;"re Col7 = 'Caixa Atendimento' and Col9 = '""&amp;K362&amp;""' and Col6 = ""&amp;M362&amp;"" and Col4 = date '""&amp;YEAR(C362)&amp;""-""&amp;MONTH(C362)&amp;""-""&amp;DAY(C362)&amp;""'""))&gt;0,""Caixa Atendimento"",""Caixa Sangria"")),""""),""Caixa Sangria"")"),"")</f>
        <v/>
      </c>
      <c r="M362" s="185" t="str">
        <f>IFERROR(__xludf.DUMMYFUNCTION("ifna(VALUE(REGEXEXTRACT(E362,""[0-9.]+[,]+[0-9]+"")))"),"")</f>
        <v/>
      </c>
      <c r="N362" s="185"/>
      <c r="O362" s="185"/>
      <c r="P362" s="185"/>
      <c r="Q362" s="185"/>
      <c r="R362" s="185"/>
      <c r="S362" s="185"/>
      <c r="T362" s="185"/>
      <c r="U362" s="185"/>
      <c r="V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184" t="str">
        <f>IFERROR(__xludf.DUMMYFUNCTION("ifna(IF(and(D363=""Saída"",J363=""Sangria""),if(sum(QUERY(IMPORTRANGE(""https://docs.google.com/spreadsheets/d/1E4szPcLzsqlw4uyBAoJ61L1ChCgpz4wVP8tHfHW1g_c"",""BD M Sangrias!a:i""),""select Col6 where Col7 = 'Depositada' and Col9 = '""&amp;K363&amp;""' and Col6 ="&amp;" ""&amp;M363&amp;"" and Col4 = date '""&amp;YEAR(C363)&amp;""-""&amp;MONTH(C363)&amp;""-""&amp;DAY(C363)&amp;""'""))&gt;0,""Depositada"",if(sum(QUERY(IMPORTRANGE(""https://docs.google.com/spreadsheets/d/1EcLIvUgMoBC5as4ikW0wuQsGH5yVZ6cQ1y16qEfgPnk"",""BD M Sangrias!a:i""),""select Col6 whe"&amp;"re Col7 = 'Caixa Atendimento' and Col9 = '""&amp;K363&amp;""' and Col6 = ""&amp;M363&amp;"" and Col4 = date '""&amp;YEAR(C363)&amp;""-""&amp;MONTH(C363)&amp;""-""&amp;DAY(C363)&amp;""'""))&gt;0,""Caixa Atendimento"",""Caixa Sangria"")),""""),""Caixa Sangria"")"),"")</f>
        <v/>
      </c>
      <c r="M363" s="185" t="str">
        <f>IFERROR(__xludf.DUMMYFUNCTION("ifna(VALUE(REGEXEXTRACT(E363,""[0-9.]+[,]+[0-9]+"")))"),"")</f>
        <v/>
      </c>
      <c r="N363" s="185"/>
      <c r="O363" s="185"/>
      <c r="P363" s="185"/>
      <c r="Q363" s="185"/>
      <c r="R363" s="185"/>
      <c r="S363" s="185"/>
      <c r="T363" s="185"/>
      <c r="U363" s="185"/>
      <c r="V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184" t="str">
        <f>IFERROR(__xludf.DUMMYFUNCTION("ifna(IF(and(D364=""Saída"",J364=""Sangria""),if(sum(QUERY(IMPORTRANGE(""https://docs.google.com/spreadsheets/d/1E4szPcLzsqlw4uyBAoJ61L1ChCgpz4wVP8tHfHW1g_c"",""BD M Sangrias!a:i""),""select Col6 where Col7 = 'Depositada' and Col9 = '""&amp;K364&amp;""' and Col6 ="&amp;" ""&amp;M364&amp;"" and Col4 = date '""&amp;YEAR(C364)&amp;""-""&amp;MONTH(C364)&amp;""-""&amp;DAY(C364)&amp;""'""))&gt;0,""Depositada"",if(sum(QUERY(IMPORTRANGE(""https://docs.google.com/spreadsheets/d/1EcLIvUgMoBC5as4ikW0wuQsGH5yVZ6cQ1y16qEfgPnk"",""BD M Sangrias!a:i""),""select Col6 whe"&amp;"re Col7 = 'Caixa Atendimento' and Col9 = '""&amp;K364&amp;""' and Col6 = ""&amp;M364&amp;"" and Col4 = date '""&amp;YEAR(C364)&amp;""-""&amp;MONTH(C364)&amp;""-""&amp;DAY(C364)&amp;""'""))&gt;0,""Caixa Atendimento"",""Caixa Sangria"")),""""),""Caixa Sangria"")"),"")</f>
        <v/>
      </c>
      <c r="M364" s="185" t="str">
        <f>IFERROR(__xludf.DUMMYFUNCTION("ifna(VALUE(REGEXEXTRACT(E364,""[0-9.]+[,]+[0-9]+"")))"),"")</f>
        <v/>
      </c>
      <c r="N364" s="185"/>
      <c r="O364" s="185"/>
      <c r="P364" s="185"/>
      <c r="Q364" s="185"/>
      <c r="R364" s="185"/>
      <c r="S364" s="185"/>
      <c r="T364" s="185"/>
      <c r="U364" s="185"/>
      <c r="V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184" t="str">
        <f>IFERROR(__xludf.DUMMYFUNCTION("ifna(IF(and(D365=""Saída"",J365=""Sangria""),if(sum(QUERY(IMPORTRANGE(""https://docs.google.com/spreadsheets/d/1E4szPcLzsqlw4uyBAoJ61L1ChCgpz4wVP8tHfHW1g_c"",""BD M Sangrias!a:i""),""select Col6 where Col7 = 'Depositada' and Col9 = '""&amp;K365&amp;""' and Col6 ="&amp;" ""&amp;M365&amp;"" and Col4 = date '""&amp;YEAR(C365)&amp;""-""&amp;MONTH(C365)&amp;""-""&amp;DAY(C365)&amp;""'""))&gt;0,""Depositada"",if(sum(QUERY(IMPORTRANGE(""https://docs.google.com/spreadsheets/d/1EcLIvUgMoBC5as4ikW0wuQsGH5yVZ6cQ1y16qEfgPnk"",""BD M Sangrias!a:i""),""select Col6 whe"&amp;"re Col7 = 'Caixa Atendimento' and Col9 = '""&amp;K365&amp;""' and Col6 = ""&amp;M365&amp;"" and Col4 = date '""&amp;YEAR(C365)&amp;""-""&amp;MONTH(C365)&amp;""-""&amp;DAY(C365)&amp;""'""))&gt;0,""Caixa Atendimento"",""Caixa Sangria"")),""""),""Caixa Sangria"")"),"")</f>
        <v/>
      </c>
      <c r="M365" s="185" t="str">
        <f>IFERROR(__xludf.DUMMYFUNCTION("ifna(VALUE(REGEXEXTRACT(E365,""[0-9.]+[,]+[0-9]+"")))"),"")</f>
        <v/>
      </c>
      <c r="N365" s="185"/>
      <c r="O365" s="185"/>
      <c r="P365" s="185"/>
      <c r="Q365" s="185"/>
      <c r="R365" s="185"/>
      <c r="S365" s="185"/>
      <c r="T365" s="185"/>
      <c r="U365" s="185"/>
      <c r="V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184" t="str">
        <f>IFERROR(__xludf.DUMMYFUNCTION("ifna(IF(and(D366=""Saída"",J366=""Sangria""),if(sum(QUERY(IMPORTRANGE(""https://docs.google.com/spreadsheets/d/1E4szPcLzsqlw4uyBAoJ61L1ChCgpz4wVP8tHfHW1g_c"",""BD M Sangrias!a:i""),""select Col6 where Col7 = 'Depositada' and Col9 = '""&amp;K366&amp;""' and Col6 ="&amp;" ""&amp;M366&amp;"" and Col4 = date '""&amp;YEAR(C366)&amp;""-""&amp;MONTH(C366)&amp;""-""&amp;DAY(C366)&amp;""'""))&gt;0,""Depositada"",if(sum(QUERY(IMPORTRANGE(""https://docs.google.com/spreadsheets/d/1EcLIvUgMoBC5as4ikW0wuQsGH5yVZ6cQ1y16qEfgPnk"",""BD M Sangrias!a:i""),""select Col6 whe"&amp;"re Col7 = 'Caixa Atendimento' and Col9 = '""&amp;K366&amp;""' and Col6 = ""&amp;M366&amp;"" and Col4 = date '""&amp;YEAR(C366)&amp;""-""&amp;MONTH(C366)&amp;""-""&amp;DAY(C366)&amp;""'""))&gt;0,""Caixa Atendimento"",""Caixa Sangria"")),""""),""Caixa Sangria"")"),"")</f>
        <v/>
      </c>
      <c r="M366" s="185" t="str">
        <f>IFERROR(__xludf.DUMMYFUNCTION("ifna(VALUE(REGEXEXTRACT(E366,""[0-9.]+[,]+[0-9]+"")))"),"")</f>
        <v/>
      </c>
      <c r="N366" s="185"/>
      <c r="O366" s="185"/>
      <c r="P366" s="185"/>
      <c r="Q366" s="185"/>
      <c r="R366" s="185"/>
      <c r="S366" s="185"/>
      <c r="T366" s="185"/>
      <c r="U366" s="185"/>
      <c r="V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184" t="str">
        <f>IFERROR(__xludf.DUMMYFUNCTION("ifna(IF(and(D367=""Saída"",J367=""Sangria""),if(sum(QUERY(IMPORTRANGE(""https://docs.google.com/spreadsheets/d/1E4szPcLzsqlw4uyBAoJ61L1ChCgpz4wVP8tHfHW1g_c"",""BD M Sangrias!a:i""),""select Col6 where Col7 = 'Depositada' and Col9 = '""&amp;K367&amp;""' and Col6 ="&amp;" ""&amp;M367&amp;"" and Col4 = date '""&amp;YEAR(C367)&amp;""-""&amp;MONTH(C367)&amp;""-""&amp;DAY(C367)&amp;""'""))&gt;0,""Depositada"",if(sum(QUERY(IMPORTRANGE(""https://docs.google.com/spreadsheets/d/1EcLIvUgMoBC5as4ikW0wuQsGH5yVZ6cQ1y16qEfgPnk"",""BD M Sangrias!a:i""),""select Col6 whe"&amp;"re Col7 = 'Caixa Atendimento' and Col9 = '""&amp;K367&amp;""' and Col6 = ""&amp;M367&amp;"" and Col4 = date '""&amp;YEAR(C367)&amp;""-""&amp;MONTH(C367)&amp;""-""&amp;DAY(C367)&amp;""'""))&gt;0,""Caixa Atendimento"",""Caixa Sangria"")),""""),""Caixa Sangria"")"),"")</f>
        <v/>
      </c>
      <c r="M367" s="185" t="str">
        <f>IFERROR(__xludf.DUMMYFUNCTION("ifna(VALUE(REGEXEXTRACT(E367,""[0-9.]+[,]+[0-9]+"")))"),"")</f>
        <v/>
      </c>
      <c r="N367" s="185"/>
      <c r="O367" s="185"/>
      <c r="P367" s="185"/>
      <c r="Q367" s="185"/>
      <c r="R367" s="185"/>
      <c r="S367" s="185"/>
      <c r="T367" s="185"/>
      <c r="U367" s="185"/>
      <c r="V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184" t="str">
        <f>IFERROR(__xludf.DUMMYFUNCTION("ifna(IF(and(D368=""Saída"",J368=""Sangria""),if(sum(QUERY(IMPORTRANGE(""https://docs.google.com/spreadsheets/d/1E4szPcLzsqlw4uyBAoJ61L1ChCgpz4wVP8tHfHW1g_c"",""BD M Sangrias!a:i""),""select Col6 where Col7 = 'Depositada' and Col9 = '""&amp;K368&amp;""' and Col6 ="&amp;" ""&amp;M368&amp;"" and Col4 = date '""&amp;YEAR(C368)&amp;""-""&amp;MONTH(C368)&amp;""-""&amp;DAY(C368)&amp;""'""))&gt;0,""Depositada"",if(sum(QUERY(IMPORTRANGE(""https://docs.google.com/spreadsheets/d/1EcLIvUgMoBC5as4ikW0wuQsGH5yVZ6cQ1y16qEfgPnk"",""BD M Sangrias!a:i""),""select Col6 whe"&amp;"re Col7 = 'Caixa Atendimento' and Col9 = '""&amp;K368&amp;""' and Col6 = ""&amp;M368&amp;"" and Col4 = date '""&amp;YEAR(C368)&amp;""-""&amp;MONTH(C368)&amp;""-""&amp;DAY(C368)&amp;""'""))&gt;0,""Caixa Atendimento"",""Caixa Sangria"")),""""),""Caixa Sangria"")"),"")</f>
        <v/>
      </c>
      <c r="M368" s="185" t="str">
        <f>IFERROR(__xludf.DUMMYFUNCTION("ifna(VALUE(REGEXEXTRACT(E368,""[0-9.]+[,]+[0-9]+"")))"),"")</f>
        <v/>
      </c>
      <c r="N368" s="185"/>
      <c r="O368" s="185"/>
      <c r="P368" s="185"/>
      <c r="Q368" s="185"/>
      <c r="R368" s="185"/>
      <c r="S368" s="185"/>
      <c r="T368" s="185"/>
      <c r="U368" s="185"/>
      <c r="V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184" t="str">
        <f>IFERROR(__xludf.DUMMYFUNCTION("ifna(IF(and(D369=""Saída"",J369=""Sangria""),if(sum(QUERY(IMPORTRANGE(""https://docs.google.com/spreadsheets/d/1E4szPcLzsqlw4uyBAoJ61L1ChCgpz4wVP8tHfHW1g_c"",""BD M Sangrias!a:i""),""select Col6 where Col7 = 'Depositada' and Col9 = '""&amp;K369&amp;""' and Col6 ="&amp;" ""&amp;M369&amp;"" and Col4 = date '""&amp;YEAR(C369)&amp;""-""&amp;MONTH(C369)&amp;""-""&amp;DAY(C369)&amp;""'""))&gt;0,""Depositada"",if(sum(QUERY(IMPORTRANGE(""https://docs.google.com/spreadsheets/d/1EcLIvUgMoBC5as4ikW0wuQsGH5yVZ6cQ1y16qEfgPnk"",""BD M Sangrias!a:i""),""select Col6 whe"&amp;"re Col7 = 'Caixa Atendimento' and Col9 = '""&amp;K369&amp;""' and Col6 = ""&amp;M369&amp;"" and Col4 = date '""&amp;YEAR(C369)&amp;""-""&amp;MONTH(C369)&amp;""-""&amp;DAY(C369)&amp;""'""))&gt;0,""Caixa Atendimento"",""Caixa Sangria"")),""""),""Caixa Sangria"")"),"")</f>
        <v/>
      </c>
      <c r="M369" s="185" t="str">
        <f>IFERROR(__xludf.DUMMYFUNCTION("ifna(VALUE(REGEXEXTRACT(E369,""[0-9.]+[,]+[0-9]+"")))"),"")</f>
        <v/>
      </c>
      <c r="N369" s="185"/>
      <c r="O369" s="185"/>
      <c r="P369" s="185"/>
      <c r="Q369" s="185"/>
      <c r="R369" s="185"/>
      <c r="S369" s="185"/>
      <c r="T369" s="185"/>
      <c r="U369" s="185"/>
      <c r="V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184" t="str">
        <f>IFERROR(__xludf.DUMMYFUNCTION("ifna(IF(and(D370=""Saída"",J370=""Sangria""),if(sum(QUERY(IMPORTRANGE(""https://docs.google.com/spreadsheets/d/1E4szPcLzsqlw4uyBAoJ61L1ChCgpz4wVP8tHfHW1g_c"",""BD M Sangrias!a:i""),""select Col6 where Col7 = 'Depositada' and Col9 = '""&amp;K370&amp;""' and Col6 ="&amp;" ""&amp;M370&amp;"" and Col4 = date '""&amp;YEAR(C370)&amp;""-""&amp;MONTH(C370)&amp;""-""&amp;DAY(C370)&amp;""'""))&gt;0,""Depositada"",if(sum(QUERY(IMPORTRANGE(""https://docs.google.com/spreadsheets/d/1EcLIvUgMoBC5as4ikW0wuQsGH5yVZ6cQ1y16qEfgPnk"",""BD M Sangrias!a:i""),""select Col6 whe"&amp;"re Col7 = 'Caixa Atendimento' and Col9 = '""&amp;K370&amp;""' and Col6 = ""&amp;M370&amp;"" and Col4 = date '""&amp;YEAR(C370)&amp;""-""&amp;MONTH(C370)&amp;""-""&amp;DAY(C370)&amp;""'""))&gt;0,""Caixa Atendimento"",""Caixa Sangria"")),""""),""Caixa Sangria"")"),"")</f>
        <v/>
      </c>
      <c r="M370" s="185" t="str">
        <f>IFERROR(__xludf.DUMMYFUNCTION("ifna(VALUE(REGEXEXTRACT(E370,""[0-9.]+[,]+[0-9]+"")))"),"")</f>
        <v/>
      </c>
      <c r="N370" s="185"/>
      <c r="O370" s="185"/>
      <c r="P370" s="185"/>
      <c r="Q370" s="185"/>
      <c r="R370" s="185"/>
      <c r="S370" s="185"/>
      <c r="T370" s="185"/>
      <c r="U370" s="185"/>
      <c r="V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184" t="str">
        <f>IFERROR(__xludf.DUMMYFUNCTION("ifna(IF(and(D371=""Saída"",J371=""Sangria""),if(sum(QUERY(IMPORTRANGE(""https://docs.google.com/spreadsheets/d/1E4szPcLzsqlw4uyBAoJ61L1ChCgpz4wVP8tHfHW1g_c"",""BD M Sangrias!a:i""),""select Col6 where Col7 = 'Depositada' and Col9 = '""&amp;K371&amp;""' and Col6 ="&amp;" ""&amp;M371&amp;"" and Col4 = date '""&amp;YEAR(C371)&amp;""-""&amp;MONTH(C371)&amp;""-""&amp;DAY(C371)&amp;""'""))&gt;0,""Depositada"",if(sum(QUERY(IMPORTRANGE(""https://docs.google.com/spreadsheets/d/1EcLIvUgMoBC5as4ikW0wuQsGH5yVZ6cQ1y16qEfgPnk"",""BD M Sangrias!a:i""),""select Col6 whe"&amp;"re Col7 = 'Caixa Atendimento' and Col9 = '""&amp;K371&amp;""' and Col6 = ""&amp;M371&amp;"" and Col4 = date '""&amp;YEAR(C371)&amp;""-""&amp;MONTH(C371)&amp;""-""&amp;DAY(C371)&amp;""'""))&gt;0,""Caixa Atendimento"",""Caixa Sangria"")),""""),""Caixa Sangria"")"),"")</f>
        <v/>
      </c>
      <c r="M371" s="185" t="str">
        <f>IFERROR(__xludf.DUMMYFUNCTION("ifna(VALUE(REGEXEXTRACT(E371,""[0-9.]+[,]+[0-9]+"")))"),"")</f>
        <v/>
      </c>
      <c r="N371" s="185"/>
      <c r="O371" s="185"/>
      <c r="P371" s="185"/>
      <c r="Q371" s="185"/>
      <c r="R371" s="185"/>
      <c r="S371" s="185"/>
      <c r="T371" s="185"/>
      <c r="U371" s="185"/>
      <c r="V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184" t="str">
        <f>IFERROR(__xludf.DUMMYFUNCTION("ifna(IF(and(D372=""Saída"",J372=""Sangria""),if(sum(QUERY(IMPORTRANGE(""https://docs.google.com/spreadsheets/d/1E4szPcLzsqlw4uyBAoJ61L1ChCgpz4wVP8tHfHW1g_c"",""BD M Sangrias!a:i""),""select Col6 where Col7 = 'Depositada' and Col9 = '""&amp;K372&amp;""' and Col6 ="&amp;" ""&amp;M372&amp;"" and Col4 = date '""&amp;YEAR(C372)&amp;""-""&amp;MONTH(C372)&amp;""-""&amp;DAY(C372)&amp;""'""))&gt;0,""Depositada"",if(sum(QUERY(IMPORTRANGE(""https://docs.google.com/spreadsheets/d/1EcLIvUgMoBC5as4ikW0wuQsGH5yVZ6cQ1y16qEfgPnk"",""BD M Sangrias!a:i""),""select Col6 whe"&amp;"re Col7 = 'Caixa Atendimento' and Col9 = '""&amp;K372&amp;""' and Col6 = ""&amp;M372&amp;"" and Col4 = date '""&amp;YEAR(C372)&amp;""-""&amp;MONTH(C372)&amp;""-""&amp;DAY(C372)&amp;""'""))&gt;0,""Caixa Atendimento"",""Caixa Sangria"")),""""),""Caixa Sangria"")"),"")</f>
        <v/>
      </c>
      <c r="M372" s="185" t="str">
        <f>IFERROR(__xludf.DUMMYFUNCTION("ifna(VALUE(REGEXEXTRACT(E372,""[0-9.]+[,]+[0-9]+"")))"),"")</f>
        <v/>
      </c>
      <c r="N372" s="185"/>
      <c r="O372" s="185"/>
      <c r="P372" s="185"/>
      <c r="Q372" s="185"/>
      <c r="R372" s="185"/>
      <c r="S372" s="185"/>
      <c r="T372" s="185"/>
      <c r="U372" s="185"/>
      <c r="V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184" t="str">
        <f>IFERROR(__xludf.DUMMYFUNCTION("ifna(IF(and(D373=""Saída"",J373=""Sangria""),if(sum(QUERY(IMPORTRANGE(""https://docs.google.com/spreadsheets/d/1E4szPcLzsqlw4uyBAoJ61L1ChCgpz4wVP8tHfHW1g_c"",""BD M Sangrias!a:i""),""select Col6 where Col7 = 'Depositada' and Col9 = '""&amp;K373&amp;""' and Col6 ="&amp;" ""&amp;M373&amp;"" and Col4 = date '""&amp;YEAR(C373)&amp;""-""&amp;MONTH(C373)&amp;""-""&amp;DAY(C373)&amp;""'""))&gt;0,""Depositada"",if(sum(QUERY(IMPORTRANGE(""https://docs.google.com/spreadsheets/d/1EcLIvUgMoBC5as4ikW0wuQsGH5yVZ6cQ1y16qEfgPnk"",""BD M Sangrias!a:i""),""select Col6 whe"&amp;"re Col7 = 'Caixa Atendimento' and Col9 = '""&amp;K373&amp;""' and Col6 = ""&amp;M373&amp;"" and Col4 = date '""&amp;YEAR(C373)&amp;""-""&amp;MONTH(C373)&amp;""-""&amp;DAY(C373)&amp;""'""))&gt;0,""Caixa Atendimento"",""Caixa Sangria"")),""""),""Caixa Sangria"")"),"")</f>
        <v/>
      </c>
      <c r="M373" s="185" t="str">
        <f>IFERROR(__xludf.DUMMYFUNCTION("ifna(VALUE(REGEXEXTRACT(E373,""[0-9.]+[,]+[0-9]+"")))"),"")</f>
        <v/>
      </c>
      <c r="N373" s="185"/>
      <c r="O373" s="185"/>
      <c r="P373" s="185"/>
      <c r="Q373" s="185"/>
      <c r="R373" s="185"/>
      <c r="S373" s="185"/>
      <c r="T373" s="185"/>
      <c r="U373" s="185"/>
      <c r="V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184" t="str">
        <f>IFERROR(__xludf.DUMMYFUNCTION("ifna(IF(and(D374=""Saída"",J374=""Sangria""),if(sum(QUERY(IMPORTRANGE(""https://docs.google.com/spreadsheets/d/1E4szPcLzsqlw4uyBAoJ61L1ChCgpz4wVP8tHfHW1g_c"",""BD M Sangrias!a:i""),""select Col6 where Col7 = 'Depositada' and Col9 = '""&amp;K374&amp;""' and Col6 ="&amp;" ""&amp;M374&amp;"" and Col4 = date '""&amp;YEAR(C374)&amp;""-""&amp;MONTH(C374)&amp;""-""&amp;DAY(C374)&amp;""'""))&gt;0,""Depositada"",if(sum(QUERY(IMPORTRANGE(""https://docs.google.com/spreadsheets/d/1EcLIvUgMoBC5as4ikW0wuQsGH5yVZ6cQ1y16qEfgPnk"",""BD M Sangrias!a:i""),""select Col6 whe"&amp;"re Col7 = 'Caixa Atendimento' and Col9 = '""&amp;K374&amp;""' and Col6 = ""&amp;M374&amp;"" and Col4 = date '""&amp;YEAR(C374)&amp;""-""&amp;MONTH(C374)&amp;""-""&amp;DAY(C374)&amp;""'""))&gt;0,""Caixa Atendimento"",""Caixa Sangria"")),""""),""Caixa Sangria"")"),"")</f>
        <v/>
      </c>
      <c r="M374" s="185" t="str">
        <f>IFERROR(__xludf.DUMMYFUNCTION("ifna(VALUE(REGEXEXTRACT(E374,""[0-9.]+[,]+[0-9]+"")))"),"")</f>
        <v/>
      </c>
      <c r="N374" s="185"/>
      <c r="O374" s="185"/>
      <c r="P374" s="185"/>
      <c r="Q374" s="185"/>
      <c r="R374" s="185"/>
      <c r="S374" s="185"/>
      <c r="T374" s="185"/>
      <c r="U374" s="185"/>
      <c r="V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184" t="str">
        <f>IFERROR(__xludf.DUMMYFUNCTION("ifna(IF(and(D375=""Saída"",J375=""Sangria""),if(sum(QUERY(IMPORTRANGE(""https://docs.google.com/spreadsheets/d/1E4szPcLzsqlw4uyBAoJ61L1ChCgpz4wVP8tHfHW1g_c"",""BD M Sangrias!a:i""),""select Col6 where Col7 = 'Depositada' and Col9 = '""&amp;K375&amp;""' and Col6 ="&amp;" ""&amp;M375&amp;"" and Col4 = date '""&amp;YEAR(C375)&amp;""-""&amp;MONTH(C375)&amp;""-""&amp;DAY(C375)&amp;""'""))&gt;0,""Depositada"",if(sum(QUERY(IMPORTRANGE(""https://docs.google.com/spreadsheets/d/1EcLIvUgMoBC5as4ikW0wuQsGH5yVZ6cQ1y16qEfgPnk"",""BD M Sangrias!a:i""),""select Col6 whe"&amp;"re Col7 = 'Caixa Atendimento' and Col9 = '""&amp;K375&amp;""' and Col6 = ""&amp;M375&amp;"" and Col4 = date '""&amp;YEAR(C375)&amp;""-""&amp;MONTH(C375)&amp;""-""&amp;DAY(C375)&amp;""'""))&gt;0,""Caixa Atendimento"",""Caixa Sangria"")),""""),""Caixa Sangria"")"),"")</f>
        <v/>
      </c>
      <c r="M375" s="185" t="str">
        <f>IFERROR(__xludf.DUMMYFUNCTION("ifna(VALUE(REGEXEXTRACT(E375,""[0-9.]+[,]+[0-9]+"")))"),"")</f>
        <v/>
      </c>
      <c r="N375" s="185"/>
      <c r="O375" s="185"/>
      <c r="P375" s="185"/>
      <c r="Q375" s="185"/>
      <c r="R375" s="185"/>
      <c r="S375" s="185"/>
      <c r="T375" s="185"/>
      <c r="U375" s="185"/>
      <c r="V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184" t="str">
        <f>IFERROR(__xludf.DUMMYFUNCTION("ifna(IF(and(D376=""Saída"",J376=""Sangria""),if(sum(QUERY(IMPORTRANGE(""https://docs.google.com/spreadsheets/d/1E4szPcLzsqlw4uyBAoJ61L1ChCgpz4wVP8tHfHW1g_c"",""BD M Sangrias!a:i""),""select Col6 where Col7 = 'Depositada' and Col9 = '""&amp;K376&amp;""' and Col6 ="&amp;" ""&amp;M376&amp;"" and Col4 = date '""&amp;YEAR(C376)&amp;""-""&amp;MONTH(C376)&amp;""-""&amp;DAY(C376)&amp;""'""))&gt;0,""Depositada"",if(sum(QUERY(IMPORTRANGE(""https://docs.google.com/spreadsheets/d/1EcLIvUgMoBC5as4ikW0wuQsGH5yVZ6cQ1y16qEfgPnk"",""BD M Sangrias!a:i""),""select Col6 whe"&amp;"re Col7 = 'Caixa Atendimento' and Col9 = '""&amp;K376&amp;""' and Col6 = ""&amp;M376&amp;"" and Col4 = date '""&amp;YEAR(C376)&amp;""-""&amp;MONTH(C376)&amp;""-""&amp;DAY(C376)&amp;""'""))&gt;0,""Caixa Atendimento"",""Caixa Sangria"")),""""),""Caixa Sangria"")"),"")</f>
        <v/>
      </c>
      <c r="M376" s="185" t="str">
        <f>IFERROR(__xludf.DUMMYFUNCTION("ifna(VALUE(REGEXEXTRACT(E376,""[0-9.]+[,]+[0-9]+"")))"),"")</f>
        <v/>
      </c>
      <c r="N376" s="185"/>
      <c r="O376" s="185"/>
      <c r="P376" s="185"/>
      <c r="Q376" s="185"/>
      <c r="R376" s="185"/>
      <c r="S376" s="185"/>
      <c r="T376" s="185"/>
      <c r="U376" s="185"/>
      <c r="V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184" t="str">
        <f>IFERROR(__xludf.DUMMYFUNCTION("ifna(IF(and(D377=""Saída"",J377=""Sangria""),if(sum(QUERY(IMPORTRANGE(""https://docs.google.com/spreadsheets/d/1E4szPcLzsqlw4uyBAoJ61L1ChCgpz4wVP8tHfHW1g_c"",""BD M Sangrias!a:i""),""select Col6 where Col7 = 'Depositada' and Col9 = '""&amp;K377&amp;""' and Col6 ="&amp;" ""&amp;M377&amp;"" and Col4 = date '""&amp;YEAR(C377)&amp;""-""&amp;MONTH(C377)&amp;""-""&amp;DAY(C377)&amp;""'""))&gt;0,""Depositada"",if(sum(QUERY(IMPORTRANGE(""https://docs.google.com/spreadsheets/d/1EcLIvUgMoBC5as4ikW0wuQsGH5yVZ6cQ1y16qEfgPnk"",""BD M Sangrias!a:i""),""select Col6 whe"&amp;"re Col7 = 'Caixa Atendimento' and Col9 = '""&amp;K377&amp;""' and Col6 = ""&amp;M377&amp;"" and Col4 = date '""&amp;YEAR(C377)&amp;""-""&amp;MONTH(C377)&amp;""-""&amp;DAY(C377)&amp;""'""))&gt;0,""Caixa Atendimento"",""Caixa Sangria"")),""""),""Caixa Sangria"")"),"")</f>
        <v/>
      </c>
      <c r="M377" s="185" t="str">
        <f>IFERROR(__xludf.DUMMYFUNCTION("ifna(VALUE(REGEXEXTRACT(E377,""[0-9.]+[,]+[0-9]+"")))"),"")</f>
        <v/>
      </c>
      <c r="N377" s="185"/>
      <c r="O377" s="185"/>
      <c r="P377" s="185"/>
      <c r="Q377" s="185"/>
      <c r="R377" s="185"/>
      <c r="S377" s="185"/>
      <c r="T377" s="185"/>
      <c r="U377" s="185"/>
      <c r="V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184" t="str">
        <f>IFERROR(__xludf.DUMMYFUNCTION("ifna(IF(and(D378=""Saída"",J378=""Sangria""),if(sum(QUERY(IMPORTRANGE(""https://docs.google.com/spreadsheets/d/1E4szPcLzsqlw4uyBAoJ61L1ChCgpz4wVP8tHfHW1g_c"",""BD M Sangrias!a:i""),""select Col6 where Col7 = 'Depositada' and Col9 = '""&amp;K378&amp;""' and Col6 ="&amp;" ""&amp;M378&amp;"" and Col4 = date '""&amp;YEAR(C378)&amp;""-""&amp;MONTH(C378)&amp;""-""&amp;DAY(C378)&amp;""'""))&gt;0,""Depositada"",if(sum(QUERY(IMPORTRANGE(""https://docs.google.com/spreadsheets/d/1EcLIvUgMoBC5as4ikW0wuQsGH5yVZ6cQ1y16qEfgPnk"",""BD M Sangrias!a:i""),""select Col6 whe"&amp;"re Col7 = 'Caixa Atendimento' and Col9 = '""&amp;K378&amp;""' and Col6 = ""&amp;M378&amp;"" and Col4 = date '""&amp;YEAR(C378)&amp;""-""&amp;MONTH(C378)&amp;""-""&amp;DAY(C378)&amp;""'""))&gt;0,""Caixa Atendimento"",""Caixa Sangria"")),""""),""Caixa Sangria"")"),"")</f>
        <v/>
      </c>
      <c r="M378" s="185" t="str">
        <f>IFERROR(__xludf.DUMMYFUNCTION("ifna(VALUE(REGEXEXTRACT(E378,""[0-9.]+[,]+[0-9]+"")))"),"")</f>
        <v/>
      </c>
      <c r="N378" s="185"/>
      <c r="O378" s="185"/>
      <c r="P378" s="185"/>
      <c r="Q378" s="185"/>
      <c r="R378" s="185"/>
      <c r="S378" s="185"/>
      <c r="T378" s="185"/>
      <c r="U378" s="185"/>
      <c r="V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184" t="str">
        <f>IFERROR(__xludf.DUMMYFUNCTION("ifna(IF(and(D379=""Saída"",J379=""Sangria""),if(sum(QUERY(IMPORTRANGE(""https://docs.google.com/spreadsheets/d/1E4szPcLzsqlw4uyBAoJ61L1ChCgpz4wVP8tHfHW1g_c"",""BD M Sangrias!a:i""),""select Col6 where Col7 = 'Depositada' and Col9 = '""&amp;K379&amp;""' and Col6 ="&amp;" ""&amp;M379&amp;"" and Col4 = date '""&amp;YEAR(C379)&amp;""-""&amp;MONTH(C379)&amp;""-""&amp;DAY(C379)&amp;""'""))&gt;0,""Depositada"",if(sum(QUERY(IMPORTRANGE(""https://docs.google.com/spreadsheets/d/1EcLIvUgMoBC5as4ikW0wuQsGH5yVZ6cQ1y16qEfgPnk"",""BD M Sangrias!a:i""),""select Col6 whe"&amp;"re Col7 = 'Caixa Atendimento' and Col9 = '""&amp;K379&amp;""' and Col6 = ""&amp;M379&amp;"" and Col4 = date '""&amp;YEAR(C379)&amp;""-""&amp;MONTH(C379)&amp;""-""&amp;DAY(C379)&amp;""'""))&gt;0,""Caixa Atendimento"",""Caixa Sangria"")),""""),""Caixa Sangria"")"),"")</f>
        <v/>
      </c>
      <c r="M379" s="185" t="str">
        <f>IFERROR(__xludf.DUMMYFUNCTION("ifna(VALUE(REGEXEXTRACT(E379,""[0-9.]+[,]+[0-9]+"")))"),"")</f>
        <v/>
      </c>
      <c r="N379" s="185"/>
      <c r="O379" s="185"/>
      <c r="P379" s="185"/>
      <c r="Q379" s="185"/>
      <c r="R379" s="185"/>
      <c r="S379" s="185"/>
      <c r="T379" s="185"/>
      <c r="U379" s="185"/>
      <c r="V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184" t="str">
        <f>IFERROR(__xludf.DUMMYFUNCTION("ifna(IF(and(D380=""Saída"",J380=""Sangria""),if(sum(QUERY(IMPORTRANGE(""https://docs.google.com/spreadsheets/d/1E4szPcLzsqlw4uyBAoJ61L1ChCgpz4wVP8tHfHW1g_c"",""BD M Sangrias!a:i""),""select Col6 where Col7 = 'Depositada' and Col9 = '""&amp;K380&amp;""' and Col6 ="&amp;" ""&amp;M380&amp;"" and Col4 = date '""&amp;YEAR(C380)&amp;""-""&amp;MONTH(C380)&amp;""-""&amp;DAY(C380)&amp;""'""))&gt;0,""Depositada"",if(sum(QUERY(IMPORTRANGE(""https://docs.google.com/spreadsheets/d/1EcLIvUgMoBC5as4ikW0wuQsGH5yVZ6cQ1y16qEfgPnk"",""BD M Sangrias!a:i""),""select Col6 whe"&amp;"re Col7 = 'Caixa Atendimento' and Col9 = '""&amp;K380&amp;""' and Col6 = ""&amp;M380&amp;"" and Col4 = date '""&amp;YEAR(C380)&amp;""-""&amp;MONTH(C380)&amp;""-""&amp;DAY(C380)&amp;""'""))&gt;0,""Caixa Atendimento"",""Caixa Sangria"")),""""),""Caixa Sangria"")"),"")</f>
        <v/>
      </c>
      <c r="M380" s="185" t="str">
        <f>IFERROR(__xludf.DUMMYFUNCTION("ifna(VALUE(REGEXEXTRACT(E380,""[0-9.]+[,]+[0-9]+"")))"),"")</f>
        <v/>
      </c>
      <c r="N380" s="185"/>
      <c r="O380" s="185"/>
      <c r="P380" s="185"/>
      <c r="Q380" s="185"/>
      <c r="R380" s="185"/>
      <c r="S380" s="185"/>
      <c r="T380" s="185"/>
      <c r="U380" s="185"/>
      <c r="V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184" t="str">
        <f>IFERROR(__xludf.DUMMYFUNCTION("ifna(IF(and(D381=""Saída"",J381=""Sangria""),if(sum(QUERY(IMPORTRANGE(""https://docs.google.com/spreadsheets/d/1E4szPcLzsqlw4uyBAoJ61L1ChCgpz4wVP8tHfHW1g_c"",""BD M Sangrias!a:i""),""select Col6 where Col7 = 'Depositada' and Col9 = '""&amp;K381&amp;""' and Col6 ="&amp;" ""&amp;M381&amp;"" and Col4 = date '""&amp;YEAR(C381)&amp;""-""&amp;MONTH(C381)&amp;""-""&amp;DAY(C381)&amp;""'""))&gt;0,""Depositada"",if(sum(QUERY(IMPORTRANGE(""https://docs.google.com/spreadsheets/d/1EcLIvUgMoBC5as4ikW0wuQsGH5yVZ6cQ1y16qEfgPnk"",""BD M Sangrias!a:i""),""select Col6 whe"&amp;"re Col7 = 'Caixa Atendimento' and Col9 = '""&amp;K381&amp;""' and Col6 = ""&amp;M381&amp;"" and Col4 = date '""&amp;YEAR(C381)&amp;""-""&amp;MONTH(C381)&amp;""-""&amp;DAY(C381)&amp;""'""))&gt;0,""Caixa Atendimento"",""Caixa Sangria"")),""""),""Caixa Sangria"")"),"")</f>
        <v/>
      </c>
      <c r="M381" s="185" t="str">
        <f>IFERROR(__xludf.DUMMYFUNCTION("ifna(VALUE(REGEXEXTRACT(E381,""[0-9.]+[,]+[0-9]+"")))"),"")</f>
        <v/>
      </c>
      <c r="N381" s="185"/>
      <c r="O381" s="185"/>
      <c r="P381" s="185"/>
      <c r="Q381" s="185"/>
      <c r="R381" s="185"/>
      <c r="S381" s="185"/>
      <c r="T381" s="185"/>
      <c r="U381" s="185"/>
      <c r="V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184" t="str">
        <f>IFERROR(__xludf.DUMMYFUNCTION("ifna(IF(and(D382=""Saída"",J382=""Sangria""),if(sum(QUERY(IMPORTRANGE(""https://docs.google.com/spreadsheets/d/1E4szPcLzsqlw4uyBAoJ61L1ChCgpz4wVP8tHfHW1g_c"",""BD M Sangrias!a:i""),""select Col6 where Col7 = 'Depositada' and Col9 = '""&amp;K382&amp;""' and Col6 ="&amp;" ""&amp;M382&amp;"" and Col4 = date '""&amp;YEAR(C382)&amp;""-""&amp;MONTH(C382)&amp;""-""&amp;DAY(C382)&amp;""'""))&gt;0,""Depositada"",if(sum(QUERY(IMPORTRANGE(""https://docs.google.com/spreadsheets/d/1EcLIvUgMoBC5as4ikW0wuQsGH5yVZ6cQ1y16qEfgPnk"",""BD M Sangrias!a:i""),""select Col6 whe"&amp;"re Col7 = 'Caixa Atendimento' and Col9 = '""&amp;K382&amp;""' and Col6 = ""&amp;M382&amp;"" and Col4 = date '""&amp;YEAR(C382)&amp;""-""&amp;MONTH(C382)&amp;""-""&amp;DAY(C382)&amp;""'""))&gt;0,""Caixa Atendimento"",""Caixa Sangria"")),""""),""Caixa Sangria"")"),"")</f>
        <v/>
      </c>
      <c r="M382" s="185" t="str">
        <f>IFERROR(__xludf.DUMMYFUNCTION("ifna(VALUE(REGEXEXTRACT(E382,""[0-9.]+[,]+[0-9]+"")))"),"")</f>
        <v/>
      </c>
      <c r="N382" s="185"/>
      <c r="O382" s="185"/>
      <c r="P382" s="185"/>
      <c r="Q382" s="185"/>
      <c r="R382" s="185"/>
      <c r="S382" s="185"/>
      <c r="T382" s="185"/>
      <c r="U382" s="185"/>
      <c r="V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184" t="str">
        <f>IFERROR(__xludf.DUMMYFUNCTION("ifna(IF(and(D383=""Saída"",J383=""Sangria""),if(sum(QUERY(IMPORTRANGE(""https://docs.google.com/spreadsheets/d/1E4szPcLzsqlw4uyBAoJ61L1ChCgpz4wVP8tHfHW1g_c"",""BD M Sangrias!a:i""),""select Col6 where Col7 = 'Depositada' and Col9 = '""&amp;K383&amp;""' and Col6 ="&amp;" ""&amp;M383&amp;"" and Col4 = date '""&amp;YEAR(C383)&amp;""-""&amp;MONTH(C383)&amp;""-""&amp;DAY(C383)&amp;""'""))&gt;0,""Depositada"",if(sum(QUERY(IMPORTRANGE(""https://docs.google.com/spreadsheets/d/1EcLIvUgMoBC5as4ikW0wuQsGH5yVZ6cQ1y16qEfgPnk"",""BD M Sangrias!a:i""),""select Col6 whe"&amp;"re Col7 = 'Caixa Atendimento' and Col9 = '""&amp;K383&amp;""' and Col6 = ""&amp;M383&amp;"" and Col4 = date '""&amp;YEAR(C383)&amp;""-""&amp;MONTH(C383)&amp;""-""&amp;DAY(C383)&amp;""'""))&gt;0,""Caixa Atendimento"",""Caixa Sangria"")),""""),""Caixa Sangria"")"),"")</f>
        <v/>
      </c>
      <c r="M383" s="185" t="str">
        <f>IFERROR(__xludf.DUMMYFUNCTION("ifna(VALUE(REGEXEXTRACT(E383,""[0-9.]+[,]+[0-9]+"")))"),"")</f>
        <v/>
      </c>
      <c r="N383" s="185"/>
      <c r="O383" s="185"/>
      <c r="P383" s="185"/>
      <c r="Q383" s="185"/>
      <c r="R383" s="185"/>
      <c r="S383" s="185"/>
      <c r="T383" s="185"/>
      <c r="U383" s="185"/>
      <c r="V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184" t="str">
        <f>IFERROR(__xludf.DUMMYFUNCTION("ifna(IF(and(D384=""Saída"",J384=""Sangria""),if(sum(QUERY(IMPORTRANGE(""https://docs.google.com/spreadsheets/d/1E4szPcLzsqlw4uyBAoJ61L1ChCgpz4wVP8tHfHW1g_c"",""BD M Sangrias!a:i""),""select Col6 where Col7 = 'Depositada' and Col9 = '""&amp;K384&amp;""' and Col6 ="&amp;" ""&amp;M384&amp;"" and Col4 = date '""&amp;YEAR(C384)&amp;""-""&amp;MONTH(C384)&amp;""-""&amp;DAY(C384)&amp;""'""))&gt;0,""Depositada"",if(sum(QUERY(IMPORTRANGE(""https://docs.google.com/spreadsheets/d/1EcLIvUgMoBC5as4ikW0wuQsGH5yVZ6cQ1y16qEfgPnk"",""BD M Sangrias!a:i""),""select Col6 whe"&amp;"re Col7 = 'Caixa Atendimento' and Col9 = '""&amp;K384&amp;""' and Col6 = ""&amp;M384&amp;"" and Col4 = date '""&amp;YEAR(C384)&amp;""-""&amp;MONTH(C384)&amp;""-""&amp;DAY(C384)&amp;""'""))&gt;0,""Caixa Atendimento"",""Caixa Sangria"")),""""),""Caixa Sangria"")"),"")</f>
        <v/>
      </c>
      <c r="M384" s="185" t="str">
        <f>IFERROR(__xludf.DUMMYFUNCTION("ifna(VALUE(REGEXEXTRACT(E384,""[0-9.]+[,]+[0-9]+"")))"),"")</f>
        <v/>
      </c>
      <c r="N384" s="185"/>
      <c r="O384" s="185"/>
      <c r="P384" s="185"/>
      <c r="Q384" s="185"/>
      <c r="R384" s="185"/>
      <c r="S384" s="185"/>
      <c r="T384" s="185"/>
      <c r="U384" s="185"/>
      <c r="V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184" t="str">
        <f>IFERROR(__xludf.DUMMYFUNCTION("ifna(IF(and(D385=""Saída"",J385=""Sangria""),if(sum(QUERY(IMPORTRANGE(""https://docs.google.com/spreadsheets/d/1E4szPcLzsqlw4uyBAoJ61L1ChCgpz4wVP8tHfHW1g_c"",""BD M Sangrias!a:i""),""select Col6 where Col7 = 'Depositada' and Col9 = '""&amp;K385&amp;""' and Col6 ="&amp;" ""&amp;M385&amp;"" and Col4 = date '""&amp;YEAR(C385)&amp;""-""&amp;MONTH(C385)&amp;""-""&amp;DAY(C385)&amp;""'""))&gt;0,""Depositada"",if(sum(QUERY(IMPORTRANGE(""https://docs.google.com/spreadsheets/d/1EcLIvUgMoBC5as4ikW0wuQsGH5yVZ6cQ1y16qEfgPnk"",""BD M Sangrias!a:i""),""select Col6 whe"&amp;"re Col7 = 'Caixa Atendimento' and Col9 = '""&amp;K385&amp;""' and Col6 = ""&amp;M385&amp;"" and Col4 = date '""&amp;YEAR(C385)&amp;""-""&amp;MONTH(C385)&amp;""-""&amp;DAY(C385)&amp;""'""))&gt;0,""Caixa Atendimento"",""Caixa Sangria"")),""""),""Caixa Sangria"")"),"")</f>
        <v/>
      </c>
      <c r="M385" s="185" t="str">
        <f>IFERROR(__xludf.DUMMYFUNCTION("ifna(VALUE(REGEXEXTRACT(E385,""[0-9.]+[,]+[0-9]+"")))"),"")</f>
        <v/>
      </c>
      <c r="N385" s="185"/>
      <c r="O385" s="185"/>
      <c r="P385" s="185"/>
      <c r="Q385" s="185"/>
      <c r="R385" s="185"/>
      <c r="S385" s="185"/>
      <c r="T385" s="185"/>
      <c r="U385" s="185"/>
      <c r="V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184" t="str">
        <f>IFERROR(__xludf.DUMMYFUNCTION("ifna(IF(and(D386=""Saída"",J386=""Sangria""),if(sum(QUERY(IMPORTRANGE(""https://docs.google.com/spreadsheets/d/1E4szPcLzsqlw4uyBAoJ61L1ChCgpz4wVP8tHfHW1g_c"",""BD M Sangrias!a:i""),""select Col6 where Col7 = 'Depositada' and Col9 = '""&amp;K386&amp;""' and Col6 ="&amp;" ""&amp;M386&amp;"" and Col4 = date '""&amp;YEAR(C386)&amp;""-""&amp;MONTH(C386)&amp;""-""&amp;DAY(C386)&amp;""'""))&gt;0,""Depositada"",if(sum(QUERY(IMPORTRANGE(""https://docs.google.com/spreadsheets/d/1EcLIvUgMoBC5as4ikW0wuQsGH5yVZ6cQ1y16qEfgPnk"",""BD M Sangrias!a:i""),""select Col6 whe"&amp;"re Col7 = 'Caixa Atendimento' and Col9 = '""&amp;K386&amp;""' and Col6 = ""&amp;M386&amp;"" and Col4 = date '""&amp;YEAR(C386)&amp;""-""&amp;MONTH(C386)&amp;""-""&amp;DAY(C386)&amp;""'""))&gt;0,""Caixa Atendimento"",""Caixa Sangria"")),""""),""Caixa Sangria"")"),"")</f>
        <v/>
      </c>
      <c r="M386" s="185" t="str">
        <f>IFERROR(__xludf.DUMMYFUNCTION("ifna(VALUE(REGEXEXTRACT(E386,""[0-9.]+[,]+[0-9]+"")))"),"")</f>
        <v/>
      </c>
      <c r="N386" s="185"/>
      <c r="O386" s="185"/>
      <c r="P386" s="185"/>
      <c r="Q386" s="185"/>
      <c r="R386" s="185"/>
      <c r="S386" s="185"/>
      <c r="T386" s="185"/>
      <c r="U386" s="185"/>
      <c r="V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184" t="str">
        <f>IFERROR(__xludf.DUMMYFUNCTION("ifna(IF(and(D387=""Saída"",J387=""Sangria""),if(sum(QUERY(IMPORTRANGE(""https://docs.google.com/spreadsheets/d/1E4szPcLzsqlw4uyBAoJ61L1ChCgpz4wVP8tHfHW1g_c"",""BD M Sangrias!a:i""),""select Col6 where Col7 = 'Depositada' and Col9 = '""&amp;K387&amp;""' and Col6 ="&amp;" ""&amp;M387&amp;"" and Col4 = date '""&amp;YEAR(C387)&amp;""-""&amp;MONTH(C387)&amp;""-""&amp;DAY(C387)&amp;""'""))&gt;0,""Depositada"",if(sum(QUERY(IMPORTRANGE(""https://docs.google.com/spreadsheets/d/1EcLIvUgMoBC5as4ikW0wuQsGH5yVZ6cQ1y16qEfgPnk"",""BD M Sangrias!a:i""),""select Col6 whe"&amp;"re Col7 = 'Caixa Atendimento' and Col9 = '""&amp;K387&amp;""' and Col6 = ""&amp;M387&amp;"" and Col4 = date '""&amp;YEAR(C387)&amp;""-""&amp;MONTH(C387)&amp;""-""&amp;DAY(C387)&amp;""'""))&gt;0,""Caixa Atendimento"",""Caixa Sangria"")),""""),""Caixa Sangria"")"),"")</f>
        <v/>
      </c>
      <c r="M387" s="185" t="str">
        <f>IFERROR(__xludf.DUMMYFUNCTION("ifna(VALUE(REGEXEXTRACT(E387,""[0-9.]+[,]+[0-9]+"")))"),"")</f>
        <v/>
      </c>
      <c r="N387" s="185"/>
      <c r="O387" s="185"/>
      <c r="P387" s="185"/>
      <c r="Q387" s="185"/>
      <c r="R387" s="185"/>
      <c r="S387" s="185"/>
      <c r="T387" s="185"/>
      <c r="U387" s="185"/>
      <c r="V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184" t="str">
        <f>IFERROR(__xludf.DUMMYFUNCTION("ifna(IF(and(D388=""Saída"",J388=""Sangria""),if(sum(QUERY(IMPORTRANGE(""https://docs.google.com/spreadsheets/d/1E4szPcLzsqlw4uyBAoJ61L1ChCgpz4wVP8tHfHW1g_c"",""BD M Sangrias!a:i""),""select Col6 where Col7 = 'Depositada' and Col9 = '""&amp;K388&amp;""' and Col6 ="&amp;" ""&amp;M388&amp;"" and Col4 = date '""&amp;YEAR(C388)&amp;""-""&amp;MONTH(C388)&amp;""-""&amp;DAY(C388)&amp;""'""))&gt;0,""Depositada"",if(sum(QUERY(IMPORTRANGE(""https://docs.google.com/spreadsheets/d/1EcLIvUgMoBC5as4ikW0wuQsGH5yVZ6cQ1y16qEfgPnk"",""BD M Sangrias!a:i""),""select Col6 whe"&amp;"re Col7 = 'Caixa Atendimento' and Col9 = '""&amp;K388&amp;""' and Col6 = ""&amp;M388&amp;"" and Col4 = date '""&amp;YEAR(C388)&amp;""-""&amp;MONTH(C388)&amp;""-""&amp;DAY(C388)&amp;""'""))&gt;0,""Caixa Atendimento"",""Caixa Sangria"")),""""),""Caixa Sangria"")"),"")</f>
        <v/>
      </c>
      <c r="M388" s="185" t="str">
        <f>IFERROR(__xludf.DUMMYFUNCTION("ifna(VALUE(REGEXEXTRACT(E388,""[0-9.]+[,]+[0-9]+"")))"),"")</f>
        <v/>
      </c>
      <c r="N388" s="185"/>
      <c r="O388" s="185"/>
      <c r="P388" s="185"/>
      <c r="Q388" s="185"/>
      <c r="R388" s="185"/>
      <c r="S388" s="185"/>
      <c r="T388" s="185"/>
      <c r="U388" s="185"/>
      <c r="V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184" t="str">
        <f>IFERROR(__xludf.DUMMYFUNCTION("ifna(IF(and(D389=""Saída"",J389=""Sangria""),if(sum(QUERY(IMPORTRANGE(""https://docs.google.com/spreadsheets/d/1E4szPcLzsqlw4uyBAoJ61L1ChCgpz4wVP8tHfHW1g_c"",""BD M Sangrias!a:i""),""select Col6 where Col7 = 'Depositada' and Col9 = '""&amp;K389&amp;""' and Col6 ="&amp;" ""&amp;M389&amp;"" and Col4 = date '""&amp;YEAR(C389)&amp;""-""&amp;MONTH(C389)&amp;""-""&amp;DAY(C389)&amp;""'""))&gt;0,""Depositada"",if(sum(QUERY(IMPORTRANGE(""https://docs.google.com/spreadsheets/d/1EcLIvUgMoBC5as4ikW0wuQsGH5yVZ6cQ1y16qEfgPnk"",""BD M Sangrias!a:i""),""select Col6 whe"&amp;"re Col7 = 'Caixa Atendimento' and Col9 = '""&amp;K389&amp;""' and Col6 = ""&amp;M389&amp;"" and Col4 = date '""&amp;YEAR(C389)&amp;""-""&amp;MONTH(C389)&amp;""-""&amp;DAY(C389)&amp;""'""))&gt;0,""Caixa Atendimento"",""Caixa Sangria"")),""""),""Caixa Sangria"")"),"")</f>
        <v/>
      </c>
      <c r="M389" s="185" t="str">
        <f>IFERROR(__xludf.DUMMYFUNCTION("ifna(VALUE(REGEXEXTRACT(E389,""[0-9.]+[,]+[0-9]+"")))"),"")</f>
        <v/>
      </c>
      <c r="N389" s="185"/>
      <c r="O389" s="185"/>
      <c r="P389" s="185"/>
      <c r="Q389" s="185"/>
      <c r="R389" s="185"/>
      <c r="S389" s="185"/>
      <c r="T389" s="185"/>
      <c r="U389" s="185"/>
      <c r="V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184" t="str">
        <f>IFERROR(__xludf.DUMMYFUNCTION("ifna(IF(and(D390=""Saída"",J390=""Sangria""),if(sum(QUERY(IMPORTRANGE(""https://docs.google.com/spreadsheets/d/1E4szPcLzsqlw4uyBAoJ61L1ChCgpz4wVP8tHfHW1g_c"",""BD M Sangrias!a:i""),""select Col6 where Col7 = 'Depositada' and Col9 = '""&amp;K390&amp;""' and Col6 ="&amp;" ""&amp;M390&amp;"" and Col4 = date '""&amp;YEAR(C390)&amp;""-""&amp;MONTH(C390)&amp;""-""&amp;DAY(C390)&amp;""'""))&gt;0,""Depositada"",if(sum(QUERY(IMPORTRANGE(""https://docs.google.com/spreadsheets/d/1EcLIvUgMoBC5as4ikW0wuQsGH5yVZ6cQ1y16qEfgPnk"",""BD M Sangrias!a:i""),""select Col6 whe"&amp;"re Col7 = 'Caixa Atendimento' and Col9 = '""&amp;K390&amp;""' and Col6 = ""&amp;M390&amp;"" and Col4 = date '""&amp;YEAR(C390)&amp;""-""&amp;MONTH(C390)&amp;""-""&amp;DAY(C390)&amp;""'""))&gt;0,""Caixa Atendimento"",""Caixa Sangria"")),""""),""Caixa Sangria"")"),"")</f>
        <v/>
      </c>
      <c r="M390" s="185" t="str">
        <f>IFERROR(__xludf.DUMMYFUNCTION("ifna(VALUE(REGEXEXTRACT(E390,""[0-9.]+[,]+[0-9]+"")))"),"")</f>
        <v/>
      </c>
      <c r="N390" s="185"/>
      <c r="O390" s="185"/>
      <c r="P390" s="185"/>
      <c r="Q390" s="185"/>
      <c r="R390" s="185"/>
      <c r="S390" s="185"/>
      <c r="T390" s="185"/>
      <c r="U390" s="185"/>
      <c r="V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184" t="str">
        <f>IFERROR(__xludf.DUMMYFUNCTION("ifna(IF(and(D391=""Saída"",J391=""Sangria""),if(sum(QUERY(IMPORTRANGE(""https://docs.google.com/spreadsheets/d/1E4szPcLzsqlw4uyBAoJ61L1ChCgpz4wVP8tHfHW1g_c"",""BD M Sangrias!a:i""),""select Col6 where Col7 = 'Depositada' and Col9 = '""&amp;K391&amp;""' and Col6 ="&amp;" ""&amp;M391&amp;"" and Col4 = date '""&amp;YEAR(C391)&amp;""-""&amp;MONTH(C391)&amp;""-""&amp;DAY(C391)&amp;""'""))&gt;0,""Depositada"",if(sum(QUERY(IMPORTRANGE(""https://docs.google.com/spreadsheets/d/1EcLIvUgMoBC5as4ikW0wuQsGH5yVZ6cQ1y16qEfgPnk"",""BD M Sangrias!a:i""),""select Col6 whe"&amp;"re Col7 = 'Caixa Atendimento' and Col9 = '""&amp;K391&amp;""' and Col6 = ""&amp;M391&amp;"" and Col4 = date '""&amp;YEAR(C391)&amp;""-""&amp;MONTH(C391)&amp;""-""&amp;DAY(C391)&amp;""'""))&gt;0,""Caixa Atendimento"",""Caixa Sangria"")),""""),""Caixa Sangria"")"),"")</f>
        <v/>
      </c>
      <c r="M391" s="185" t="str">
        <f>IFERROR(__xludf.DUMMYFUNCTION("ifna(VALUE(REGEXEXTRACT(E391,""[0-9.]+[,]+[0-9]+"")))"),"")</f>
        <v/>
      </c>
      <c r="N391" s="185"/>
      <c r="O391" s="185"/>
      <c r="P391" s="185"/>
      <c r="Q391" s="185"/>
      <c r="R391" s="185"/>
      <c r="S391" s="185"/>
      <c r="T391" s="185"/>
      <c r="U391" s="185"/>
      <c r="V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184" t="str">
        <f>IFERROR(__xludf.DUMMYFUNCTION("ifna(IF(and(D392=""Saída"",J392=""Sangria""),if(sum(QUERY(IMPORTRANGE(""https://docs.google.com/spreadsheets/d/1E4szPcLzsqlw4uyBAoJ61L1ChCgpz4wVP8tHfHW1g_c"",""BD M Sangrias!a:i""),""select Col6 where Col7 = 'Depositada' and Col9 = '""&amp;K392&amp;""' and Col6 ="&amp;" ""&amp;M392&amp;"" and Col4 = date '""&amp;YEAR(C392)&amp;""-""&amp;MONTH(C392)&amp;""-""&amp;DAY(C392)&amp;""'""))&gt;0,""Depositada"",if(sum(QUERY(IMPORTRANGE(""https://docs.google.com/spreadsheets/d/1EcLIvUgMoBC5as4ikW0wuQsGH5yVZ6cQ1y16qEfgPnk"",""BD M Sangrias!a:i""),""select Col6 whe"&amp;"re Col7 = 'Caixa Atendimento' and Col9 = '""&amp;K392&amp;""' and Col6 = ""&amp;M392&amp;"" and Col4 = date '""&amp;YEAR(C392)&amp;""-""&amp;MONTH(C392)&amp;""-""&amp;DAY(C392)&amp;""'""))&gt;0,""Caixa Atendimento"",""Caixa Sangria"")),""""),""Caixa Sangria"")"),"")</f>
        <v/>
      </c>
      <c r="M392" s="185" t="str">
        <f>IFERROR(__xludf.DUMMYFUNCTION("ifna(VALUE(REGEXEXTRACT(E392,""[0-9.]+[,]+[0-9]+"")))"),"")</f>
        <v/>
      </c>
      <c r="N392" s="185"/>
      <c r="O392" s="185"/>
      <c r="P392" s="185"/>
      <c r="Q392" s="185"/>
      <c r="R392" s="185"/>
      <c r="S392" s="185"/>
      <c r="T392" s="185"/>
      <c r="U392" s="185"/>
      <c r="V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184" t="str">
        <f>IFERROR(__xludf.DUMMYFUNCTION("ifna(IF(and(D393=""Saída"",J393=""Sangria""),if(sum(QUERY(IMPORTRANGE(""https://docs.google.com/spreadsheets/d/1E4szPcLzsqlw4uyBAoJ61L1ChCgpz4wVP8tHfHW1g_c"",""BD M Sangrias!a:i""),""select Col6 where Col7 = 'Depositada' and Col9 = '""&amp;K393&amp;""' and Col6 ="&amp;" ""&amp;M393&amp;"" and Col4 = date '""&amp;YEAR(C393)&amp;""-""&amp;MONTH(C393)&amp;""-""&amp;DAY(C393)&amp;""'""))&gt;0,""Depositada"",if(sum(QUERY(IMPORTRANGE(""https://docs.google.com/spreadsheets/d/1EcLIvUgMoBC5as4ikW0wuQsGH5yVZ6cQ1y16qEfgPnk"",""BD M Sangrias!a:i""),""select Col6 whe"&amp;"re Col7 = 'Caixa Atendimento' and Col9 = '""&amp;K393&amp;""' and Col6 = ""&amp;M393&amp;"" and Col4 = date '""&amp;YEAR(C393)&amp;""-""&amp;MONTH(C393)&amp;""-""&amp;DAY(C393)&amp;""'""))&gt;0,""Caixa Atendimento"",""Caixa Sangria"")),""""),""Caixa Sangria"")"),"")</f>
        <v/>
      </c>
      <c r="M393" s="185" t="str">
        <f>IFERROR(__xludf.DUMMYFUNCTION("ifna(VALUE(REGEXEXTRACT(E393,""[0-9.]+[,]+[0-9]+"")))"),"")</f>
        <v/>
      </c>
      <c r="N393" s="185"/>
      <c r="O393" s="185"/>
      <c r="P393" s="185"/>
      <c r="Q393" s="185"/>
      <c r="R393" s="185"/>
      <c r="S393" s="185"/>
      <c r="T393" s="185"/>
      <c r="U393" s="185"/>
      <c r="V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184" t="str">
        <f>IFERROR(__xludf.DUMMYFUNCTION("ifna(IF(and(D394=""Saída"",J394=""Sangria""),if(sum(QUERY(IMPORTRANGE(""https://docs.google.com/spreadsheets/d/1E4szPcLzsqlw4uyBAoJ61L1ChCgpz4wVP8tHfHW1g_c"",""BD M Sangrias!a:i""),""select Col6 where Col7 = 'Depositada' and Col9 = '""&amp;K394&amp;""' and Col6 ="&amp;" ""&amp;M394&amp;"" and Col4 = date '""&amp;YEAR(C394)&amp;""-""&amp;MONTH(C394)&amp;""-""&amp;DAY(C394)&amp;""'""))&gt;0,""Depositada"",if(sum(QUERY(IMPORTRANGE(""https://docs.google.com/spreadsheets/d/1EcLIvUgMoBC5as4ikW0wuQsGH5yVZ6cQ1y16qEfgPnk"",""BD M Sangrias!a:i""),""select Col6 whe"&amp;"re Col7 = 'Caixa Atendimento' and Col9 = '""&amp;K394&amp;""' and Col6 = ""&amp;M394&amp;"" and Col4 = date '""&amp;YEAR(C394)&amp;""-""&amp;MONTH(C394)&amp;""-""&amp;DAY(C394)&amp;""'""))&gt;0,""Caixa Atendimento"",""Caixa Sangria"")),""""),""Caixa Sangria"")"),"")</f>
        <v/>
      </c>
      <c r="M394" s="185" t="str">
        <f>IFERROR(__xludf.DUMMYFUNCTION("ifna(VALUE(REGEXEXTRACT(E394,""[0-9.]+[,]+[0-9]+"")))"),"")</f>
        <v/>
      </c>
      <c r="N394" s="185"/>
      <c r="O394" s="185"/>
      <c r="P394" s="185"/>
      <c r="Q394" s="185"/>
      <c r="R394" s="185"/>
      <c r="S394" s="185"/>
      <c r="T394" s="185"/>
      <c r="U394" s="185"/>
      <c r="V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184" t="str">
        <f>IFERROR(__xludf.DUMMYFUNCTION("ifna(IF(and(D395=""Saída"",J395=""Sangria""),if(sum(QUERY(IMPORTRANGE(""https://docs.google.com/spreadsheets/d/1E4szPcLzsqlw4uyBAoJ61L1ChCgpz4wVP8tHfHW1g_c"",""BD M Sangrias!a:i""),""select Col6 where Col7 = 'Depositada' and Col9 = '""&amp;K395&amp;""' and Col6 ="&amp;" ""&amp;M395&amp;"" and Col4 = date '""&amp;YEAR(C395)&amp;""-""&amp;MONTH(C395)&amp;""-""&amp;DAY(C395)&amp;""'""))&gt;0,""Depositada"",if(sum(QUERY(IMPORTRANGE(""https://docs.google.com/spreadsheets/d/1EcLIvUgMoBC5as4ikW0wuQsGH5yVZ6cQ1y16qEfgPnk"",""BD M Sangrias!a:i""),""select Col6 whe"&amp;"re Col7 = 'Caixa Atendimento' and Col9 = '""&amp;K395&amp;""' and Col6 = ""&amp;M395&amp;"" and Col4 = date '""&amp;YEAR(C395)&amp;""-""&amp;MONTH(C395)&amp;""-""&amp;DAY(C395)&amp;""'""))&gt;0,""Caixa Atendimento"",""Caixa Sangria"")),""""),""Caixa Sangria"")"),"")</f>
        <v/>
      </c>
      <c r="M395" s="185" t="str">
        <f>IFERROR(__xludf.DUMMYFUNCTION("ifna(VALUE(REGEXEXTRACT(E395,""[0-9.]+[,]+[0-9]+"")))"),"")</f>
        <v/>
      </c>
      <c r="N395" s="185"/>
      <c r="O395" s="185"/>
      <c r="P395" s="185"/>
      <c r="Q395" s="185"/>
      <c r="R395" s="185"/>
      <c r="S395" s="185"/>
      <c r="T395" s="185"/>
      <c r="U395" s="185"/>
      <c r="V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184" t="str">
        <f>IFERROR(__xludf.DUMMYFUNCTION("ifna(IF(and(D396=""Saída"",J396=""Sangria""),if(sum(QUERY(IMPORTRANGE(""https://docs.google.com/spreadsheets/d/1E4szPcLzsqlw4uyBAoJ61L1ChCgpz4wVP8tHfHW1g_c"",""BD M Sangrias!a:i""),""select Col6 where Col7 = 'Depositada' and Col9 = '""&amp;K396&amp;""' and Col6 ="&amp;" ""&amp;M396&amp;"" and Col4 = date '""&amp;YEAR(C396)&amp;""-""&amp;MONTH(C396)&amp;""-""&amp;DAY(C396)&amp;""'""))&gt;0,""Depositada"",if(sum(QUERY(IMPORTRANGE(""https://docs.google.com/spreadsheets/d/1EcLIvUgMoBC5as4ikW0wuQsGH5yVZ6cQ1y16qEfgPnk"",""BD M Sangrias!a:i""),""select Col6 whe"&amp;"re Col7 = 'Caixa Atendimento' and Col9 = '""&amp;K396&amp;""' and Col6 = ""&amp;M396&amp;"" and Col4 = date '""&amp;YEAR(C396)&amp;""-""&amp;MONTH(C396)&amp;""-""&amp;DAY(C396)&amp;""'""))&gt;0,""Caixa Atendimento"",""Caixa Sangria"")),""""),""Caixa Sangria"")"),"")</f>
        <v/>
      </c>
      <c r="M396" s="185" t="str">
        <f>IFERROR(__xludf.DUMMYFUNCTION("ifna(VALUE(REGEXEXTRACT(E396,""[0-9.]+[,]+[0-9]+"")))"),"")</f>
        <v/>
      </c>
      <c r="N396" s="185"/>
      <c r="O396" s="185"/>
      <c r="P396" s="185"/>
      <c r="Q396" s="185"/>
      <c r="R396" s="185"/>
      <c r="S396" s="185"/>
      <c r="T396" s="185"/>
      <c r="U396" s="185"/>
      <c r="V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184" t="str">
        <f>IFERROR(__xludf.DUMMYFUNCTION("ifna(IF(and(D397=""Saída"",J397=""Sangria""),if(sum(QUERY(IMPORTRANGE(""https://docs.google.com/spreadsheets/d/1E4szPcLzsqlw4uyBAoJ61L1ChCgpz4wVP8tHfHW1g_c"",""BD M Sangrias!a:i""),""select Col6 where Col7 = 'Depositada' and Col9 = '""&amp;K397&amp;""' and Col6 ="&amp;" ""&amp;M397&amp;"" and Col4 = date '""&amp;YEAR(C397)&amp;""-""&amp;MONTH(C397)&amp;""-""&amp;DAY(C397)&amp;""'""))&gt;0,""Depositada"",if(sum(QUERY(IMPORTRANGE(""https://docs.google.com/spreadsheets/d/1EcLIvUgMoBC5as4ikW0wuQsGH5yVZ6cQ1y16qEfgPnk"",""BD M Sangrias!a:i""),""select Col6 whe"&amp;"re Col7 = 'Caixa Atendimento' and Col9 = '""&amp;K397&amp;""' and Col6 = ""&amp;M397&amp;"" and Col4 = date '""&amp;YEAR(C397)&amp;""-""&amp;MONTH(C397)&amp;""-""&amp;DAY(C397)&amp;""'""))&gt;0,""Caixa Atendimento"",""Caixa Sangria"")),""""),""Caixa Sangria"")"),"")</f>
        <v/>
      </c>
      <c r="M397" s="185" t="str">
        <f>IFERROR(__xludf.DUMMYFUNCTION("ifna(VALUE(REGEXEXTRACT(E397,""[0-9.]+[,]+[0-9]+"")))"),"")</f>
        <v/>
      </c>
      <c r="N397" s="185"/>
      <c r="O397" s="185"/>
      <c r="P397" s="185"/>
      <c r="Q397" s="185"/>
      <c r="R397" s="185"/>
      <c r="S397" s="185"/>
      <c r="T397" s="185"/>
      <c r="U397" s="185"/>
      <c r="V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184" t="str">
        <f>IFERROR(__xludf.DUMMYFUNCTION("ifna(IF(and(D398=""Saída"",J398=""Sangria""),if(sum(QUERY(IMPORTRANGE(""https://docs.google.com/spreadsheets/d/1E4szPcLzsqlw4uyBAoJ61L1ChCgpz4wVP8tHfHW1g_c"",""BD M Sangrias!a:i""),""select Col6 where Col7 = 'Depositada' and Col9 = '""&amp;K398&amp;""' and Col6 ="&amp;" ""&amp;M398&amp;"" and Col4 = date '""&amp;YEAR(C398)&amp;""-""&amp;MONTH(C398)&amp;""-""&amp;DAY(C398)&amp;""'""))&gt;0,""Depositada"",if(sum(QUERY(IMPORTRANGE(""https://docs.google.com/spreadsheets/d/1EcLIvUgMoBC5as4ikW0wuQsGH5yVZ6cQ1y16qEfgPnk"",""BD M Sangrias!a:i""),""select Col6 whe"&amp;"re Col7 = 'Caixa Atendimento' and Col9 = '""&amp;K398&amp;""' and Col6 = ""&amp;M398&amp;"" and Col4 = date '""&amp;YEAR(C398)&amp;""-""&amp;MONTH(C398)&amp;""-""&amp;DAY(C398)&amp;""'""))&gt;0,""Caixa Atendimento"",""Caixa Sangria"")),""""),""Caixa Sangria"")"),"")</f>
        <v/>
      </c>
      <c r="M398" s="185" t="str">
        <f>IFERROR(__xludf.DUMMYFUNCTION("ifna(VALUE(REGEXEXTRACT(E398,""[0-9.]+[,]+[0-9]+"")))"),"")</f>
        <v/>
      </c>
      <c r="N398" s="185"/>
      <c r="O398" s="185"/>
      <c r="P398" s="185"/>
      <c r="Q398" s="185"/>
      <c r="R398" s="185"/>
      <c r="S398" s="185"/>
      <c r="T398" s="185"/>
      <c r="U398" s="185"/>
      <c r="V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184" t="str">
        <f>IFERROR(__xludf.DUMMYFUNCTION("ifna(IF(and(D399=""Saída"",J399=""Sangria""),if(sum(QUERY(IMPORTRANGE(""https://docs.google.com/spreadsheets/d/1E4szPcLzsqlw4uyBAoJ61L1ChCgpz4wVP8tHfHW1g_c"",""BD M Sangrias!a:i""),""select Col6 where Col7 = 'Depositada' and Col9 = '""&amp;K399&amp;""' and Col6 ="&amp;" ""&amp;M399&amp;"" and Col4 = date '""&amp;YEAR(C399)&amp;""-""&amp;MONTH(C399)&amp;""-""&amp;DAY(C399)&amp;""'""))&gt;0,""Depositada"",if(sum(QUERY(IMPORTRANGE(""https://docs.google.com/spreadsheets/d/1EcLIvUgMoBC5as4ikW0wuQsGH5yVZ6cQ1y16qEfgPnk"",""BD M Sangrias!a:i""),""select Col6 whe"&amp;"re Col7 = 'Caixa Atendimento' and Col9 = '""&amp;K399&amp;""' and Col6 = ""&amp;M399&amp;"" and Col4 = date '""&amp;YEAR(C399)&amp;""-""&amp;MONTH(C399)&amp;""-""&amp;DAY(C399)&amp;""'""))&gt;0,""Caixa Atendimento"",""Caixa Sangria"")),""""),""Caixa Sangria"")"),"")</f>
        <v/>
      </c>
      <c r="M399" s="185" t="str">
        <f>IFERROR(__xludf.DUMMYFUNCTION("ifna(VALUE(REGEXEXTRACT(E399,""[0-9.]+[,]+[0-9]+"")))"),"")</f>
        <v/>
      </c>
      <c r="N399" s="185"/>
      <c r="O399" s="185"/>
      <c r="P399" s="185"/>
      <c r="Q399" s="185"/>
      <c r="R399" s="185"/>
      <c r="S399" s="185"/>
      <c r="T399" s="185"/>
      <c r="U399" s="185"/>
      <c r="V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184" t="str">
        <f>IFERROR(__xludf.DUMMYFUNCTION("ifna(IF(and(D400=""Saída"",J400=""Sangria""),if(sum(QUERY(IMPORTRANGE(""https://docs.google.com/spreadsheets/d/1E4szPcLzsqlw4uyBAoJ61L1ChCgpz4wVP8tHfHW1g_c"",""BD M Sangrias!a:i""),""select Col6 where Col7 = 'Depositada' and Col9 = '""&amp;K400&amp;""' and Col6 ="&amp;" ""&amp;M400&amp;"" and Col4 = date '""&amp;YEAR(C400)&amp;""-""&amp;MONTH(C400)&amp;""-""&amp;DAY(C400)&amp;""'""))&gt;0,""Depositada"",if(sum(QUERY(IMPORTRANGE(""https://docs.google.com/spreadsheets/d/1EcLIvUgMoBC5as4ikW0wuQsGH5yVZ6cQ1y16qEfgPnk"",""BD M Sangrias!a:i""),""select Col6 whe"&amp;"re Col7 = 'Caixa Atendimento' and Col9 = '""&amp;K400&amp;""' and Col6 = ""&amp;M400&amp;"" and Col4 = date '""&amp;YEAR(C400)&amp;""-""&amp;MONTH(C400)&amp;""-""&amp;DAY(C400)&amp;""'""))&gt;0,""Caixa Atendimento"",""Caixa Sangria"")),""""),""Caixa Sangria"")"),"")</f>
        <v/>
      </c>
      <c r="M400" s="185" t="str">
        <f>IFERROR(__xludf.DUMMYFUNCTION("ifna(VALUE(REGEXEXTRACT(E400,""[0-9.]+[,]+[0-9]+"")))"),"")</f>
        <v/>
      </c>
      <c r="N400" s="185"/>
      <c r="O400" s="185"/>
      <c r="P400" s="185"/>
      <c r="Q400" s="185"/>
      <c r="R400" s="185"/>
      <c r="S400" s="185"/>
      <c r="T400" s="185"/>
      <c r="U400" s="185"/>
      <c r="V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184" t="str">
        <f>IFERROR(__xludf.DUMMYFUNCTION("ifna(IF(and(D401=""Saída"",J401=""Sangria""),if(sum(QUERY(IMPORTRANGE(""https://docs.google.com/spreadsheets/d/1E4szPcLzsqlw4uyBAoJ61L1ChCgpz4wVP8tHfHW1g_c"",""BD M Sangrias!a:i""),""select Col6 where Col7 = 'Depositada' and Col9 = '""&amp;K401&amp;""' and Col6 ="&amp;" ""&amp;M401&amp;"" and Col4 = date '""&amp;YEAR(C401)&amp;""-""&amp;MONTH(C401)&amp;""-""&amp;DAY(C401)&amp;""'""))&gt;0,""Depositada"",if(sum(QUERY(IMPORTRANGE(""https://docs.google.com/spreadsheets/d/1EcLIvUgMoBC5as4ikW0wuQsGH5yVZ6cQ1y16qEfgPnk"",""BD M Sangrias!a:i""),""select Col6 whe"&amp;"re Col7 = 'Caixa Atendimento' and Col9 = '""&amp;K401&amp;""' and Col6 = ""&amp;M401&amp;"" and Col4 = date '""&amp;YEAR(C401)&amp;""-""&amp;MONTH(C401)&amp;""-""&amp;DAY(C401)&amp;""'""))&gt;0,""Caixa Atendimento"",""Caixa Sangria"")),""""),""Caixa Sangria"")"),"")</f>
        <v/>
      </c>
      <c r="M401" s="185" t="str">
        <f>IFERROR(__xludf.DUMMYFUNCTION("ifna(VALUE(REGEXEXTRACT(E401,""[0-9.]+[,]+[0-9]+"")))"),"")</f>
        <v/>
      </c>
      <c r="N401" s="185"/>
      <c r="O401" s="185"/>
      <c r="P401" s="185"/>
      <c r="Q401" s="185"/>
      <c r="R401" s="185"/>
      <c r="S401" s="185"/>
      <c r="T401" s="185"/>
      <c r="U401" s="185"/>
      <c r="V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184" t="str">
        <f>IFERROR(__xludf.DUMMYFUNCTION("ifna(IF(and(D402=""Saída"",J402=""Sangria""),if(sum(QUERY(IMPORTRANGE(""https://docs.google.com/spreadsheets/d/1E4szPcLzsqlw4uyBAoJ61L1ChCgpz4wVP8tHfHW1g_c"",""BD M Sangrias!a:i""),""select Col6 where Col7 = 'Depositada' and Col9 = '""&amp;K402&amp;""' and Col6 ="&amp;" ""&amp;M402&amp;"" and Col4 = date '""&amp;YEAR(C402)&amp;""-""&amp;MONTH(C402)&amp;""-""&amp;DAY(C402)&amp;""'""))&gt;0,""Depositada"",if(sum(QUERY(IMPORTRANGE(""https://docs.google.com/spreadsheets/d/1EcLIvUgMoBC5as4ikW0wuQsGH5yVZ6cQ1y16qEfgPnk"",""BD M Sangrias!a:i""),""select Col6 whe"&amp;"re Col7 = 'Caixa Atendimento' and Col9 = '""&amp;K402&amp;""' and Col6 = ""&amp;M402&amp;"" and Col4 = date '""&amp;YEAR(C402)&amp;""-""&amp;MONTH(C402)&amp;""-""&amp;DAY(C402)&amp;""'""))&gt;0,""Caixa Atendimento"",""Caixa Sangria"")),""""),""Caixa Sangria"")"),"")</f>
        <v/>
      </c>
      <c r="M402" s="185" t="str">
        <f>IFERROR(__xludf.DUMMYFUNCTION("ifna(VALUE(REGEXEXTRACT(E402,""[0-9.]+[,]+[0-9]+"")))"),"")</f>
        <v/>
      </c>
      <c r="N402" s="185"/>
      <c r="O402" s="185"/>
      <c r="P402" s="185"/>
      <c r="Q402" s="185"/>
      <c r="R402" s="185"/>
      <c r="S402" s="185"/>
      <c r="T402" s="185"/>
      <c r="U402" s="185"/>
      <c r="V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184" t="str">
        <f>IFERROR(__xludf.DUMMYFUNCTION("ifna(IF(and(D403=""Saída"",J403=""Sangria""),if(sum(QUERY(IMPORTRANGE(""https://docs.google.com/spreadsheets/d/1E4szPcLzsqlw4uyBAoJ61L1ChCgpz4wVP8tHfHW1g_c"",""BD M Sangrias!a:i""),""select Col6 where Col7 = 'Depositada' and Col9 = '""&amp;K403&amp;""' and Col6 ="&amp;" ""&amp;M403&amp;"" and Col4 = date '""&amp;YEAR(C403)&amp;""-""&amp;MONTH(C403)&amp;""-""&amp;DAY(C403)&amp;""'""))&gt;0,""Depositada"",if(sum(QUERY(IMPORTRANGE(""https://docs.google.com/spreadsheets/d/1EcLIvUgMoBC5as4ikW0wuQsGH5yVZ6cQ1y16qEfgPnk"",""BD M Sangrias!a:i""),""select Col6 whe"&amp;"re Col7 = 'Caixa Atendimento' and Col9 = '""&amp;K403&amp;""' and Col6 = ""&amp;M403&amp;"" and Col4 = date '""&amp;YEAR(C403)&amp;""-""&amp;MONTH(C403)&amp;""-""&amp;DAY(C403)&amp;""'""))&gt;0,""Caixa Atendimento"",""Caixa Sangria"")),""""),""Caixa Sangria"")"),"")</f>
        <v/>
      </c>
      <c r="M403" s="185" t="str">
        <f>IFERROR(__xludf.DUMMYFUNCTION("ifna(VALUE(REGEXEXTRACT(E403,""[0-9.]+[,]+[0-9]+"")))"),"")</f>
        <v/>
      </c>
      <c r="N403" s="185"/>
      <c r="O403" s="185"/>
      <c r="P403" s="185"/>
      <c r="Q403" s="185"/>
      <c r="R403" s="185"/>
      <c r="S403" s="185"/>
      <c r="T403" s="185"/>
      <c r="U403" s="185"/>
      <c r="V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184" t="str">
        <f>IFERROR(__xludf.DUMMYFUNCTION("ifna(IF(and(D404=""Saída"",J404=""Sangria""),if(sum(QUERY(IMPORTRANGE(""https://docs.google.com/spreadsheets/d/1E4szPcLzsqlw4uyBAoJ61L1ChCgpz4wVP8tHfHW1g_c"",""BD M Sangrias!a:i""),""select Col6 where Col7 = 'Depositada' and Col9 = '""&amp;K404&amp;""' and Col6 ="&amp;" ""&amp;M404&amp;"" and Col4 = date '""&amp;YEAR(C404)&amp;""-""&amp;MONTH(C404)&amp;""-""&amp;DAY(C404)&amp;""'""))&gt;0,""Depositada"",if(sum(QUERY(IMPORTRANGE(""https://docs.google.com/spreadsheets/d/1EcLIvUgMoBC5as4ikW0wuQsGH5yVZ6cQ1y16qEfgPnk"",""BD M Sangrias!a:i""),""select Col6 whe"&amp;"re Col7 = 'Caixa Atendimento' and Col9 = '""&amp;K404&amp;""' and Col6 = ""&amp;M404&amp;"" and Col4 = date '""&amp;YEAR(C404)&amp;""-""&amp;MONTH(C404)&amp;""-""&amp;DAY(C404)&amp;""'""))&gt;0,""Caixa Atendimento"",""Caixa Sangria"")),""""),""Caixa Sangria"")"),"")</f>
        <v/>
      </c>
      <c r="M404" s="185" t="str">
        <f>IFERROR(__xludf.DUMMYFUNCTION("ifna(VALUE(REGEXEXTRACT(E404,""[0-9.]+[,]+[0-9]+"")))"),"")</f>
        <v/>
      </c>
      <c r="N404" s="185"/>
      <c r="O404" s="185"/>
      <c r="P404" s="185"/>
      <c r="Q404" s="185"/>
      <c r="R404" s="185"/>
      <c r="S404" s="185"/>
      <c r="T404" s="185"/>
      <c r="U404" s="185"/>
      <c r="V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184" t="str">
        <f>IFERROR(__xludf.DUMMYFUNCTION("ifna(IF(and(D405=""Saída"",J405=""Sangria""),if(sum(QUERY(IMPORTRANGE(""https://docs.google.com/spreadsheets/d/1E4szPcLzsqlw4uyBAoJ61L1ChCgpz4wVP8tHfHW1g_c"",""BD M Sangrias!a:i""),""select Col6 where Col7 = 'Depositada' and Col9 = '""&amp;K405&amp;""' and Col6 ="&amp;" ""&amp;M405&amp;"" and Col4 = date '""&amp;YEAR(C405)&amp;""-""&amp;MONTH(C405)&amp;""-""&amp;DAY(C405)&amp;""'""))&gt;0,""Depositada"",if(sum(QUERY(IMPORTRANGE(""https://docs.google.com/spreadsheets/d/1EcLIvUgMoBC5as4ikW0wuQsGH5yVZ6cQ1y16qEfgPnk"",""BD M Sangrias!a:i""),""select Col6 whe"&amp;"re Col7 = 'Caixa Atendimento' and Col9 = '""&amp;K405&amp;""' and Col6 = ""&amp;M405&amp;"" and Col4 = date '""&amp;YEAR(C405)&amp;""-""&amp;MONTH(C405)&amp;""-""&amp;DAY(C405)&amp;""'""))&gt;0,""Caixa Atendimento"",""Caixa Sangria"")),""""),""Caixa Sangria"")"),"")</f>
        <v/>
      </c>
      <c r="M405" s="185" t="str">
        <f>IFERROR(__xludf.DUMMYFUNCTION("ifna(VALUE(REGEXEXTRACT(E405,""[0-9.]+[,]+[0-9]+"")))"),"")</f>
        <v/>
      </c>
      <c r="N405" s="185"/>
      <c r="O405" s="185"/>
      <c r="P405" s="185"/>
      <c r="Q405" s="185"/>
      <c r="R405" s="185"/>
      <c r="S405" s="185"/>
      <c r="T405" s="185"/>
      <c r="U405" s="185"/>
      <c r="V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184" t="str">
        <f>IFERROR(__xludf.DUMMYFUNCTION("ifna(IF(and(D406=""Saída"",J406=""Sangria""),if(sum(QUERY(IMPORTRANGE(""https://docs.google.com/spreadsheets/d/1E4szPcLzsqlw4uyBAoJ61L1ChCgpz4wVP8tHfHW1g_c"",""BD M Sangrias!a:i""),""select Col6 where Col7 = 'Depositada' and Col9 = '""&amp;K406&amp;""' and Col6 ="&amp;" ""&amp;M406&amp;"" and Col4 = date '""&amp;YEAR(C406)&amp;""-""&amp;MONTH(C406)&amp;""-""&amp;DAY(C406)&amp;""'""))&gt;0,""Depositada"",if(sum(QUERY(IMPORTRANGE(""https://docs.google.com/spreadsheets/d/1EcLIvUgMoBC5as4ikW0wuQsGH5yVZ6cQ1y16qEfgPnk"",""BD M Sangrias!a:i""),""select Col6 whe"&amp;"re Col7 = 'Caixa Atendimento' and Col9 = '""&amp;K406&amp;""' and Col6 = ""&amp;M406&amp;"" and Col4 = date '""&amp;YEAR(C406)&amp;""-""&amp;MONTH(C406)&amp;""-""&amp;DAY(C406)&amp;""'""))&gt;0,""Caixa Atendimento"",""Caixa Sangria"")),""""),""Caixa Sangria"")"),"")</f>
        <v/>
      </c>
      <c r="M406" s="185" t="str">
        <f>IFERROR(__xludf.DUMMYFUNCTION("ifna(VALUE(REGEXEXTRACT(E406,""[0-9.]+[,]+[0-9]+"")))"),"")</f>
        <v/>
      </c>
      <c r="N406" s="185"/>
      <c r="O406" s="185"/>
      <c r="P406" s="185"/>
      <c r="Q406" s="185"/>
      <c r="R406" s="185"/>
      <c r="S406" s="185"/>
      <c r="T406" s="185"/>
      <c r="U406" s="185"/>
      <c r="V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184" t="str">
        <f>IFERROR(__xludf.DUMMYFUNCTION("ifna(IF(and(D407=""Saída"",J407=""Sangria""),if(sum(QUERY(IMPORTRANGE(""https://docs.google.com/spreadsheets/d/1E4szPcLzsqlw4uyBAoJ61L1ChCgpz4wVP8tHfHW1g_c"",""BD M Sangrias!a:i""),""select Col6 where Col7 = 'Depositada' and Col9 = '""&amp;K407&amp;""' and Col6 ="&amp;" ""&amp;M407&amp;"" and Col4 = date '""&amp;YEAR(C407)&amp;""-""&amp;MONTH(C407)&amp;""-""&amp;DAY(C407)&amp;""'""))&gt;0,""Depositada"",if(sum(QUERY(IMPORTRANGE(""https://docs.google.com/spreadsheets/d/1EcLIvUgMoBC5as4ikW0wuQsGH5yVZ6cQ1y16qEfgPnk"",""BD M Sangrias!a:i""),""select Col6 whe"&amp;"re Col7 = 'Caixa Atendimento' and Col9 = '""&amp;K407&amp;""' and Col6 = ""&amp;M407&amp;"" and Col4 = date '""&amp;YEAR(C407)&amp;""-""&amp;MONTH(C407)&amp;""-""&amp;DAY(C407)&amp;""'""))&gt;0,""Caixa Atendimento"",""Caixa Sangria"")),""""),""Caixa Sangria"")"),"")</f>
        <v/>
      </c>
      <c r="M407" s="185" t="str">
        <f>IFERROR(__xludf.DUMMYFUNCTION("ifna(VALUE(REGEXEXTRACT(E407,""[0-9.]+[,]+[0-9]+"")))"),"")</f>
        <v/>
      </c>
      <c r="N407" s="185"/>
      <c r="O407" s="185"/>
      <c r="P407" s="185"/>
      <c r="Q407" s="185"/>
      <c r="R407" s="185"/>
      <c r="S407" s="185"/>
      <c r="T407" s="185"/>
      <c r="U407" s="185"/>
      <c r="V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184" t="str">
        <f>IFERROR(__xludf.DUMMYFUNCTION("ifna(IF(and(D408=""Saída"",J408=""Sangria""),if(sum(QUERY(IMPORTRANGE(""https://docs.google.com/spreadsheets/d/1E4szPcLzsqlw4uyBAoJ61L1ChCgpz4wVP8tHfHW1g_c"",""BD M Sangrias!a:i""),""select Col6 where Col7 = 'Depositada' and Col9 = '""&amp;K408&amp;""' and Col6 ="&amp;" ""&amp;M408&amp;"" and Col4 = date '""&amp;YEAR(C408)&amp;""-""&amp;MONTH(C408)&amp;""-""&amp;DAY(C408)&amp;""'""))&gt;0,""Depositada"",if(sum(QUERY(IMPORTRANGE(""https://docs.google.com/spreadsheets/d/1EcLIvUgMoBC5as4ikW0wuQsGH5yVZ6cQ1y16qEfgPnk"",""BD M Sangrias!a:i""),""select Col6 whe"&amp;"re Col7 = 'Caixa Atendimento' and Col9 = '""&amp;K408&amp;""' and Col6 = ""&amp;M408&amp;"" and Col4 = date '""&amp;YEAR(C408)&amp;""-""&amp;MONTH(C408)&amp;""-""&amp;DAY(C408)&amp;""'""))&gt;0,""Caixa Atendimento"",""Caixa Sangria"")),""""),""Caixa Sangria"")"),"")</f>
        <v/>
      </c>
      <c r="M408" s="185" t="str">
        <f>IFERROR(__xludf.DUMMYFUNCTION("ifna(VALUE(REGEXEXTRACT(E408,""[0-9.]+[,]+[0-9]+"")))"),"")</f>
        <v/>
      </c>
      <c r="N408" s="185"/>
      <c r="O408" s="185"/>
      <c r="P408" s="185"/>
      <c r="Q408" s="185"/>
      <c r="R408" s="185"/>
      <c r="S408" s="185"/>
      <c r="T408" s="185"/>
      <c r="U408" s="185"/>
      <c r="V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184" t="str">
        <f>IFERROR(__xludf.DUMMYFUNCTION("ifna(IF(and(D409=""Saída"",J409=""Sangria""),if(sum(QUERY(IMPORTRANGE(""https://docs.google.com/spreadsheets/d/1E4szPcLzsqlw4uyBAoJ61L1ChCgpz4wVP8tHfHW1g_c"",""BD M Sangrias!a:i""),""select Col6 where Col7 = 'Depositada' and Col9 = '""&amp;K409&amp;""' and Col6 ="&amp;" ""&amp;M409&amp;"" and Col4 = date '""&amp;YEAR(C409)&amp;""-""&amp;MONTH(C409)&amp;""-""&amp;DAY(C409)&amp;""'""))&gt;0,""Depositada"",if(sum(QUERY(IMPORTRANGE(""https://docs.google.com/spreadsheets/d/1EcLIvUgMoBC5as4ikW0wuQsGH5yVZ6cQ1y16qEfgPnk"",""BD M Sangrias!a:i""),""select Col6 whe"&amp;"re Col7 = 'Caixa Atendimento' and Col9 = '""&amp;K409&amp;""' and Col6 = ""&amp;M409&amp;"" and Col4 = date '""&amp;YEAR(C409)&amp;""-""&amp;MONTH(C409)&amp;""-""&amp;DAY(C409)&amp;""'""))&gt;0,""Caixa Atendimento"",""Caixa Sangria"")),""""),""Caixa Sangria"")"),"")</f>
        <v/>
      </c>
      <c r="M409" s="185" t="str">
        <f>IFERROR(__xludf.DUMMYFUNCTION("ifna(VALUE(REGEXEXTRACT(E409,""[0-9.]+[,]+[0-9]+"")))"),"")</f>
        <v/>
      </c>
      <c r="N409" s="185"/>
      <c r="O409" s="185"/>
      <c r="P409" s="185"/>
      <c r="Q409" s="185"/>
      <c r="R409" s="185"/>
      <c r="S409" s="185"/>
      <c r="T409" s="185"/>
      <c r="U409" s="185"/>
      <c r="V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184" t="str">
        <f>IFERROR(__xludf.DUMMYFUNCTION("ifna(IF(and(D410=""Saída"",J410=""Sangria""),if(sum(QUERY(IMPORTRANGE(""https://docs.google.com/spreadsheets/d/1E4szPcLzsqlw4uyBAoJ61L1ChCgpz4wVP8tHfHW1g_c"",""BD M Sangrias!a:i""),""select Col6 where Col7 = 'Depositada' and Col9 = '""&amp;K410&amp;""' and Col6 ="&amp;" ""&amp;M410&amp;"" and Col4 = date '""&amp;YEAR(C410)&amp;""-""&amp;MONTH(C410)&amp;""-""&amp;DAY(C410)&amp;""'""))&gt;0,""Depositada"",if(sum(QUERY(IMPORTRANGE(""https://docs.google.com/spreadsheets/d/1EcLIvUgMoBC5as4ikW0wuQsGH5yVZ6cQ1y16qEfgPnk"",""BD M Sangrias!a:i""),""select Col6 whe"&amp;"re Col7 = 'Caixa Atendimento' and Col9 = '""&amp;K410&amp;""' and Col6 = ""&amp;M410&amp;"" and Col4 = date '""&amp;YEAR(C410)&amp;""-""&amp;MONTH(C410)&amp;""-""&amp;DAY(C410)&amp;""'""))&gt;0,""Caixa Atendimento"",""Caixa Sangria"")),""""),""Caixa Sangria"")"),"")</f>
        <v/>
      </c>
      <c r="M410" s="185" t="str">
        <f>IFERROR(__xludf.DUMMYFUNCTION("ifna(VALUE(REGEXEXTRACT(E410,""[0-9.]+[,]+[0-9]+"")))"),"")</f>
        <v/>
      </c>
      <c r="N410" s="185"/>
      <c r="O410" s="185"/>
      <c r="P410" s="185"/>
      <c r="Q410" s="185"/>
      <c r="R410" s="185"/>
      <c r="S410" s="185"/>
      <c r="T410" s="185"/>
      <c r="U410" s="185"/>
      <c r="V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184" t="str">
        <f>IFERROR(__xludf.DUMMYFUNCTION("ifna(IF(and(D411=""Saída"",J411=""Sangria""),if(sum(QUERY(IMPORTRANGE(""https://docs.google.com/spreadsheets/d/1E4szPcLzsqlw4uyBAoJ61L1ChCgpz4wVP8tHfHW1g_c"",""BD M Sangrias!a:i""),""select Col6 where Col7 = 'Depositada' and Col9 = '""&amp;K411&amp;""' and Col6 ="&amp;" ""&amp;M411&amp;"" and Col4 = date '""&amp;YEAR(C411)&amp;""-""&amp;MONTH(C411)&amp;""-""&amp;DAY(C411)&amp;""'""))&gt;0,""Depositada"",if(sum(QUERY(IMPORTRANGE(""https://docs.google.com/spreadsheets/d/1EcLIvUgMoBC5as4ikW0wuQsGH5yVZ6cQ1y16qEfgPnk"",""BD M Sangrias!a:i""),""select Col6 whe"&amp;"re Col7 = 'Caixa Atendimento' and Col9 = '""&amp;K411&amp;""' and Col6 = ""&amp;M411&amp;"" and Col4 = date '""&amp;YEAR(C411)&amp;""-""&amp;MONTH(C411)&amp;""-""&amp;DAY(C411)&amp;""'""))&gt;0,""Caixa Atendimento"",""Caixa Sangria"")),""""),""Caixa Sangria"")"),"")</f>
        <v/>
      </c>
      <c r="M411" s="185" t="str">
        <f>IFERROR(__xludf.DUMMYFUNCTION("ifna(VALUE(REGEXEXTRACT(E411,""[0-9.]+[,]+[0-9]+"")))"),"")</f>
        <v/>
      </c>
      <c r="N411" s="185"/>
      <c r="O411" s="185"/>
      <c r="P411" s="185"/>
      <c r="Q411" s="185"/>
      <c r="R411" s="185"/>
      <c r="S411" s="185"/>
      <c r="T411" s="185"/>
      <c r="U411" s="185"/>
      <c r="V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184" t="str">
        <f>IFERROR(__xludf.DUMMYFUNCTION("ifna(IF(and(D412=""Saída"",J412=""Sangria""),if(sum(QUERY(IMPORTRANGE(""https://docs.google.com/spreadsheets/d/1E4szPcLzsqlw4uyBAoJ61L1ChCgpz4wVP8tHfHW1g_c"",""BD M Sangrias!a:i""),""select Col6 where Col7 = 'Depositada' and Col9 = '""&amp;K412&amp;""' and Col6 ="&amp;" ""&amp;M412&amp;"" and Col4 = date '""&amp;YEAR(C412)&amp;""-""&amp;MONTH(C412)&amp;""-""&amp;DAY(C412)&amp;""'""))&gt;0,""Depositada"",if(sum(QUERY(IMPORTRANGE(""https://docs.google.com/spreadsheets/d/1EcLIvUgMoBC5as4ikW0wuQsGH5yVZ6cQ1y16qEfgPnk"",""BD M Sangrias!a:i""),""select Col6 whe"&amp;"re Col7 = 'Caixa Atendimento' and Col9 = '""&amp;K412&amp;""' and Col6 = ""&amp;M412&amp;"" and Col4 = date '""&amp;YEAR(C412)&amp;""-""&amp;MONTH(C412)&amp;""-""&amp;DAY(C412)&amp;""'""))&gt;0,""Caixa Atendimento"",""Caixa Sangria"")),""""),""Caixa Sangria"")"),"")</f>
        <v/>
      </c>
      <c r="M412" s="185" t="str">
        <f>IFERROR(__xludf.DUMMYFUNCTION("ifna(VALUE(REGEXEXTRACT(E412,""[0-9.]+[,]+[0-9]+"")))"),"")</f>
        <v/>
      </c>
      <c r="N412" s="185"/>
      <c r="O412" s="185"/>
      <c r="P412" s="185"/>
      <c r="Q412" s="185"/>
      <c r="R412" s="185"/>
      <c r="S412" s="185"/>
      <c r="T412" s="185"/>
      <c r="U412" s="185"/>
      <c r="V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184" t="str">
        <f>IFERROR(__xludf.DUMMYFUNCTION("ifna(IF(and(D413=""Saída"",J413=""Sangria""),if(sum(QUERY(IMPORTRANGE(""https://docs.google.com/spreadsheets/d/1E4szPcLzsqlw4uyBAoJ61L1ChCgpz4wVP8tHfHW1g_c"",""BD M Sangrias!a:i""),""select Col6 where Col7 = 'Depositada' and Col9 = '""&amp;K413&amp;""' and Col6 ="&amp;" ""&amp;M413&amp;"" and Col4 = date '""&amp;YEAR(C413)&amp;""-""&amp;MONTH(C413)&amp;""-""&amp;DAY(C413)&amp;""'""))&gt;0,""Depositada"",if(sum(QUERY(IMPORTRANGE(""https://docs.google.com/spreadsheets/d/1EcLIvUgMoBC5as4ikW0wuQsGH5yVZ6cQ1y16qEfgPnk"",""BD M Sangrias!a:i""),""select Col6 whe"&amp;"re Col7 = 'Caixa Atendimento' and Col9 = '""&amp;K413&amp;""' and Col6 = ""&amp;M413&amp;"" and Col4 = date '""&amp;YEAR(C413)&amp;""-""&amp;MONTH(C413)&amp;""-""&amp;DAY(C413)&amp;""'""))&gt;0,""Caixa Atendimento"",""Caixa Sangria"")),""""),""Caixa Sangria"")"),"")</f>
        <v/>
      </c>
      <c r="M413" s="185" t="str">
        <f>IFERROR(__xludf.DUMMYFUNCTION("ifna(VALUE(REGEXEXTRACT(E413,""[0-9.]+[,]+[0-9]+"")))"),"")</f>
        <v/>
      </c>
      <c r="N413" s="185"/>
      <c r="O413" s="185"/>
      <c r="P413" s="185"/>
      <c r="Q413" s="185"/>
      <c r="R413" s="185"/>
      <c r="S413" s="185"/>
      <c r="T413" s="185"/>
      <c r="U413" s="185"/>
      <c r="V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184" t="str">
        <f>IFERROR(__xludf.DUMMYFUNCTION("ifna(IF(and(D414=""Saída"",J414=""Sangria""),if(sum(QUERY(IMPORTRANGE(""https://docs.google.com/spreadsheets/d/1E4szPcLzsqlw4uyBAoJ61L1ChCgpz4wVP8tHfHW1g_c"",""BD M Sangrias!a:i""),""select Col6 where Col7 = 'Depositada' and Col9 = '""&amp;K414&amp;""' and Col6 ="&amp;" ""&amp;M414&amp;"" and Col4 = date '""&amp;YEAR(C414)&amp;""-""&amp;MONTH(C414)&amp;""-""&amp;DAY(C414)&amp;""'""))&gt;0,""Depositada"",if(sum(QUERY(IMPORTRANGE(""https://docs.google.com/spreadsheets/d/1EcLIvUgMoBC5as4ikW0wuQsGH5yVZ6cQ1y16qEfgPnk"",""BD M Sangrias!a:i""),""select Col6 whe"&amp;"re Col7 = 'Caixa Atendimento' and Col9 = '""&amp;K414&amp;""' and Col6 = ""&amp;M414&amp;"" and Col4 = date '""&amp;YEAR(C414)&amp;""-""&amp;MONTH(C414)&amp;""-""&amp;DAY(C414)&amp;""'""))&gt;0,""Caixa Atendimento"",""Caixa Sangria"")),""""),""Caixa Sangria"")"),"")</f>
        <v/>
      </c>
      <c r="M414" s="185" t="str">
        <f>IFERROR(__xludf.DUMMYFUNCTION("ifna(VALUE(REGEXEXTRACT(E414,""[0-9.]+[,]+[0-9]+"")))"),"")</f>
        <v/>
      </c>
      <c r="N414" s="185"/>
      <c r="O414" s="185"/>
      <c r="P414" s="185"/>
      <c r="Q414" s="185"/>
      <c r="R414" s="185"/>
      <c r="S414" s="185"/>
      <c r="T414" s="185"/>
      <c r="U414" s="185"/>
      <c r="V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184" t="str">
        <f>IFERROR(__xludf.DUMMYFUNCTION("ifna(IF(and(D415=""Saída"",J415=""Sangria""),if(sum(QUERY(IMPORTRANGE(""https://docs.google.com/spreadsheets/d/1E4szPcLzsqlw4uyBAoJ61L1ChCgpz4wVP8tHfHW1g_c"",""BD M Sangrias!a:i""),""select Col6 where Col7 = 'Depositada' and Col9 = '""&amp;K415&amp;""' and Col6 ="&amp;" ""&amp;M415&amp;"" and Col4 = date '""&amp;YEAR(C415)&amp;""-""&amp;MONTH(C415)&amp;""-""&amp;DAY(C415)&amp;""'""))&gt;0,""Depositada"",if(sum(QUERY(IMPORTRANGE(""https://docs.google.com/spreadsheets/d/1EcLIvUgMoBC5as4ikW0wuQsGH5yVZ6cQ1y16qEfgPnk"",""BD M Sangrias!a:i""),""select Col6 whe"&amp;"re Col7 = 'Caixa Atendimento' and Col9 = '""&amp;K415&amp;""' and Col6 = ""&amp;M415&amp;"" and Col4 = date '""&amp;YEAR(C415)&amp;""-""&amp;MONTH(C415)&amp;""-""&amp;DAY(C415)&amp;""'""))&gt;0,""Caixa Atendimento"",""Caixa Sangria"")),""""),""Caixa Sangria"")"),"")</f>
        <v/>
      </c>
      <c r="M415" s="185" t="str">
        <f>IFERROR(__xludf.DUMMYFUNCTION("ifna(VALUE(REGEXEXTRACT(E415,""[0-9.]+[,]+[0-9]+"")))"),"")</f>
        <v/>
      </c>
      <c r="N415" s="185"/>
      <c r="O415" s="185"/>
      <c r="P415" s="185"/>
      <c r="Q415" s="185"/>
      <c r="R415" s="185"/>
      <c r="S415" s="185"/>
      <c r="T415" s="185"/>
      <c r="U415" s="185"/>
      <c r="V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184" t="str">
        <f>IFERROR(__xludf.DUMMYFUNCTION("ifna(IF(and(D416=""Saída"",J416=""Sangria""),if(sum(QUERY(IMPORTRANGE(""https://docs.google.com/spreadsheets/d/1E4szPcLzsqlw4uyBAoJ61L1ChCgpz4wVP8tHfHW1g_c"",""BD M Sangrias!a:i""),""select Col6 where Col7 = 'Depositada' and Col9 = '""&amp;K416&amp;""' and Col6 ="&amp;" ""&amp;M416&amp;"" and Col4 = date '""&amp;YEAR(C416)&amp;""-""&amp;MONTH(C416)&amp;""-""&amp;DAY(C416)&amp;""'""))&gt;0,""Depositada"",if(sum(QUERY(IMPORTRANGE(""https://docs.google.com/spreadsheets/d/1EcLIvUgMoBC5as4ikW0wuQsGH5yVZ6cQ1y16qEfgPnk"",""BD M Sangrias!a:i""),""select Col6 whe"&amp;"re Col7 = 'Caixa Atendimento' and Col9 = '""&amp;K416&amp;""' and Col6 = ""&amp;M416&amp;"" and Col4 = date '""&amp;YEAR(C416)&amp;""-""&amp;MONTH(C416)&amp;""-""&amp;DAY(C416)&amp;""'""))&gt;0,""Caixa Atendimento"",""Caixa Sangria"")),""""),""Caixa Sangria"")"),"")</f>
        <v/>
      </c>
      <c r="M416" s="185" t="str">
        <f>IFERROR(__xludf.DUMMYFUNCTION("ifna(VALUE(REGEXEXTRACT(E416,""[0-9.]+[,]+[0-9]+"")))"),"")</f>
        <v/>
      </c>
      <c r="N416" s="185"/>
      <c r="O416" s="185"/>
      <c r="P416" s="185"/>
      <c r="Q416" s="185"/>
      <c r="R416" s="185"/>
      <c r="S416" s="185"/>
      <c r="T416" s="185"/>
      <c r="U416" s="185"/>
      <c r="V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184" t="str">
        <f>IFERROR(__xludf.DUMMYFUNCTION("ifna(IF(and(D417=""Saída"",J417=""Sangria""),if(sum(QUERY(IMPORTRANGE(""https://docs.google.com/spreadsheets/d/1E4szPcLzsqlw4uyBAoJ61L1ChCgpz4wVP8tHfHW1g_c"",""BD M Sangrias!a:i""),""select Col6 where Col7 = 'Depositada' and Col9 = '""&amp;K417&amp;""' and Col6 ="&amp;" ""&amp;M417&amp;"" and Col4 = date '""&amp;YEAR(C417)&amp;""-""&amp;MONTH(C417)&amp;""-""&amp;DAY(C417)&amp;""'""))&gt;0,""Depositada"",if(sum(QUERY(IMPORTRANGE(""https://docs.google.com/spreadsheets/d/1EcLIvUgMoBC5as4ikW0wuQsGH5yVZ6cQ1y16qEfgPnk"",""BD M Sangrias!a:i""),""select Col6 whe"&amp;"re Col7 = 'Caixa Atendimento' and Col9 = '""&amp;K417&amp;""' and Col6 = ""&amp;M417&amp;"" and Col4 = date '""&amp;YEAR(C417)&amp;""-""&amp;MONTH(C417)&amp;""-""&amp;DAY(C417)&amp;""'""))&gt;0,""Caixa Atendimento"",""Caixa Sangria"")),""""),""Caixa Sangria"")"),"")</f>
        <v/>
      </c>
      <c r="M417" s="185" t="str">
        <f>IFERROR(__xludf.DUMMYFUNCTION("ifna(VALUE(REGEXEXTRACT(E417,""[0-9.]+[,]+[0-9]+"")))"),"")</f>
        <v/>
      </c>
      <c r="N417" s="185"/>
      <c r="O417" s="185"/>
      <c r="P417" s="185"/>
      <c r="Q417" s="185"/>
      <c r="R417" s="185"/>
      <c r="S417" s="185"/>
      <c r="T417" s="185"/>
      <c r="U417" s="185"/>
      <c r="V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184" t="str">
        <f>IFERROR(__xludf.DUMMYFUNCTION("ifna(IF(and(D418=""Saída"",J418=""Sangria""),if(sum(QUERY(IMPORTRANGE(""https://docs.google.com/spreadsheets/d/1E4szPcLzsqlw4uyBAoJ61L1ChCgpz4wVP8tHfHW1g_c"",""BD M Sangrias!a:i""),""select Col6 where Col7 = 'Depositada' and Col9 = '""&amp;K418&amp;""' and Col6 ="&amp;" ""&amp;M418&amp;"" and Col4 = date '""&amp;YEAR(C418)&amp;""-""&amp;MONTH(C418)&amp;""-""&amp;DAY(C418)&amp;""'""))&gt;0,""Depositada"",if(sum(QUERY(IMPORTRANGE(""https://docs.google.com/spreadsheets/d/1EcLIvUgMoBC5as4ikW0wuQsGH5yVZ6cQ1y16qEfgPnk"",""BD M Sangrias!a:i""),""select Col6 whe"&amp;"re Col7 = 'Caixa Atendimento' and Col9 = '""&amp;K418&amp;""' and Col6 = ""&amp;M418&amp;"" and Col4 = date '""&amp;YEAR(C418)&amp;""-""&amp;MONTH(C418)&amp;""-""&amp;DAY(C418)&amp;""'""))&gt;0,""Caixa Atendimento"",""Caixa Sangria"")),""""),""Caixa Sangria"")"),"")</f>
        <v/>
      </c>
      <c r="M418" s="185" t="str">
        <f>IFERROR(__xludf.DUMMYFUNCTION("ifna(VALUE(REGEXEXTRACT(E418,""[0-9.]+[,]+[0-9]+"")))"),"")</f>
        <v/>
      </c>
      <c r="N418" s="185"/>
      <c r="O418" s="185"/>
      <c r="P418" s="185"/>
      <c r="Q418" s="185"/>
      <c r="R418" s="185"/>
      <c r="S418" s="185"/>
      <c r="T418" s="185"/>
      <c r="U418" s="185"/>
      <c r="V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184" t="str">
        <f>IFERROR(__xludf.DUMMYFUNCTION("ifna(IF(and(D419=""Saída"",J419=""Sangria""),if(sum(QUERY(IMPORTRANGE(""https://docs.google.com/spreadsheets/d/1E4szPcLzsqlw4uyBAoJ61L1ChCgpz4wVP8tHfHW1g_c"",""BD M Sangrias!a:i""),""select Col6 where Col7 = 'Depositada' and Col9 = '""&amp;K419&amp;""' and Col6 ="&amp;" ""&amp;M419&amp;"" and Col4 = date '""&amp;YEAR(C419)&amp;""-""&amp;MONTH(C419)&amp;""-""&amp;DAY(C419)&amp;""'""))&gt;0,""Depositada"",if(sum(QUERY(IMPORTRANGE(""https://docs.google.com/spreadsheets/d/1EcLIvUgMoBC5as4ikW0wuQsGH5yVZ6cQ1y16qEfgPnk"",""BD M Sangrias!a:i""),""select Col6 whe"&amp;"re Col7 = 'Caixa Atendimento' and Col9 = '""&amp;K419&amp;""' and Col6 = ""&amp;M419&amp;"" and Col4 = date '""&amp;YEAR(C419)&amp;""-""&amp;MONTH(C419)&amp;""-""&amp;DAY(C419)&amp;""'""))&gt;0,""Caixa Atendimento"",""Caixa Sangria"")),""""),""Caixa Sangria"")"),"")</f>
        <v/>
      </c>
      <c r="M419" s="185" t="str">
        <f>IFERROR(__xludf.DUMMYFUNCTION("ifna(VALUE(REGEXEXTRACT(E419,""[0-9.]+[,]+[0-9]+"")))"),"")</f>
        <v/>
      </c>
      <c r="N419" s="185"/>
      <c r="O419" s="185"/>
      <c r="P419" s="185"/>
      <c r="Q419" s="185"/>
      <c r="R419" s="185"/>
      <c r="S419" s="185"/>
      <c r="T419" s="185"/>
      <c r="U419" s="185"/>
      <c r="V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184" t="str">
        <f>IFERROR(__xludf.DUMMYFUNCTION("ifna(IF(and(D420=""Saída"",J420=""Sangria""),if(sum(QUERY(IMPORTRANGE(""https://docs.google.com/spreadsheets/d/1E4szPcLzsqlw4uyBAoJ61L1ChCgpz4wVP8tHfHW1g_c"",""BD M Sangrias!a:i""),""select Col6 where Col7 = 'Depositada' and Col9 = '""&amp;K420&amp;""' and Col6 ="&amp;" ""&amp;M420&amp;"" and Col4 = date '""&amp;YEAR(C420)&amp;""-""&amp;MONTH(C420)&amp;""-""&amp;DAY(C420)&amp;""'""))&gt;0,""Depositada"",if(sum(QUERY(IMPORTRANGE(""https://docs.google.com/spreadsheets/d/1EcLIvUgMoBC5as4ikW0wuQsGH5yVZ6cQ1y16qEfgPnk"",""BD M Sangrias!a:i""),""select Col6 whe"&amp;"re Col7 = 'Caixa Atendimento' and Col9 = '""&amp;K420&amp;""' and Col6 = ""&amp;M420&amp;"" and Col4 = date '""&amp;YEAR(C420)&amp;""-""&amp;MONTH(C420)&amp;""-""&amp;DAY(C420)&amp;""'""))&gt;0,""Caixa Atendimento"",""Caixa Sangria"")),""""),""Caixa Sangria"")"),"")</f>
        <v/>
      </c>
      <c r="M420" s="185" t="str">
        <f>IFERROR(__xludf.DUMMYFUNCTION("ifna(VALUE(REGEXEXTRACT(E420,""[0-9.]+[,]+[0-9]+"")))"),"")</f>
        <v/>
      </c>
      <c r="N420" s="185"/>
      <c r="O420" s="185"/>
      <c r="P420" s="185"/>
      <c r="Q420" s="185"/>
      <c r="R420" s="185"/>
      <c r="S420" s="185"/>
      <c r="T420" s="185"/>
      <c r="U420" s="185"/>
      <c r="V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184" t="str">
        <f>IFERROR(__xludf.DUMMYFUNCTION("ifna(IF(and(D421=""Saída"",J421=""Sangria""),if(sum(QUERY(IMPORTRANGE(""https://docs.google.com/spreadsheets/d/1E4szPcLzsqlw4uyBAoJ61L1ChCgpz4wVP8tHfHW1g_c"",""BD M Sangrias!a:i""),""select Col6 where Col7 = 'Depositada' and Col9 = '""&amp;K421&amp;""' and Col6 ="&amp;" ""&amp;M421&amp;"" and Col4 = date '""&amp;YEAR(C421)&amp;""-""&amp;MONTH(C421)&amp;""-""&amp;DAY(C421)&amp;""'""))&gt;0,""Depositada"",if(sum(QUERY(IMPORTRANGE(""https://docs.google.com/spreadsheets/d/1EcLIvUgMoBC5as4ikW0wuQsGH5yVZ6cQ1y16qEfgPnk"",""BD M Sangrias!a:i""),""select Col6 whe"&amp;"re Col7 = 'Caixa Atendimento' and Col9 = '""&amp;K421&amp;""' and Col6 = ""&amp;M421&amp;"" and Col4 = date '""&amp;YEAR(C421)&amp;""-""&amp;MONTH(C421)&amp;""-""&amp;DAY(C421)&amp;""'""))&gt;0,""Caixa Atendimento"",""Caixa Sangria"")),""""),""Caixa Sangria"")"),"")</f>
        <v/>
      </c>
      <c r="M421" s="185" t="str">
        <f>IFERROR(__xludf.DUMMYFUNCTION("ifna(VALUE(REGEXEXTRACT(E421,""[0-9.]+[,]+[0-9]+"")))"),"")</f>
        <v/>
      </c>
      <c r="N421" s="185"/>
      <c r="O421" s="185"/>
      <c r="P421" s="185"/>
      <c r="Q421" s="185"/>
      <c r="R421" s="185"/>
      <c r="S421" s="185"/>
      <c r="T421" s="185"/>
      <c r="U421" s="185"/>
      <c r="V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184" t="str">
        <f>IFERROR(__xludf.DUMMYFUNCTION("ifna(IF(and(D422=""Saída"",J422=""Sangria""),if(sum(QUERY(IMPORTRANGE(""https://docs.google.com/spreadsheets/d/1E4szPcLzsqlw4uyBAoJ61L1ChCgpz4wVP8tHfHW1g_c"",""BD M Sangrias!a:i""),""select Col6 where Col7 = 'Depositada' and Col9 = '""&amp;K422&amp;""' and Col6 ="&amp;" ""&amp;M422&amp;"" and Col4 = date '""&amp;YEAR(C422)&amp;""-""&amp;MONTH(C422)&amp;""-""&amp;DAY(C422)&amp;""'""))&gt;0,""Depositada"",if(sum(QUERY(IMPORTRANGE(""https://docs.google.com/spreadsheets/d/1EcLIvUgMoBC5as4ikW0wuQsGH5yVZ6cQ1y16qEfgPnk"",""BD M Sangrias!a:i""),""select Col6 whe"&amp;"re Col7 = 'Caixa Atendimento' and Col9 = '""&amp;K422&amp;""' and Col6 = ""&amp;M422&amp;"" and Col4 = date '""&amp;YEAR(C422)&amp;""-""&amp;MONTH(C422)&amp;""-""&amp;DAY(C422)&amp;""'""))&gt;0,""Caixa Atendimento"",""Caixa Sangria"")),""""),""Caixa Sangria"")"),"")</f>
        <v/>
      </c>
      <c r="M422" s="185" t="str">
        <f>IFERROR(__xludf.DUMMYFUNCTION("ifna(VALUE(REGEXEXTRACT(E422,""[0-9.]+[,]+[0-9]+"")))"),"")</f>
        <v/>
      </c>
      <c r="N422" s="185"/>
      <c r="O422" s="185"/>
      <c r="P422" s="185"/>
      <c r="Q422" s="185"/>
      <c r="R422" s="185"/>
      <c r="S422" s="185"/>
      <c r="T422" s="185"/>
      <c r="U422" s="185"/>
      <c r="V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184" t="str">
        <f>IFERROR(__xludf.DUMMYFUNCTION("ifna(IF(and(D423=""Saída"",J423=""Sangria""),if(sum(QUERY(IMPORTRANGE(""https://docs.google.com/spreadsheets/d/1E4szPcLzsqlw4uyBAoJ61L1ChCgpz4wVP8tHfHW1g_c"",""BD M Sangrias!a:i""),""select Col6 where Col7 = 'Depositada' and Col9 = '""&amp;K423&amp;""' and Col6 ="&amp;" ""&amp;M423&amp;"" and Col4 = date '""&amp;YEAR(C423)&amp;""-""&amp;MONTH(C423)&amp;""-""&amp;DAY(C423)&amp;""'""))&gt;0,""Depositada"",if(sum(QUERY(IMPORTRANGE(""https://docs.google.com/spreadsheets/d/1EcLIvUgMoBC5as4ikW0wuQsGH5yVZ6cQ1y16qEfgPnk"",""BD M Sangrias!a:i""),""select Col6 whe"&amp;"re Col7 = 'Caixa Atendimento' and Col9 = '""&amp;K423&amp;""' and Col6 = ""&amp;M423&amp;"" and Col4 = date '""&amp;YEAR(C423)&amp;""-""&amp;MONTH(C423)&amp;""-""&amp;DAY(C423)&amp;""'""))&gt;0,""Caixa Atendimento"",""Caixa Sangria"")),""""),""Caixa Sangria"")"),"")</f>
        <v/>
      </c>
      <c r="M423" s="185" t="str">
        <f>IFERROR(__xludf.DUMMYFUNCTION("ifna(VALUE(REGEXEXTRACT(E423,""[0-9.]+[,]+[0-9]+"")))"),"")</f>
        <v/>
      </c>
      <c r="N423" s="185"/>
      <c r="O423" s="185"/>
      <c r="P423" s="185"/>
      <c r="Q423" s="185"/>
      <c r="R423" s="185"/>
      <c r="S423" s="185"/>
      <c r="T423" s="185"/>
      <c r="U423" s="185"/>
      <c r="V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184" t="str">
        <f>IFERROR(__xludf.DUMMYFUNCTION("ifna(IF(and(D424=""Saída"",J424=""Sangria""),if(sum(QUERY(IMPORTRANGE(""https://docs.google.com/spreadsheets/d/1E4szPcLzsqlw4uyBAoJ61L1ChCgpz4wVP8tHfHW1g_c"",""BD M Sangrias!a:i""),""select Col6 where Col7 = 'Depositada' and Col9 = '""&amp;K424&amp;""' and Col6 ="&amp;" ""&amp;M424&amp;"" and Col4 = date '""&amp;YEAR(C424)&amp;""-""&amp;MONTH(C424)&amp;""-""&amp;DAY(C424)&amp;""'""))&gt;0,""Depositada"",if(sum(QUERY(IMPORTRANGE(""https://docs.google.com/spreadsheets/d/1EcLIvUgMoBC5as4ikW0wuQsGH5yVZ6cQ1y16qEfgPnk"",""BD M Sangrias!a:i""),""select Col6 whe"&amp;"re Col7 = 'Caixa Atendimento' and Col9 = '""&amp;K424&amp;""' and Col6 = ""&amp;M424&amp;"" and Col4 = date '""&amp;YEAR(C424)&amp;""-""&amp;MONTH(C424)&amp;""-""&amp;DAY(C424)&amp;""'""))&gt;0,""Caixa Atendimento"",""Caixa Sangria"")),""""),""Caixa Sangria"")"),"")</f>
        <v/>
      </c>
      <c r="M424" s="185" t="str">
        <f>IFERROR(__xludf.DUMMYFUNCTION("ifna(VALUE(REGEXEXTRACT(E424,""[0-9.]+[,]+[0-9]+"")))"),"")</f>
        <v/>
      </c>
      <c r="N424" s="185"/>
      <c r="O424" s="185"/>
      <c r="P424" s="185"/>
      <c r="Q424" s="185"/>
      <c r="R424" s="185"/>
      <c r="S424" s="185"/>
      <c r="T424" s="185"/>
      <c r="U424" s="185"/>
      <c r="V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184" t="str">
        <f>IFERROR(__xludf.DUMMYFUNCTION("ifna(IF(and(D425=""Saída"",J425=""Sangria""),if(sum(QUERY(IMPORTRANGE(""https://docs.google.com/spreadsheets/d/1E4szPcLzsqlw4uyBAoJ61L1ChCgpz4wVP8tHfHW1g_c"",""BD M Sangrias!a:i""),""select Col6 where Col7 = 'Depositada' and Col9 = '""&amp;K425&amp;""' and Col6 ="&amp;" ""&amp;M425&amp;"" and Col4 = date '""&amp;YEAR(C425)&amp;""-""&amp;MONTH(C425)&amp;""-""&amp;DAY(C425)&amp;""'""))&gt;0,""Depositada"",if(sum(QUERY(IMPORTRANGE(""https://docs.google.com/spreadsheets/d/1EcLIvUgMoBC5as4ikW0wuQsGH5yVZ6cQ1y16qEfgPnk"",""BD M Sangrias!a:i""),""select Col6 whe"&amp;"re Col7 = 'Caixa Atendimento' and Col9 = '""&amp;K425&amp;""' and Col6 = ""&amp;M425&amp;"" and Col4 = date '""&amp;YEAR(C425)&amp;""-""&amp;MONTH(C425)&amp;""-""&amp;DAY(C425)&amp;""'""))&gt;0,""Caixa Atendimento"",""Caixa Sangria"")),""""),""Caixa Sangria"")"),"")</f>
        <v/>
      </c>
      <c r="M425" s="185" t="str">
        <f>IFERROR(__xludf.DUMMYFUNCTION("ifna(VALUE(REGEXEXTRACT(E425,""[0-9.]+[,]+[0-9]+"")))"),"")</f>
        <v/>
      </c>
      <c r="N425" s="185"/>
      <c r="O425" s="185"/>
      <c r="P425" s="185"/>
      <c r="Q425" s="185"/>
      <c r="R425" s="185"/>
      <c r="S425" s="185"/>
      <c r="T425" s="185"/>
      <c r="U425" s="185"/>
      <c r="V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184" t="str">
        <f>IFERROR(__xludf.DUMMYFUNCTION("ifna(IF(and(D426=""Saída"",J426=""Sangria""),if(sum(QUERY(IMPORTRANGE(""https://docs.google.com/spreadsheets/d/1E4szPcLzsqlw4uyBAoJ61L1ChCgpz4wVP8tHfHW1g_c"",""BD M Sangrias!a:i""),""select Col6 where Col7 = 'Depositada' and Col9 = '""&amp;K426&amp;""' and Col6 ="&amp;" ""&amp;M426&amp;"" and Col4 = date '""&amp;YEAR(C426)&amp;""-""&amp;MONTH(C426)&amp;""-""&amp;DAY(C426)&amp;""'""))&gt;0,""Depositada"",if(sum(QUERY(IMPORTRANGE(""https://docs.google.com/spreadsheets/d/1EcLIvUgMoBC5as4ikW0wuQsGH5yVZ6cQ1y16qEfgPnk"",""BD M Sangrias!a:i""),""select Col6 whe"&amp;"re Col7 = 'Caixa Atendimento' and Col9 = '""&amp;K426&amp;""' and Col6 = ""&amp;M426&amp;"" and Col4 = date '""&amp;YEAR(C426)&amp;""-""&amp;MONTH(C426)&amp;""-""&amp;DAY(C426)&amp;""'""))&gt;0,""Caixa Atendimento"",""Caixa Sangria"")),""""),""Caixa Sangria"")"),"")</f>
        <v/>
      </c>
      <c r="M426" s="185" t="str">
        <f>IFERROR(__xludf.DUMMYFUNCTION("ifna(VALUE(REGEXEXTRACT(E426,""[0-9.]+[,]+[0-9]+"")))"),"")</f>
        <v/>
      </c>
      <c r="N426" s="185"/>
      <c r="O426" s="185"/>
      <c r="P426" s="185"/>
      <c r="Q426" s="185"/>
      <c r="R426" s="185"/>
      <c r="S426" s="185"/>
      <c r="T426" s="185"/>
      <c r="U426" s="185"/>
      <c r="V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184" t="str">
        <f>IFERROR(__xludf.DUMMYFUNCTION("ifna(IF(and(D427=""Saída"",J427=""Sangria""),if(sum(QUERY(IMPORTRANGE(""https://docs.google.com/spreadsheets/d/1E4szPcLzsqlw4uyBAoJ61L1ChCgpz4wVP8tHfHW1g_c"",""BD M Sangrias!a:i""),""select Col6 where Col7 = 'Depositada' and Col9 = '""&amp;K427&amp;""' and Col6 ="&amp;" ""&amp;M427&amp;"" and Col4 = date '""&amp;YEAR(C427)&amp;""-""&amp;MONTH(C427)&amp;""-""&amp;DAY(C427)&amp;""'""))&gt;0,""Depositada"",if(sum(QUERY(IMPORTRANGE(""https://docs.google.com/spreadsheets/d/1EcLIvUgMoBC5as4ikW0wuQsGH5yVZ6cQ1y16qEfgPnk"",""BD M Sangrias!a:i""),""select Col6 whe"&amp;"re Col7 = 'Caixa Atendimento' and Col9 = '""&amp;K427&amp;""' and Col6 = ""&amp;M427&amp;"" and Col4 = date '""&amp;YEAR(C427)&amp;""-""&amp;MONTH(C427)&amp;""-""&amp;DAY(C427)&amp;""'""))&gt;0,""Caixa Atendimento"",""Caixa Sangria"")),""""),""Caixa Sangria"")"),"")</f>
        <v/>
      </c>
      <c r="M427" s="185" t="str">
        <f>IFERROR(__xludf.DUMMYFUNCTION("ifna(VALUE(REGEXEXTRACT(E427,""[0-9.]+[,]+[0-9]+"")))"),"")</f>
        <v/>
      </c>
      <c r="N427" s="185"/>
      <c r="O427" s="185"/>
      <c r="P427" s="185"/>
      <c r="Q427" s="185"/>
      <c r="R427" s="185"/>
      <c r="S427" s="185"/>
      <c r="T427" s="185"/>
      <c r="U427" s="185"/>
      <c r="V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184" t="str">
        <f>IFERROR(__xludf.DUMMYFUNCTION("ifna(IF(and(D428=""Saída"",J428=""Sangria""),if(sum(QUERY(IMPORTRANGE(""https://docs.google.com/spreadsheets/d/1E4szPcLzsqlw4uyBAoJ61L1ChCgpz4wVP8tHfHW1g_c"",""BD M Sangrias!a:i""),""select Col6 where Col7 = 'Depositada' and Col9 = '""&amp;K428&amp;""' and Col6 ="&amp;" ""&amp;M428&amp;"" and Col4 = date '""&amp;YEAR(C428)&amp;""-""&amp;MONTH(C428)&amp;""-""&amp;DAY(C428)&amp;""'""))&gt;0,""Depositada"",if(sum(QUERY(IMPORTRANGE(""https://docs.google.com/spreadsheets/d/1EcLIvUgMoBC5as4ikW0wuQsGH5yVZ6cQ1y16qEfgPnk"",""BD M Sangrias!a:i""),""select Col6 whe"&amp;"re Col7 = 'Caixa Atendimento' and Col9 = '""&amp;K428&amp;""' and Col6 = ""&amp;M428&amp;"" and Col4 = date '""&amp;YEAR(C428)&amp;""-""&amp;MONTH(C428)&amp;""-""&amp;DAY(C428)&amp;""'""))&gt;0,""Caixa Atendimento"",""Caixa Sangria"")),""""),""Caixa Sangria"")"),"")</f>
        <v/>
      </c>
      <c r="M428" s="185" t="str">
        <f>IFERROR(__xludf.DUMMYFUNCTION("ifna(VALUE(REGEXEXTRACT(E428,""[0-9.]+[,]+[0-9]+"")))"),"")</f>
        <v/>
      </c>
      <c r="N428" s="185"/>
      <c r="O428" s="185"/>
      <c r="P428" s="185"/>
      <c r="Q428" s="185"/>
      <c r="R428" s="185"/>
      <c r="S428" s="185"/>
      <c r="T428" s="185"/>
      <c r="U428" s="185"/>
      <c r="V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184" t="str">
        <f>IFERROR(__xludf.DUMMYFUNCTION("ifna(IF(and(D429=""Saída"",J429=""Sangria""),if(sum(QUERY(IMPORTRANGE(""https://docs.google.com/spreadsheets/d/1E4szPcLzsqlw4uyBAoJ61L1ChCgpz4wVP8tHfHW1g_c"",""BD M Sangrias!a:i""),""select Col6 where Col7 = 'Depositada' and Col9 = '""&amp;K429&amp;""' and Col6 ="&amp;" ""&amp;M429&amp;"" and Col4 = date '""&amp;YEAR(C429)&amp;""-""&amp;MONTH(C429)&amp;""-""&amp;DAY(C429)&amp;""'""))&gt;0,""Depositada"",if(sum(QUERY(IMPORTRANGE(""https://docs.google.com/spreadsheets/d/1EcLIvUgMoBC5as4ikW0wuQsGH5yVZ6cQ1y16qEfgPnk"",""BD M Sangrias!a:i""),""select Col6 whe"&amp;"re Col7 = 'Caixa Atendimento' and Col9 = '""&amp;K429&amp;""' and Col6 = ""&amp;M429&amp;"" and Col4 = date '""&amp;YEAR(C429)&amp;""-""&amp;MONTH(C429)&amp;""-""&amp;DAY(C429)&amp;""'""))&gt;0,""Caixa Atendimento"",""Caixa Sangria"")),""""),""Caixa Sangria"")"),"")</f>
        <v/>
      </c>
      <c r="M429" s="185" t="str">
        <f>IFERROR(__xludf.DUMMYFUNCTION("ifna(VALUE(REGEXEXTRACT(E429,""[0-9.]+[,]+[0-9]+"")))"),"")</f>
        <v/>
      </c>
      <c r="N429" s="185"/>
      <c r="O429" s="185"/>
      <c r="P429" s="185"/>
      <c r="Q429" s="185"/>
      <c r="R429" s="185"/>
      <c r="S429" s="185"/>
      <c r="T429" s="185"/>
      <c r="U429" s="185"/>
      <c r="V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184" t="str">
        <f>IFERROR(__xludf.DUMMYFUNCTION("ifna(IF(and(D430=""Saída"",J430=""Sangria""),if(sum(QUERY(IMPORTRANGE(""https://docs.google.com/spreadsheets/d/1E4szPcLzsqlw4uyBAoJ61L1ChCgpz4wVP8tHfHW1g_c"",""BD M Sangrias!a:i""),""select Col6 where Col7 = 'Depositada' and Col9 = '""&amp;K430&amp;""' and Col6 ="&amp;" ""&amp;M430&amp;"" and Col4 = date '""&amp;YEAR(C430)&amp;""-""&amp;MONTH(C430)&amp;""-""&amp;DAY(C430)&amp;""'""))&gt;0,""Depositada"",if(sum(QUERY(IMPORTRANGE(""https://docs.google.com/spreadsheets/d/1EcLIvUgMoBC5as4ikW0wuQsGH5yVZ6cQ1y16qEfgPnk"",""BD M Sangrias!a:i""),""select Col6 whe"&amp;"re Col7 = 'Caixa Atendimento' and Col9 = '""&amp;K430&amp;""' and Col6 = ""&amp;M430&amp;"" and Col4 = date '""&amp;YEAR(C430)&amp;""-""&amp;MONTH(C430)&amp;""-""&amp;DAY(C430)&amp;""'""))&gt;0,""Caixa Atendimento"",""Caixa Sangria"")),""""),""Caixa Sangria"")"),"")</f>
        <v/>
      </c>
      <c r="M430" s="185" t="str">
        <f>IFERROR(__xludf.DUMMYFUNCTION("ifna(VALUE(REGEXEXTRACT(E430,""[0-9.]+[,]+[0-9]+"")))"),"")</f>
        <v/>
      </c>
      <c r="N430" s="185"/>
      <c r="O430" s="185"/>
      <c r="P430" s="185"/>
      <c r="Q430" s="185"/>
      <c r="R430" s="185"/>
      <c r="S430" s="185"/>
      <c r="T430" s="185"/>
      <c r="U430" s="185"/>
      <c r="V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184" t="str">
        <f>IFERROR(__xludf.DUMMYFUNCTION("ifna(IF(and(D431=""Saída"",J431=""Sangria""),if(sum(QUERY(IMPORTRANGE(""https://docs.google.com/spreadsheets/d/1E4szPcLzsqlw4uyBAoJ61L1ChCgpz4wVP8tHfHW1g_c"",""BD M Sangrias!a:i""),""select Col6 where Col7 = 'Depositada' and Col9 = '""&amp;K431&amp;""' and Col6 ="&amp;" ""&amp;M431&amp;"" and Col4 = date '""&amp;YEAR(C431)&amp;""-""&amp;MONTH(C431)&amp;""-""&amp;DAY(C431)&amp;""'""))&gt;0,""Depositada"",if(sum(QUERY(IMPORTRANGE(""https://docs.google.com/spreadsheets/d/1EcLIvUgMoBC5as4ikW0wuQsGH5yVZ6cQ1y16qEfgPnk"",""BD M Sangrias!a:i""),""select Col6 whe"&amp;"re Col7 = 'Caixa Atendimento' and Col9 = '""&amp;K431&amp;""' and Col6 = ""&amp;M431&amp;"" and Col4 = date '""&amp;YEAR(C431)&amp;""-""&amp;MONTH(C431)&amp;""-""&amp;DAY(C431)&amp;""'""))&gt;0,""Caixa Atendimento"",""Caixa Sangria"")),""""),""Caixa Sangria"")"),"")</f>
        <v/>
      </c>
      <c r="M431" s="185" t="str">
        <f>IFERROR(__xludf.DUMMYFUNCTION("ifna(VALUE(REGEXEXTRACT(E431,""[0-9.]+[,]+[0-9]+"")))"),"")</f>
        <v/>
      </c>
      <c r="N431" s="185"/>
      <c r="O431" s="185"/>
      <c r="P431" s="185"/>
      <c r="Q431" s="185"/>
      <c r="R431" s="185"/>
      <c r="S431" s="185"/>
      <c r="T431" s="185"/>
      <c r="U431" s="185"/>
      <c r="V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184" t="str">
        <f>IFERROR(__xludf.DUMMYFUNCTION("ifna(IF(and(D432=""Saída"",J432=""Sangria""),if(sum(QUERY(IMPORTRANGE(""https://docs.google.com/spreadsheets/d/1E4szPcLzsqlw4uyBAoJ61L1ChCgpz4wVP8tHfHW1g_c"",""BD M Sangrias!a:i""),""select Col6 where Col7 = 'Depositada' and Col9 = '""&amp;K432&amp;""' and Col6 ="&amp;" ""&amp;M432&amp;"" and Col4 = date '""&amp;YEAR(C432)&amp;""-""&amp;MONTH(C432)&amp;""-""&amp;DAY(C432)&amp;""'""))&gt;0,""Depositada"",if(sum(QUERY(IMPORTRANGE(""https://docs.google.com/spreadsheets/d/1EcLIvUgMoBC5as4ikW0wuQsGH5yVZ6cQ1y16qEfgPnk"",""BD M Sangrias!a:i""),""select Col6 whe"&amp;"re Col7 = 'Caixa Atendimento' and Col9 = '""&amp;K432&amp;""' and Col6 = ""&amp;M432&amp;"" and Col4 = date '""&amp;YEAR(C432)&amp;""-""&amp;MONTH(C432)&amp;""-""&amp;DAY(C432)&amp;""'""))&gt;0,""Caixa Atendimento"",""Caixa Sangria"")),""""),""Caixa Sangria"")"),"")</f>
        <v/>
      </c>
      <c r="M432" s="185" t="str">
        <f>IFERROR(__xludf.DUMMYFUNCTION("ifna(VALUE(REGEXEXTRACT(E432,""[0-9.]+[,]+[0-9]+"")))"),"")</f>
        <v/>
      </c>
      <c r="N432" s="185"/>
      <c r="O432" s="185"/>
      <c r="P432" s="185"/>
      <c r="Q432" s="185"/>
      <c r="R432" s="185"/>
      <c r="S432" s="185"/>
      <c r="T432" s="185"/>
      <c r="U432" s="185"/>
      <c r="V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184" t="str">
        <f>IFERROR(__xludf.DUMMYFUNCTION("ifna(IF(and(D433=""Saída"",J433=""Sangria""),if(sum(QUERY(IMPORTRANGE(""https://docs.google.com/spreadsheets/d/1E4szPcLzsqlw4uyBAoJ61L1ChCgpz4wVP8tHfHW1g_c"",""BD M Sangrias!a:i""),""select Col6 where Col7 = 'Depositada' and Col9 = '""&amp;K433&amp;""' and Col6 ="&amp;" ""&amp;M433&amp;"" and Col4 = date '""&amp;YEAR(C433)&amp;""-""&amp;MONTH(C433)&amp;""-""&amp;DAY(C433)&amp;""'""))&gt;0,""Depositada"",if(sum(QUERY(IMPORTRANGE(""https://docs.google.com/spreadsheets/d/1EcLIvUgMoBC5as4ikW0wuQsGH5yVZ6cQ1y16qEfgPnk"",""BD M Sangrias!a:i""),""select Col6 whe"&amp;"re Col7 = 'Caixa Atendimento' and Col9 = '""&amp;K433&amp;""' and Col6 = ""&amp;M433&amp;"" and Col4 = date '""&amp;YEAR(C433)&amp;""-""&amp;MONTH(C433)&amp;""-""&amp;DAY(C433)&amp;""'""))&gt;0,""Caixa Atendimento"",""Caixa Sangria"")),""""),""Caixa Sangria"")"),"")</f>
        <v/>
      </c>
      <c r="M433" s="185" t="str">
        <f>IFERROR(__xludf.DUMMYFUNCTION("ifna(VALUE(REGEXEXTRACT(E433,""[0-9.]+[,]+[0-9]+"")))"),"")</f>
        <v/>
      </c>
      <c r="N433" s="185"/>
      <c r="O433" s="185"/>
      <c r="P433" s="185"/>
      <c r="Q433" s="185"/>
      <c r="R433" s="185"/>
      <c r="S433" s="185"/>
      <c r="T433" s="185"/>
      <c r="U433" s="185"/>
      <c r="V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184" t="str">
        <f>IFERROR(__xludf.DUMMYFUNCTION("ifna(IF(and(D434=""Saída"",J434=""Sangria""),if(sum(QUERY(IMPORTRANGE(""https://docs.google.com/spreadsheets/d/1E4szPcLzsqlw4uyBAoJ61L1ChCgpz4wVP8tHfHW1g_c"",""BD M Sangrias!a:i""),""select Col6 where Col7 = 'Depositada' and Col9 = '""&amp;K434&amp;""' and Col6 ="&amp;" ""&amp;M434&amp;"" and Col4 = date '""&amp;YEAR(C434)&amp;""-""&amp;MONTH(C434)&amp;""-""&amp;DAY(C434)&amp;""'""))&gt;0,""Depositada"",if(sum(QUERY(IMPORTRANGE(""https://docs.google.com/spreadsheets/d/1EcLIvUgMoBC5as4ikW0wuQsGH5yVZ6cQ1y16qEfgPnk"",""BD M Sangrias!a:i""),""select Col6 whe"&amp;"re Col7 = 'Caixa Atendimento' and Col9 = '""&amp;K434&amp;""' and Col6 = ""&amp;M434&amp;"" and Col4 = date '""&amp;YEAR(C434)&amp;""-""&amp;MONTH(C434)&amp;""-""&amp;DAY(C434)&amp;""'""))&gt;0,""Caixa Atendimento"",""Caixa Sangria"")),""""),""Caixa Sangria"")"),"")</f>
        <v/>
      </c>
      <c r="M434" s="185" t="str">
        <f>IFERROR(__xludf.DUMMYFUNCTION("ifna(VALUE(REGEXEXTRACT(E434,""[0-9.]+[,]+[0-9]+"")))"),"")</f>
        <v/>
      </c>
      <c r="N434" s="185"/>
      <c r="O434" s="185"/>
      <c r="P434" s="185"/>
      <c r="Q434" s="185"/>
      <c r="R434" s="185"/>
      <c r="S434" s="185"/>
      <c r="T434" s="185"/>
      <c r="U434" s="185"/>
      <c r="V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184" t="str">
        <f>IFERROR(__xludf.DUMMYFUNCTION("ifna(IF(and(D435=""Saída"",J435=""Sangria""),if(sum(QUERY(IMPORTRANGE(""https://docs.google.com/spreadsheets/d/1E4szPcLzsqlw4uyBAoJ61L1ChCgpz4wVP8tHfHW1g_c"",""BD M Sangrias!a:i""),""select Col6 where Col7 = 'Depositada' and Col9 = '""&amp;K435&amp;""' and Col6 ="&amp;" ""&amp;M435&amp;"" and Col4 = date '""&amp;YEAR(C435)&amp;""-""&amp;MONTH(C435)&amp;""-""&amp;DAY(C435)&amp;""'""))&gt;0,""Depositada"",if(sum(QUERY(IMPORTRANGE(""https://docs.google.com/spreadsheets/d/1EcLIvUgMoBC5as4ikW0wuQsGH5yVZ6cQ1y16qEfgPnk"",""BD M Sangrias!a:i""),""select Col6 whe"&amp;"re Col7 = 'Caixa Atendimento' and Col9 = '""&amp;K435&amp;""' and Col6 = ""&amp;M435&amp;"" and Col4 = date '""&amp;YEAR(C435)&amp;""-""&amp;MONTH(C435)&amp;""-""&amp;DAY(C435)&amp;""'""))&gt;0,""Caixa Atendimento"",""Caixa Sangria"")),""""),""Caixa Sangria"")"),"")</f>
        <v/>
      </c>
      <c r="M435" s="185" t="str">
        <f>IFERROR(__xludf.DUMMYFUNCTION("ifna(VALUE(REGEXEXTRACT(E435,""[0-9.]+[,]+[0-9]+"")))"),"")</f>
        <v/>
      </c>
      <c r="N435" s="185"/>
      <c r="O435" s="185"/>
      <c r="P435" s="185"/>
      <c r="Q435" s="185"/>
      <c r="R435" s="185"/>
      <c r="S435" s="185"/>
      <c r="T435" s="185"/>
      <c r="U435" s="185"/>
      <c r="V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184" t="str">
        <f>IFERROR(__xludf.DUMMYFUNCTION("ifna(IF(and(D436=""Saída"",J436=""Sangria""),if(sum(QUERY(IMPORTRANGE(""https://docs.google.com/spreadsheets/d/1E4szPcLzsqlw4uyBAoJ61L1ChCgpz4wVP8tHfHW1g_c"",""BD M Sangrias!a:i""),""select Col6 where Col7 = 'Depositada' and Col9 = '""&amp;K436&amp;""' and Col6 ="&amp;" ""&amp;M436&amp;"" and Col4 = date '""&amp;YEAR(C436)&amp;""-""&amp;MONTH(C436)&amp;""-""&amp;DAY(C436)&amp;""'""))&gt;0,""Depositada"",if(sum(QUERY(IMPORTRANGE(""https://docs.google.com/spreadsheets/d/1EcLIvUgMoBC5as4ikW0wuQsGH5yVZ6cQ1y16qEfgPnk"",""BD M Sangrias!a:i""),""select Col6 whe"&amp;"re Col7 = 'Caixa Atendimento' and Col9 = '""&amp;K436&amp;""' and Col6 = ""&amp;M436&amp;"" and Col4 = date '""&amp;YEAR(C436)&amp;""-""&amp;MONTH(C436)&amp;""-""&amp;DAY(C436)&amp;""'""))&gt;0,""Caixa Atendimento"",""Caixa Sangria"")),""""),""Caixa Sangria"")"),"")</f>
        <v/>
      </c>
      <c r="M436" s="185" t="str">
        <f>IFERROR(__xludf.DUMMYFUNCTION("ifna(VALUE(REGEXEXTRACT(E436,""[0-9.]+[,]+[0-9]+"")))"),"")</f>
        <v/>
      </c>
      <c r="N436" s="185"/>
      <c r="O436" s="185"/>
      <c r="P436" s="185"/>
      <c r="Q436" s="185"/>
      <c r="R436" s="185"/>
      <c r="S436" s="185"/>
      <c r="T436" s="185"/>
      <c r="U436" s="185"/>
      <c r="V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184" t="str">
        <f>IFERROR(__xludf.DUMMYFUNCTION("ifna(IF(and(D437=""Saída"",J437=""Sangria""),if(sum(QUERY(IMPORTRANGE(""https://docs.google.com/spreadsheets/d/1E4szPcLzsqlw4uyBAoJ61L1ChCgpz4wVP8tHfHW1g_c"",""BD M Sangrias!a:i""),""select Col6 where Col7 = 'Depositada' and Col9 = '""&amp;K437&amp;""' and Col6 ="&amp;" ""&amp;M437&amp;"" and Col4 = date '""&amp;YEAR(C437)&amp;""-""&amp;MONTH(C437)&amp;""-""&amp;DAY(C437)&amp;""'""))&gt;0,""Depositada"",if(sum(QUERY(IMPORTRANGE(""https://docs.google.com/spreadsheets/d/1EcLIvUgMoBC5as4ikW0wuQsGH5yVZ6cQ1y16qEfgPnk"",""BD M Sangrias!a:i""),""select Col6 whe"&amp;"re Col7 = 'Caixa Atendimento' and Col9 = '""&amp;K437&amp;""' and Col6 = ""&amp;M437&amp;"" and Col4 = date '""&amp;YEAR(C437)&amp;""-""&amp;MONTH(C437)&amp;""-""&amp;DAY(C437)&amp;""'""))&gt;0,""Caixa Atendimento"",""Caixa Sangria"")),""""),""Caixa Sangria"")"),"")</f>
        <v/>
      </c>
      <c r="M437" s="185" t="str">
        <f>IFERROR(__xludf.DUMMYFUNCTION("ifna(VALUE(REGEXEXTRACT(E437,""[0-9.]+[,]+[0-9]+"")))"),"")</f>
        <v/>
      </c>
      <c r="N437" s="185"/>
      <c r="O437" s="185"/>
      <c r="P437" s="185"/>
      <c r="Q437" s="185"/>
      <c r="R437" s="185"/>
      <c r="S437" s="185"/>
      <c r="T437" s="185"/>
      <c r="U437" s="185"/>
      <c r="V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184" t="str">
        <f>IFERROR(__xludf.DUMMYFUNCTION("ifna(IF(and(D438=""Saída"",J438=""Sangria""),if(sum(QUERY(IMPORTRANGE(""https://docs.google.com/spreadsheets/d/1E4szPcLzsqlw4uyBAoJ61L1ChCgpz4wVP8tHfHW1g_c"",""BD M Sangrias!a:i""),""select Col6 where Col7 = 'Depositada' and Col9 = '""&amp;K438&amp;""' and Col6 ="&amp;" ""&amp;M438&amp;"" and Col4 = date '""&amp;YEAR(C438)&amp;""-""&amp;MONTH(C438)&amp;""-""&amp;DAY(C438)&amp;""'""))&gt;0,""Depositada"",if(sum(QUERY(IMPORTRANGE(""https://docs.google.com/spreadsheets/d/1EcLIvUgMoBC5as4ikW0wuQsGH5yVZ6cQ1y16qEfgPnk"",""BD M Sangrias!a:i""),""select Col6 whe"&amp;"re Col7 = 'Caixa Atendimento' and Col9 = '""&amp;K438&amp;""' and Col6 = ""&amp;M438&amp;"" and Col4 = date '""&amp;YEAR(C438)&amp;""-""&amp;MONTH(C438)&amp;""-""&amp;DAY(C438)&amp;""'""))&gt;0,""Caixa Atendimento"",""Caixa Sangria"")),""""),""Caixa Sangria"")"),"")</f>
        <v/>
      </c>
      <c r="M438" s="185" t="str">
        <f>IFERROR(__xludf.DUMMYFUNCTION("ifna(VALUE(REGEXEXTRACT(E438,""[0-9.]+[,]+[0-9]+"")))"),"")</f>
        <v/>
      </c>
      <c r="N438" s="185"/>
      <c r="O438" s="185"/>
      <c r="P438" s="185"/>
      <c r="Q438" s="185"/>
      <c r="R438" s="185"/>
      <c r="S438" s="185"/>
      <c r="T438" s="185"/>
      <c r="U438" s="185"/>
      <c r="V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184" t="str">
        <f>IFERROR(__xludf.DUMMYFUNCTION("ifna(IF(and(D439=""Saída"",J439=""Sangria""),if(sum(QUERY(IMPORTRANGE(""https://docs.google.com/spreadsheets/d/1E4szPcLzsqlw4uyBAoJ61L1ChCgpz4wVP8tHfHW1g_c"",""BD M Sangrias!a:i""),""select Col6 where Col7 = 'Depositada' and Col9 = '""&amp;K439&amp;""' and Col6 ="&amp;" ""&amp;M439&amp;"" and Col4 = date '""&amp;YEAR(C439)&amp;""-""&amp;MONTH(C439)&amp;""-""&amp;DAY(C439)&amp;""'""))&gt;0,""Depositada"",if(sum(QUERY(IMPORTRANGE(""https://docs.google.com/spreadsheets/d/1EcLIvUgMoBC5as4ikW0wuQsGH5yVZ6cQ1y16qEfgPnk"",""BD M Sangrias!a:i""),""select Col6 whe"&amp;"re Col7 = 'Caixa Atendimento' and Col9 = '""&amp;K439&amp;""' and Col6 = ""&amp;M439&amp;"" and Col4 = date '""&amp;YEAR(C439)&amp;""-""&amp;MONTH(C439)&amp;""-""&amp;DAY(C439)&amp;""'""))&gt;0,""Caixa Atendimento"",""Caixa Sangria"")),""""),""Caixa Sangria"")"),"")</f>
        <v/>
      </c>
      <c r="M439" s="185" t="str">
        <f>IFERROR(__xludf.DUMMYFUNCTION("ifna(VALUE(REGEXEXTRACT(E439,""[0-9.]+[,]+[0-9]+"")))"),"")</f>
        <v/>
      </c>
      <c r="N439" s="185"/>
      <c r="O439" s="185"/>
      <c r="P439" s="185"/>
      <c r="Q439" s="185"/>
      <c r="R439" s="185"/>
      <c r="S439" s="185"/>
      <c r="T439" s="185"/>
      <c r="U439" s="185"/>
      <c r="V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184" t="str">
        <f>IFERROR(__xludf.DUMMYFUNCTION("ifna(IF(and(D440=""Saída"",J440=""Sangria""),if(sum(QUERY(IMPORTRANGE(""https://docs.google.com/spreadsheets/d/1E4szPcLzsqlw4uyBAoJ61L1ChCgpz4wVP8tHfHW1g_c"",""BD M Sangrias!a:i""),""select Col6 where Col7 = 'Depositada' and Col9 = '""&amp;K440&amp;""' and Col6 ="&amp;" ""&amp;M440&amp;"" and Col4 = date '""&amp;YEAR(C440)&amp;""-""&amp;MONTH(C440)&amp;""-""&amp;DAY(C440)&amp;""'""))&gt;0,""Depositada"",if(sum(QUERY(IMPORTRANGE(""https://docs.google.com/spreadsheets/d/1EcLIvUgMoBC5as4ikW0wuQsGH5yVZ6cQ1y16qEfgPnk"",""BD M Sangrias!a:i""),""select Col6 whe"&amp;"re Col7 = 'Caixa Atendimento' and Col9 = '""&amp;K440&amp;""' and Col6 = ""&amp;M440&amp;"" and Col4 = date '""&amp;YEAR(C440)&amp;""-""&amp;MONTH(C440)&amp;""-""&amp;DAY(C440)&amp;""'""))&gt;0,""Caixa Atendimento"",""Caixa Sangria"")),""""),""Caixa Sangria"")"),"")</f>
        <v/>
      </c>
      <c r="M440" s="185" t="str">
        <f>IFERROR(__xludf.DUMMYFUNCTION("ifna(VALUE(REGEXEXTRACT(E440,""[0-9.]+[,]+[0-9]+"")))"),"")</f>
        <v/>
      </c>
      <c r="N440" s="185"/>
      <c r="O440" s="185"/>
      <c r="P440" s="185"/>
      <c r="Q440" s="185"/>
      <c r="R440" s="185"/>
      <c r="S440" s="185"/>
      <c r="T440" s="185"/>
      <c r="U440" s="185"/>
      <c r="V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184" t="str">
        <f>IFERROR(__xludf.DUMMYFUNCTION("ifna(IF(and(D441=""Saída"",J441=""Sangria""),if(sum(QUERY(IMPORTRANGE(""https://docs.google.com/spreadsheets/d/1E4szPcLzsqlw4uyBAoJ61L1ChCgpz4wVP8tHfHW1g_c"",""BD M Sangrias!a:i""),""select Col6 where Col7 = 'Depositada' and Col9 = '""&amp;K441&amp;""' and Col6 ="&amp;" ""&amp;M441&amp;"" and Col4 = date '""&amp;YEAR(C441)&amp;""-""&amp;MONTH(C441)&amp;""-""&amp;DAY(C441)&amp;""'""))&gt;0,""Depositada"",if(sum(QUERY(IMPORTRANGE(""https://docs.google.com/spreadsheets/d/1EcLIvUgMoBC5as4ikW0wuQsGH5yVZ6cQ1y16qEfgPnk"",""BD M Sangrias!a:i""),""select Col6 whe"&amp;"re Col7 = 'Caixa Atendimento' and Col9 = '""&amp;K441&amp;""' and Col6 = ""&amp;M441&amp;"" and Col4 = date '""&amp;YEAR(C441)&amp;""-""&amp;MONTH(C441)&amp;""-""&amp;DAY(C441)&amp;""'""))&gt;0,""Caixa Atendimento"",""Caixa Sangria"")),""""),""Caixa Sangria"")"),"")</f>
        <v/>
      </c>
      <c r="M441" s="185" t="str">
        <f>IFERROR(__xludf.DUMMYFUNCTION("ifna(VALUE(REGEXEXTRACT(E441,""[0-9.]+[,]+[0-9]+"")))"),"")</f>
        <v/>
      </c>
      <c r="N441" s="185"/>
      <c r="O441" s="185"/>
      <c r="P441" s="185"/>
      <c r="Q441" s="185"/>
      <c r="R441" s="185"/>
      <c r="S441" s="185"/>
      <c r="T441" s="185"/>
      <c r="U441" s="185"/>
      <c r="V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184" t="str">
        <f>IFERROR(__xludf.DUMMYFUNCTION("ifna(IF(and(D442=""Saída"",J442=""Sangria""),if(sum(QUERY(IMPORTRANGE(""https://docs.google.com/spreadsheets/d/1E4szPcLzsqlw4uyBAoJ61L1ChCgpz4wVP8tHfHW1g_c"",""BD M Sangrias!a:i""),""select Col6 where Col7 = 'Depositada' and Col9 = '""&amp;K442&amp;""' and Col6 ="&amp;" ""&amp;M442&amp;"" and Col4 = date '""&amp;YEAR(C442)&amp;""-""&amp;MONTH(C442)&amp;""-""&amp;DAY(C442)&amp;""'""))&gt;0,""Depositada"",if(sum(QUERY(IMPORTRANGE(""https://docs.google.com/spreadsheets/d/1EcLIvUgMoBC5as4ikW0wuQsGH5yVZ6cQ1y16qEfgPnk"",""BD M Sangrias!a:i""),""select Col6 whe"&amp;"re Col7 = 'Caixa Atendimento' and Col9 = '""&amp;K442&amp;""' and Col6 = ""&amp;M442&amp;"" and Col4 = date '""&amp;YEAR(C442)&amp;""-""&amp;MONTH(C442)&amp;""-""&amp;DAY(C442)&amp;""'""))&gt;0,""Caixa Atendimento"",""Caixa Sangria"")),""""),""Caixa Sangria"")"),"")</f>
        <v/>
      </c>
      <c r="M442" s="185" t="str">
        <f>IFERROR(__xludf.DUMMYFUNCTION("ifna(VALUE(REGEXEXTRACT(E442,""[0-9.]+[,]+[0-9]+"")))"),"")</f>
        <v/>
      </c>
      <c r="N442" s="185"/>
      <c r="O442" s="185"/>
      <c r="P442" s="185"/>
      <c r="Q442" s="185"/>
      <c r="R442" s="185"/>
      <c r="S442" s="185"/>
      <c r="T442" s="185"/>
      <c r="U442" s="185"/>
      <c r="V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184" t="str">
        <f>IFERROR(__xludf.DUMMYFUNCTION("ifna(IF(and(D443=""Saída"",J443=""Sangria""),if(sum(QUERY(IMPORTRANGE(""https://docs.google.com/spreadsheets/d/1E4szPcLzsqlw4uyBAoJ61L1ChCgpz4wVP8tHfHW1g_c"",""BD M Sangrias!a:i""),""select Col6 where Col7 = 'Depositada' and Col9 = '""&amp;K443&amp;""' and Col6 ="&amp;" ""&amp;M443&amp;"" and Col4 = date '""&amp;YEAR(C443)&amp;""-""&amp;MONTH(C443)&amp;""-""&amp;DAY(C443)&amp;""'""))&gt;0,""Depositada"",if(sum(QUERY(IMPORTRANGE(""https://docs.google.com/spreadsheets/d/1EcLIvUgMoBC5as4ikW0wuQsGH5yVZ6cQ1y16qEfgPnk"",""BD M Sangrias!a:i""),""select Col6 whe"&amp;"re Col7 = 'Caixa Atendimento' and Col9 = '""&amp;K443&amp;""' and Col6 = ""&amp;M443&amp;"" and Col4 = date '""&amp;YEAR(C443)&amp;""-""&amp;MONTH(C443)&amp;""-""&amp;DAY(C443)&amp;""'""))&gt;0,""Caixa Atendimento"",""Caixa Sangria"")),""""),""Caixa Sangria"")"),"")</f>
        <v/>
      </c>
      <c r="M443" s="185" t="str">
        <f>IFERROR(__xludf.DUMMYFUNCTION("ifna(VALUE(REGEXEXTRACT(E443,""[0-9.]+[,]+[0-9]+"")))"),"")</f>
        <v/>
      </c>
      <c r="N443" s="185"/>
      <c r="O443" s="185"/>
      <c r="P443" s="185"/>
      <c r="Q443" s="185"/>
      <c r="R443" s="185"/>
      <c r="S443" s="185"/>
      <c r="T443" s="185"/>
      <c r="U443" s="185"/>
      <c r="V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184" t="str">
        <f>IFERROR(__xludf.DUMMYFUNCTION("ifna(IF(and(D444=""Saída"",J444=""Sangria""),if(sum(QUERY(IMPORTRANGE(""https://docs.google.com/spreadsheets/d/1E4szPcLzsqlw4uyBAoJ61L1ChCgpz4wVP8tHfHW1g_c"",""BD M Sangrias!a:i""),""select Col6 where Col7 = 'Depositada' and Col9 = '""&amp;K444&amp;""' and Col6 ="&amp;" ""&amp;M444&amp;"" and Col4 = date '""&amp;YEAR(C444)&amp;""-""&amp;MONTH(C444)&amp;""-""&amp;DAY(C444)&amp;""'""))&gt;0,""Depositada"",if(sum(QUERY(IMPORTRANGE(""https://docs.google.com/spreadsheets/d/1EcLIvUgMoBC5as4ikW0wuQsGH5yVZ6cQ1y16qEfgPnk"",""BD M Sangrias!a:i""),""select Col6 whe"&amp;"re Col7 = 'Caixa Atendimento' and Col9 = '""&amp;K444&amp;""' and Col6 = ""&amp;M444&amp;"" and Col4 = date '""&amp;YEAR(C444)&amp;""-""&amp;MONTH(C444)&amp;""-""&amp;DAY(C444)&amp;""'""))&gt;0,""Caixa Atendimento"",""Caixa Sangria"")),""""),""Caixa Sangria"")"),"")</f>
        <v/>
      </c>
      <c r="M444" s="185" t="str">
        <f>IFERROR(__xludf.DUMMYFUNCTION("ifna(VALUE(REGEXEXTRACT(E444,""[0-9.]+[,]+[0-9]+"")))"),"")</f>
        <v/>
      </c>
      <c r="N444" s="185"/>
      <c r="O444" s="185"/>
      <c r="P444" s="185"/>
      <c r="Q444" s="185"/>
      <c r="R444" s="185"/>
      <c r="S444" s="185"/>
      <c r="T444" s="185"/>
      <c r="U444" s="185"/>
      <c r="V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184" t="str">
        <f>IFERROR(__xludf.DUMMYFUNCTION("ifna(IF(and(D445=""Saída"",J445=""Sangria""),if(sum(QUERY(IMPORTRANGE(""https://docs.google.com/spreadsheets/d/1E4szPcLzsqlw4uyBAoJ61L1ChCgpz4wVP8tHfHW1g_c"",""BD M Sangrias!a:i""),""select Col6 where Col7 = 'Depositada' and Col9 = '""&amp;K445&amp;""' and Col6 ="&amp;" ""&amp;M445&amp;"" and Col4 = date '""&amp;YEAR(C445)&amp;""-""&amp;MONTH(C445)&amp;""-""&amp;DAY(C445)&amp;""'""))&gt;0,""Depositada"",if(sum(QUERY(IMPORTRANGE(""https://docs.google.com/spreadsheets/d/1EcLIvUgMoBC5as4ikW0wuQsGH5yVZ6cQ1y16qEfgPnk"",""BD M Sangrias!a:i""),""select Col6 whe"&amp;"re Col7 = 'Caixa Atendimento' and Col9 = '""&amp;K445&amp;""' and Col6 = ""&amp;M445&amp;"" and Col4 = date '""&amp;YEAR(C445)&amp;""-""&amp;MONTH(C445)&amp;""-""&amp;DAY(C445)&amp;""'""))&gt;0,""Caixa Atendimento"",""Caixa Sangria"")),""""),""Caixa Sangria"")"),"")</f>
        <v/>
      </c>
      <c r="M445" s="185" t="str">
        <f>IFERROR(__xludf.DUMMYFUNCTION("ifna(VALUE(REGEXEXTRACT(E445,""[0-9.]+[,]+[0-9]+"")))"),"")</f>
        <v/>
      </c>
      <c r="N445" s="185"/>
      <c r="O445" s="185"/>
      <c r="P445" s="185"/>
      <c r="Q445" s="185"/>
      <c r="R445" s="185"/>
      <c r="S445" s="185"/>
      <c r="T445" s="185"/>
      <c r="U445" s="185"/>
      <c r="V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184" t="str">
        <f>IFERROR(__xludf.DUMMYFUNCTION("ifna(IF(and(D446=""Saída"",J446=""Sangria""),if(sum(QUERY(IMPORTRANGE(""https://docs.google.com/spreadsheets/d/1E4szPcLzsqlw4uyBAoJ61L1ChCgpz4wVP8tHfHW1g_c"",""BD M Sangrias!a:i""),""select Col6 where Col7 = 'Depositada' and Col9 = '""&amp;K446&amp;""' and Col6 ="&amp;" ""&amp;M446&amp;"" and Col4 = date '""&amp;YEAR(C446)&amp;""-""&amp;MONTH(C446)&amp;""-""&amp;DAY(C446)&amp;""'""))&gt;0,""Depositada"",if(sum(QUERY(IMPORTRANGE(""https://docs.google.com/spreadsheets/d/1EcLIvUgMoBC5as4ikW0wuQsGH5yVZ6cQ1y16qEfgPnk"",""BD M Sangrias!a:i""),""select Col6 whe"&amp;"re Col7 = 'Caixa Atendimento' and Col9 = '""&amp;K446&amp;""' and Col6 = ""&amp;M446&amp;"" and Col4 = date '""&amp;YEAR(C446)&amp;""-""&amp;MONTH(C446)&amp;""-""&amp;DAY(C446)&amp;""'""))&gt;0,""Caixa Atendimento"",""Caixa Sangria"")),""""),""Caixa Sangria"")"),"")</f>
        <v/>
      </c>
      <c r="M446" s="185" t="str">
        <f>IFERROR(__xludf.DUMMYFUNCTION("ifna(VALUE(REGEXEXTRACT(E446,""[0-9.]+[,]+[0-9]+"")))"),"")</f>
        <v/>
      </c>
      <c r="N446" s="185"/>
      <c r="O446" s="185"/>
      <c r="P446" s="185"/>
      <c r="Q446" s="185"/>
      <c r="R446" s="185"/>
      <c r="S446" s="185"/>
      <c r="T446" s="185"/>
      <c r="U446" s="185"/>
      <c r="V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184" t="str">
        <f>IFERROR(__xludf.DUMMYFUNCTION("ifna(IF(and(D447=""Saída"",J447=""Sangria""),if(sum(QUERY(IMPORTRANGE(""https://docs.google.com/spreadsheets/d/1E4szPcLzsqlw4uyBAoJ61L1ChCgpz4wVP8tHfHW1g_c"",""BD M Sangrias!a:i""),""select Col6 where Col7 = 'Depositada' and Col9 = '""&amp;K447&amp;""' and Col6 ="&amp;" ""&amp;M447&amp;"" and Col4 = date '""&amp;YEAR(C447)&amp;""-""&amp;MONTH(C447)&amp;""-""&amp;DAY(C447)&amp;""'""))&gt;0,""Depositada"",if(sum(QUERY(IMPORTRANGE(""https://docs.google.com/spreadsheets/d/1EcLIvUgMoBC5as4ikW0wuQsGH5yVZ6cQ1y16qEfgPnk"",""BD M Sangrias!a:i""),""select Col6 whe"&amp;"re Col7 = 'Caixa Atendimento' and Col9 = '""&amp;K447&amp;""' and Col6 = ""&amp;M447&amp;"" and Col4 = date '""&amp;YEAR(C447)&amp;""-""&amp;MONTH(C447)&amp;""-""&amp;DAY(C447)&amp;""'""))&gt;0,""Caixa Atendimento"",""Caixa Sangria"")),""""),""Caixa Sangria"")"),"")</f>
        <v/>
      </c>
      <c r="M447" s="185" t="str">
        <f>IFERROR(__xludf.DUMMYFUNCTION("ifna(VALUE(REGEXEXTRACT(E447,""[0-9.]+[,]+[0-9]+"")))"),"")</f>
        <v/>
      </c>
      <c r="N447" s="185"/>
      <c r="O447" s="185"/>
      <c r="P447" s="185"/>
      <c r="Q447" s="185"/>
      <c r="R447" s="185"/>
      <c r="S447" s="185"/>
      <c r="T447" s="185"/>
      <c r="U447" s="185"/>
      <c r="V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184" t="str">
        <f>IFERROR(__xludf.DUMMYFUNCTION("ifna(IF(and(D448=""Saída"",J448=""Sangria""),if(sum(QUERY(IMPORTRANGE(""https://docs.google.com/spreadsheets/d/1E4szPcLzsqlw4uyBAoJ61L1ChCgpz4wVP8tHfHW1g_c"",""BD M Sangrias!a:i""),""select Col6 where Col7 = 'Depositada' and Col9 = '""&amp;K448&amp;""' and Col6 ="&amp;" ""&amp;M448&amp;"" and Col4 = date '""&amp;YEAR(C448)&amp;""-""&amp;MONTH(C448)&amp;""-""&amp;DAY(C448)&amp;""'""))&gt;0,""Depositada"",if(sum(QUERY(IMPORTRANGE(""https://docs.google.com/spreadsheets/d/1EcLIvUgMoBC5as4ikW0wuQsGH5yVZ6cQ1y16qEfgPnk"",""BD M Sangrias!a:i""),""select Col6 whe"&amp;"re Col7 = 'Caixa Atendimento' and Col9 = '""&amp;K448&amp;""' and Col6 = ""&amp;M448&amp;"" and Col4 = date '""&amp;YEAR(C448)&amp;""-""&amp;MONTH(C448)&amp;""-""&amp;DAY(C448)&amp;""'""))&gt;0,""Caixa Atendimento"",""Caixa Sangria"")),""""),""Caixa Sangria"")"),"")</f>
        <v/>
      </c>
      <c r="M448" s="185" t="str">
        <f>IFERROR(__xludf.DUMMYFUNCTION("ifna(VALUE(REGEXEXTRACT(E448,""[0-9.]+[,]+[0-9]+"")))"),"")</f>
        <v/>
      </c>
      <c r="N448" s="185"/>
      <c r="O448" s="185"/>
      <c r="P448" s="185"/>
      <c r="Q448" s="185"/>
      <c r="R448" s="185"/>
      <c r="S448" s="185"/>
      <c r="T448" s="185"/>
      <c r="U448" s="185"/>
      <c r="V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184" t="str">
        <f>IFERROR(__xludf.DUMMYFUNCTION("ifna(IF(and(D449=""Saída"",J449=""Sangria""),if(sum(QUERY(IMPORTRANGE(""https://docs.google.com/spreadsheets/d/1E4szPcLzsqlw4uyBAoJ61L1ChCgpz4wVP8tHfHW1g_c"",""BD M Sangrias!a:i""),""select Col6 where Col7 = 'Depositada' and Col9 = '""&amp;K449&amp;""' and Col6 ="&amp;" ""&amp;M449&amp;"" and Col4 = date '""&amp;YEAR(C449)&amp;""-""&amp;MONTH(C449)&amp;""-""&amp;DAY(C449)&amp;""'""))&gt;0,""Depositada"",if(sum(QUERY(IMPORTRANGE(""https://docs.google.com/spreadsheets/d/1EcLIvUgMoBC5as4ikW0wuQsGH5yVZ6cQ1y16qEfgPnk"",""BD M Sangrias!a:i""),""select Col6 whe"&amp;"re Col7 = 'Caixa Atendimento' and Col9 = '""&amp;K449&amp;""' and Col6 = ""&amp;M449&amp;"" and Col4 = date '""&amp;YEAR(C449)&amp;""-""&amp;MONTH(C449)&amp;""-""&amp;DAY(C449)&amp;""'""))&gt;0,""Caixa Atendimento"",""Caixa Sangria"")),""""),""Caixa Sangria"")"),"")</f>
        <v/>
      </c>
      <c r="M449" s="185" t="str">
        <f>IFERROR(__xludf.DUMMYFUNCTION("ifna(VALUE(REGEXEXTRACT(E449,""[0-9.]+[,]+[0-9]+"")))"),"")</f>
        <v/>
      </c>
      <c r="N449" s="185"/>
      <c r="O449" s="185"/>
      <c r="P449" s="185"/>
      <c r="Q449" s="185"/>
      <c r="R449" s="185"/>
      <c r="S449" s="185"/>
      <c r="T449" s="185"/>
      <c r="U449" s="185"/>
      <c r="V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184" t="str">
        <f>IFERROR(__xludf.DUMMYFUNCTION("ifna(IF(and(D450=""Saída"",J450=""Sangria""),if(sum(QUERY(IMPORTRANGE(""https://docs.google.com/spreadsheets/d/1E4szPcLzsqlw4uyBAoJ61L1ChCgpz4wVP8tHfHW1g_c"",""BD M Sangrias!a:i""),""select Col6 where Col7 = 'Depositada' and Col9 = '""&amp;K450&amp;""' and Col6 ="&amp;" ""&amp;M450&amp;"" and Col4 = date '""&amp;YEAR(C450)&amp;""-""&amp;MONTH(C450)&amp;""-""&amp;DAY(C450)&amp;""'""))&gt;0,""Depositada"",if(sum(QUERY(IMPORTRANGE(""https://docs.google.com/spreadsheets/d/1EcLIvUgMoBC5as4ikW0wuQsGH5yVZ6cQ1y16qEfgPnk"",""BD M Sangrias!a:i""),""select Col6 whe"&amp;"re Col7 = 'Caixa Atendimento' and Col9 = '""&amp;K450&amp;""' and Col6 = ""&amp;M450&amp;"" and Col4 = date '""&amp;YEAR(C450)&amp;""-""&amp;MONTH(C450)&amp;""-""&amp;DAY(C450)&amp;""'""))&gt;0,""Caixa Atendimento"",""Caixa Sangria"")),""""),""Caixa Sangria"")"),"")</f>
        <v/>
      </c>
      <c r="M450" s="185" t="str">
        <f>IFERROR(__xludf.DUMMYFUNCTION("ifna(VALUE(REGEXEXTRACT(E450,""[0-9.]+[,]+[0-9]+"")))"),"")</f>
        <v/>
      </c>
      <c r="N450" s="185"/>
      <c r="O450" s="185"/>
      <c r="P450" s="185"/>
      <c r="Q450" s="185"/>
      <c r="R450" s="185"/>
      <c r="S450" s="185"/>
      <c r="T450" s="185"/>
      <c r="U450" s="185"/>
      <c r="V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184" t="str">
        <f>IFERROR(__xludf.DUMMYFUNCTION("ifna(IF(and(D451=""Saída"",J451=""Sangria""),if(sum(QUERY(IMPORTRANGE(""https://docs.google.com/spreadsheets/d/1E4szPcLzsqlw4uyBAoJ61L1ChCgpz4wVP8tHfHW1g_c"",""BD M Sangrias!a:i""),""select Col6 where Col7 = 'Depositada' and Col9 = '""&amp;K451&amp;""' and Col6 ="&amp;" ""&amp;M451&amp;"" and Col4 = date '""&amp;YEAR(C451)&amp;""-""&amp;MONTH(C451)&amp;""-""&amp;DAY(C451)&amp;""'""))&gt;0,""Depositada"",if(sum(QUERY(IMPORTRANGE(""https://docs.google.com/spreadsheets/d/1EcLIvUgMoBC5as4ikW0wuQsGH5yVZ6cQ1y16qEfgPnk"",""BD M Sangrias!a:i""),""select Col6 whe"&amp;"re Col7 = 'Caixa Atendimento' and Col9 = '""&amp;K451&amp;""' and Col6 = ""&amp;M451&amp;"" and Col4 = date '""&amp;YEAR(C451)&amp;""-""&amp;MONTH(C451)&amp;""-""&amp;DAY(C451)&amp;""'""))&gt;0,""Caixa Atendimento"",""Caixa Sangria"")),""""),""Caixa Sangria"")"),"")</f>
        <v/>
      </c>
      <c r="M451" s="185" t="str">
        <f>IFERROR(__xludf.DUMMYFUNCTION("ifna(VALUE(REGEXEXTRACT(E451,""[0-9.]+[,]+[0-9]+"")))"),"")</f>
        <v/>
      </c>
      <c r="N451" s="185"/>
      <c r="O451" s="185"/>
      <c r="P451" s="185"/>
      <c r="Q451" s="185"/>
      <c r="R451" s="185"/>
      <c r="S451" s="185"/>
      <c r="T451" s="185"/>
      <c r="U451" s="185"/>
      <c r="V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184" t="str">
        <f>IFERROR(__xludf.DUMMYFUNCTION("ifna(IF(and(D452=""Saída"",J452=""Sangria""),if(sum(QUERY(IMPORTRANGE(""https://docs.google.com/spreadsheets/d/1E4szPcLzsqlw4uyBAoJ61L1ChCgpz4wVP8tHfHW1g_c"",""BD M Sangrias!a:i""),""select Col6 where Col7 = 'Depositada' and Col9 = '""&amp;K452&amp;""' and Col6 ="&amp;" ""&amp;M452&amp;"" and Col4 = date '""&amp;YEAR(C452)&amp;""-""&amp;MONTH(C452)&amp;""-""&amp;DAY(C452)&amp;""'""))&gt;0,""Depositada"",if(sum(QUERY(IMPORTRANGE(""https://docs.google.com/spreadsheets/d/1EcLIvUgMoBC5as4ikW0wuQsGH5yVZ6cQ1y16qEfgPnk"",""BD M Sangrias!a:i""),""select Col6 whe"&amp;"re Col7 = 'Caixa Atendimento' and Col9 = '""&amp;K452&amp;""' and Col6 = ""&amp;M452&amp;"" and Col4 = date '""&amp;YEAR(C452)&amp;""-""&amp;MONTH(C452)&amp;""-""&amp;DAY(C452)&amp;""'""))&gt;0,""Caixa Atendimento"",""Caixa Sangria"")),""""),""Caixa Sangria"")"),"")</f>
        <v/>
      </c>
      <c r="M452" s="185" t="str">
        <f>IFERROR(__xludf.DUMMYFUNCTION("ifna(VALUE(REGEXEXTRACT(E452,""[0-9.]+[,]+[0-9]+"")))"),"")</f>
        <v/>
      </c>
      <c r="N452" s="185"/>
      <c r="O452" s="185"/>
      <c r="P452" s="185"/>
      <c r="Q452" s="185"/>
      <c r="R452" s="185"/>
      <c r="S452" s="185"/>
      <c r="T452" s="185"/>
      <c r="U452" s="185"/>
      <c r="V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184" t="str">
        <f>IFERROR(__xludf.DUMMYFUNCTION("ifna(IF(and(D453=""Saída"",J453=""Sangria""),if(sum(QUERY(IMPORTRANGE(""https://docs.google.com/spreadsheets/d/1E4szPcLzsqlw4uyBAoJ61L1ChCgpz4wVP8tHfHW1g_c"",""BD M Sangrias!a:i""),""select Col6 where Col7 = 'Depositada' and Col9 = '""&amp;K453&amp;""' and Col6 ="&amp;" ""&amp;M453&amp;"" and Col4 = date '""&amp;YEAR(C453)&amp;""-""&amp;MONTH(C453)&amp;""-""&amp;DAY(C453)&amp;""'""))&gt;0,""Depositada"",if(sum(QUERY(IMPORTRANGE(""https://docs.google.com/spreadsheets/d/1EcLIvUgMoBC5as4ikW0wuQsGH5yVZ6cQ1y16qEfgPnk"",""BD M Sangrias!a:i""),""select Col6 whe"&amp;"re Col7 = 'Caixa Atendimento' and Col9 = '""&amp;K453&amp;""' and Col6 = ""&amp;M453&amp;"" and Col4 = date '""&amp;YEAR(C453)&amp;""-""&amp;MONTH(C453)&amp;""-""&amp;DAY(C453)&amp;""'""))&gt;0,""Caixa Atendimento"",""Caixa Sangria"")),""""),""Caixa Sangria"")"),"")</f>
        <v/>
      </c>
      <c r="M453" s="185" t="str">
        <f>IFERROR(__xludf.DUMMYFUNCTION("ifna(VALUE(REGEXEXTRACT(E453,""[0-9.]+[,]+[0-9]+"")))"),"")</f>
        <v/>
      </c>
      <c r="N453" s="185"/>
      <c r="O453" s="185"/>
      <c r="P453" s="185"/>
      <c r="Q453" s="185"/>
      <c r="R453" s="185"/>
      <c r="S453" s="185"/>
      <c r="T453" s="185"/>
      <c r="U453" s="185"/>
      <c r="V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184" t="str">
        <f>IFERROR(__xludf.DUMMYFUNCTION("ifna(IF(and(D454=""Saída"",J454=""Sangria""),if(sum(QUERY(IMPORTRANGE(""https://docs.google.com/spreadsheets/d/1E4szPcLzsqlw4uyBAoJ61L1ChCgpz4wVP8tHfHW1g_c"",""BD M Sangrias!a:i""),""select Col6 where Col7 = 'Depositada' and Col9 = '""&amp;K454&amp;""' and Col6 ="&amp;" ""&amp;M454&amp;"" and Col4 = date '""&amp;YEAR(C454)&amp;""-""&amp;MONTH(C454)&amp;""-""&amp;DAY(C454)&amp;""'""))&gt;0,""Depositada"",if(sum(QUERY(IMPORTRANGE(""https://docs.google.com/spreadsheets/d/1EcLIvUgMoBC5as4ikW0wuQsGH5yVZ6cQ1y16qEfgPnk"",""BD M Sangrias!a:i""),""select Col6 whe"&amp;"re Col7 = 'Caixa Atendimento' and Col9 = '""&amp;K454&amp;""' and Col6 = ""&amp;M454&amp;"" and Col4 = date '""&amp;YEAR(C454)&amp;""-""&amp;MONTH(C454)&amp;""-""&amp;DAY(C454)&amp;""'""))&gt;0,""Caixa Atendimento"",""Caixa Sangria"")),""""),""Caixa Sangria"")"),"")</f>
        <v/>
      </c>
      <c r="M454" s="185" t="str">
        <f>IFERROR(__xludf.DUMMYFUNCTION("ifna(VALUE(REGEXEXTRACT(E454,""[0-9.]+[,]+[0-9]+"")))"),"")</f>
        <v/>
      </c>
      <c r="N454" s="185"/>
      <c r="O454" s="185"/>
      <c r="P454" s="185"/>
      <c r="Q454" s="185"/>
      <c r="R454" s="185"/>
      <c r="S454" s="185"/>
      <c r="T454" s="185"/>
      <c r="U454" s="185"/>
      <c r="V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184" t="str">
        <f>IFERROR(__xludf.DUMMYFUNCTION("ifna(IF(and(D455=""Saída"",J455=""Sangria""),if(sum(QUERY(IMPORTRANGE(""https://docs.google.com/spreadsheets/d/1E4szPcLzsqlw4uyBAoJ61L1ChCgpz4wVP8tHfHW1g_c"",""BD M Sangrias!a:i""),""select Col6 where Col7 = 'Depositada' and Col9 = '""&amp;K455&amp;""' and Col6 ="&amp;" ""&amp;M455&amp;"" and Col4 = date '""&amp;YEAR(C455)&amp;""-""&amp;MONTH(C455)&amp;""-""&amp;DAY(C455)&amp;""'""))&gt;0,""Depositada"",if(sum(QUERY(IMPORTRANGE(""https://docs.google.com/spreadsheets/d/1EcLIvUgMoBC5as4ikW0wuQsGH5yVZ6cQ1y16qEfgPnk"",""BD M Sangrias!a:i""),""select Col6 whe"&amp;"re Col7 = 'Caixa Atendimento' and Col9 = '""&amp;K455&amp;""' and Col6 = ""&amp;M455&amp;"" and Col4 = date '""&amp;YEAR(C455)&amp;""-""&amp;MONTH(C455)&amp;""-""&amp;DAY(C455)&amp;""'""))&gt;0,""Caixa Atendimento"",""Caixa Sangria"")),""""),""Caixa Sangria"")"),"")</f>
        <v/>
      </c>
      <c r="M455" s="185" t="str">
        <f>IFERROR(__xludf.DUMMYFUNCTION("ifna(VALUE(REGEXEXTRACT(E455,""[0-9.]+[,]+[0-9]+"")))"),"")</f>
        <v/>
      </c>
      <c r="N455" s="185"/>
      <c r="O455" s="185"/>
      <c r="P455" s="185"/>
      <c r="Q455" s="185"/>
      <c r="R455" s="185"/>
      <c r="S455" s="185"/>
      <c r="T455" s="185"/>
      <c r="U455" s="185"/>
      <c r="V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184" t="str">
        <f>IFERROR(__xludf.DUMMYFUNCTION("ifna(IF(and(D456=""Saída"",J456=""Sangria""),if(sum(QUERY(IMPORTRANGE(""https://docs.google.com/spreadsheets/d/1E4szPcLzsqlw4uyBAoJ61L1ChCgpz4wVP8tHfHW1g_c"",""BD M Sangrias!a:i""),""select Col6 where Col7 = 'Depositada' and Col9 = '""&amp;K456&amp;""' and Col6 ="&amp;" ""&amp;M456&amp;"" and Col4 = date '""&amp;YEAR(C456)&amp;""-""&amp;MONTH(C456)&amp;""-""&amp;DAY(C456)&amp;""'""))&gt;0,""Depositada"",if(sum(QUERY(IMPORTRANGE(""https://docs.google.com/spreadsheets/d/1EcLIvUgMoBC5as4ikW0wuQsGH5yVZ6cQ1y16qEfgPnk"",""BD M Sangrias!a:i""),""select Col6 whe"&amp;"re Col7 = 'Caixa Atendimento' and Col9 = '""&amp;K456&amp;""' and Col6 = ""&amp;M456&amp;"" and Col4 = date '""&amp;YEAR(C456)&amp;""-""&amp;MONTH(C456)&amp;""-""&amp;DAY(C456)&amp;""'""))&gt;0,""Caixa Atendimento"",""Caixa Sangria"")),""""),""Caixa Sangria"")"),"")</f>
        <v/>
      </c>
      <c r="M456" s="185" t="str">
        <f>IFERROR(__xludf.DUMMYFUNCTION("ifna(VALUE(REGEXEXTRACT(E456,""[0-9.]+[,]+[0-9]+"")))"),"")</f>
        <v/>
      </c>
      <c r="N456" s="185"/>
      <c r="O456" s="185"/>
      <c r="P456" s="185"/>
      <c r="Q456" s="185"/>
      <c r="R456" s="185"/>
      <c r="S456" s="185"/>
      <c r="T456" s="185"/>
      <c r="U456" s="185"/>
      <c r="V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184" t="str">
        <f>IFERROR(__xludf.DUMMYFUNCTION("ifna(IF(and(D457=""Saída"",J457=""Sangria""),if(sum(QUERY(IMPORTRANGE(""https://docs.google.com/spreadsheets/d/1E4szPcLzsqlw4uyBAoJ61L1ChCgpz4wVP8tHfHW1g_c"",""BD M Sangrias!a:i""),""select Col6 where Col7 = 'Depositada' and Col9 = '""&amp;K457&amp;""' and Col6 ="&amp;" ""&amp;M457&amp;"" and Col4 = date '""&amp;YEAR(C457)&amp;""-""&amp;MONTH(C457)&amp;""-""&amp;DAY(C457)&amp;""'""))&gt;0,""Depositada"",if(sum(QUERY(IMPORTRANGE(""https://docs.google.com/spreadsheets/d/1EcLIvUgMoBC5as4ikW0wuQsGH5yVZ6cQ1y16qEfgPnk"",""BD M Sangrias!a:i""),""select Col6 whe"&amp;"re Col7 = 'Caixa Atendimento' and Col9 = '""&amp;K457&amp;""' and Col6 = ""&amp;M457&amp;"" and Col4 = date '""&amp;YEAR(C457)&amp;""-""&amp;MONTH(C457)&amp;""-""&amp;DAY(C457)&amp;""'""))&gt;0,""Caixa Atendimento"",""Caixa Sangria"")),""""),""Caixa Sangria"")"),"")</f>
        <v/>
      </c>
      <c r="M457" s="185" t="str">
        <f>IFERROR(__xludf.DUMMYFUNCTION("ifna(VALUE(REGEXEXTRACT(E457,""[0-9.]+[,]+[0-9]+"")))"),"")</f>
        <v/>
      </c>
      <c r="N457" s="185"/>
      <c r="O457" s="185"/>
      <c r="P457" s="185"/>
      <c r="Q457" s="185"/>
      <c r="R457" s="185"/>
      <c r="S457" s="185"/>
      <c r="T457" s="185"/>
      <c r="U457" s="185"/>
      <c r="V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184" t="str">
        <f>IFERROR(__xludf.DUMMYFUNCTION("ifna(IF(and(D458=""Saída"",J458=""Sangria""),if(sum(QUERY(IMPORTRANGE(""https://docs.google.com/spreadsheets/d/1E4szPcLzsqlw4uyBAoJ61L1ChCgpz4wVP8tHfHW1g_c"",""BD M Sangrias!a:i""),""select Col6 where Col7 = 'Depositada' and Col9 = '""&amp;K458&amp;""' and Col6 ="&amp;" ""&amp;M458&amp;"" and Col4 = date '""&amp;YEAR(C458)&amp;""-""&amp;MONTH(C458)&amp;""-""&amp;DAY(C458)&amp;""'""))&gt;0,""Depositada"",if(sum(QUERY(IMPORTRANGE(""https://docs.google.com/spreadsheets/d/1EcLIvUgMoBC5as4ikW0wuQsGH5yVZ6cQ1y16qEfgPnk"",""BD M Sangrias!a:i""),""select Col6 whe"&amp;"re Col7 = 'Caixa Atendimento' and Col9 = '""&amp;K458&amp;""' and Col6 = ""&amp;M458&amp;"" and Col4 = date '""&amp;YEAR(C458)&amp;""-""&amp;MONTH(C458)&amp;""-""&amp;DAY(C458)&amp;""'""))&gt;0,""Caixa Atendimento"",""Caixa Sangria"")),""""),""Caixa Sangria"")"),"")</f>
        <v/>
      </c>
      <c r="M458" s="185" t="str">
        <f>IFERROR(__xludf.DUMMYFUNCTION("ifna(VALUE(REGEXEXTRACT(E458,""[0-9.]+[,]+[0-9]+"")))"),"")</f>
        <v/>
      </c>
      <c r="N458" s="185"/>
      <c r="O458" s="185"/>
      <c r="P458" s="185"/>
      <c r="Q458" s="185"/>
      <c r="R458" s="185"/>
      <c r="S458" s="185"/>
      <c r="T458" s="185"/>
      <c r="U458" s="185"/>
      <c r="V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184" t="str">
        <f>IFERROR(__xludf.DUMMYFUNCTION("ifna(IF(and(D459=""Saída"",J459=""Sangria""),if(sum(QUERY(IMPORTRANGE(""https://docs.google.com/spreadsheets/d/1E4szPcLzsqlw4uyBAoJ61L1ChCgpz4wVP8tHfHW1g_c"",""BD M Sangrias!a:i""),""select Col6 where Col7 = 'Depositada' and Col9 = '""&amp;K459&amp;""' and Col6 ="&amp;" ""&amp;M459&amp;"" and Col4 = date '""&amp;YEAR(C459)&amp;""-""&amp;MONTH(C459)&amp;""-""&amp;DAY(C459)&amp;""'""))&gt;0,""Depositada"",if(sum(QUERY(IMPORTRANGE(""https://docs.google.com/spreadsheets/d/1EcLIvUgMoBC5as4ikW0wuQsGH5yVZ6cQ1y16qEfgPnk"",""BD M Sangrias!a:i""),""select Col6 whe"&amp;"re Col7 = 'Caixa Atendimento' and Col9 = '""&amp;K459&amp;""' and Col6 = ""&amp;M459&amp;"" and Col4 = date '""&amp;YEAR(C459)&amp;""-""&amp;MONTH(C459)&amp;""-""&amp;DAY(C459)&amp;""'""))&gt;0,""Caixa Atendimento"",""Caixa Sangria"")),""""),""Caixa Sangria"")"),"")</f>
        <v/>
      </c>
      <c r="M459" s="185" t="str">
        <f>IFERROR(__xludf.DUMMYFUNCTION("ifna(VALUE(REGEXEXTRACT(E459,""[0-9.]+[,]+[0-9]+"")))"),"")</f>
        <v/>
      </c>
      <c r="N459" s="185"/>
      <c r="O459" s="185"/>
      <c r="P459" s="185"/>
      <c r="Q459" s="185"/>
      <c r="R459" s="185"/>
      <c r="S459" s="185"/>
      <c r="T459" s="185"/>
      <c r="U459" s="185"/>
      <c r="V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184" t="str">
        <f>IFERROR(__xludf.DUMMYFUNCTION("ifna(IF(and(D460=""Saída"",J460=""Sangria""),if(sum(QUERY(IMPORTRANGE(""https://docs.google.com/spreadsheets/d/1E4szPcLzsqlw4uyBAoJ61L1ChCgpz4wVP8tHfHW1g_c"",""BD M Sangrias!a:i""),""select Col6 where Col7 = 'Depositada' and Col9 = '""&amp;K460&amp;""' and Col6 ="&amp;" ""&amp;M460&amp;"" and Col4 = date '""&amp;YEAR(C460)&amp;""-""&amp;MONTH(C460)&amp;""-""&amp;DAY(C460)&amp;""'""))&gt;0,""Depositada"",if(sum(QUERY(IMPORTRANGE(""https://docs.google.com/spreadsheets/d/1EcLIvUgMoBC5as4ikW0wuQsGH5yVZ6cQ1y16qEfgPnk"",""BD M Sangrias!a:i""),""select Col6 whe"&amp;"re Col7 = 'Caixa Atendimento' and Col9 = '""&amp;K460&amp;""' and Col6 = ""&amp;M460&amp;"" and Col4 = date '""&amp;YEAR(C460)&amp;""-""&amp;MONTH(C460)&amp;""-""&amp;DAY(C460)&amp;""'""))&gt;0,""Caixa Atendimento"",""Caixa Sangria"")),""""),""Caixa Sangria"")"),"")</f>
        <v/>
      </c>
      <c r="M460" s="185" t="str">
        <f>IFERROR(__xludf.DUMMYFUNCTION("ifna(VALUE(REGEXEXTRACT(E460,""[0-9.]+[,]+[0-9]+"")))"),"")</f>
        <v/>
      </c>
      <c r="N460" s="185"/>
      <c r="O460" s="185"/>
      <c r="P460" s="185"/>
      <c r="Q460" s="185"/>
      <c r="R460" s="185"/>
      <c r="S460" s="185"/>
      <c r="T460" s="185"/>
      <c r="U460" s="185"/>
      <c r="V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184" t="str">
        <f>IFERROR(__xludf.DUMMYFUNCTION("ifna(IF(and(D461=""Saída"",J461=""Sangria""),if(sum(QUERY(IMPORTRANGE(""https://docs.google.com/spreadsheets/d/1E4szPcLzsqlw4uyBAoJ61L1ChCgpz4wVP8tHfHW1g_c"",""BD M Sangrias!a:i""),""select Col6 where Col7 = 'Depositada' and Col9 = '""&amp;K461&amp;""' and Col6 ="&amp;" ""&amp;M461&amp;"" and Col4 = date '""&amp;YEAR(C461)&amp;""-""&amp;MONTH(C461)&amp;""-""&amp;DAY(C461)&amp;""'""))&gt;0,""Depositada"",if(sum(QUERY(IMPORTRANGE(""https://docs.google.com/spreadsheets/d/1EcLIvUgMoBC5as4ikW0wuQsGH5yVZ6cQ1y16qEfgPnk"",""BD M Sangrias!a:i""),""select Col6 whe"&amp;"re Col7 = 'Caixa Atendimento' and Col9 = '""&amp;K461&amp;""' and Col6 = ""&amp;M461&amp;"" and Col4 = date '""&amp;YEAR(C461)&amp;""-""&amp;MONTH(C461)&amp;""-""&amp;DAY(C461)&amp;""'""))&gt;0,""Caixa Atendimento"",""Caixa Sangria"")),""""),""Caixa Sangria"")"),"")</f>
        <v/>
      </c>
      <c r="M461" s="185" t="str">
        <f>IFERROR(__xludf.DUMMYFUNCTION("ifna(VALUE(REGEXEXTRACT(E461,""[0-9.]+[,]+[0-9]+"")))"),"")</f>
        <v/>
      </c>
      <c r="N461" s="185"/>
      <c r="O461" s="185"/>
      <c r="P461" s="185"/>
      <c r="Q461" s="185"/>
      <c r="R461" s="185"/>
      <c r="S461" s="185"/>
      <c r="T461" s="185"/>
      <c r="U461" s="185"/>
      <c r="V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184" t="str">
        <f>IFERROR(__xludf.DUMMYFUNCTION("ifna(IF(and(D462=""Saída"",J462=""Sangria""),if(sum(QUERY(IMPORTRANGE(""https://docs.google.com/spreadsheets/d/1E4szPcLzsqlw4uyBAoJ61L1ChCgpz4wVP8tHfHW1g_c"",""BD M Sangrias!a:i""),""select Col6 where Col7 = 'Depositada' and Col9 = '""&amp;K462&amp;""' and Col6 ="&amp;" ""&amp;M462&amp;"" and Col4 = date '""&amp;YEAR(C462)&amp;""-""&amp;MONTH(C462)&amp;""-""&amp;DAY(C462)&amp;""'""))&gt;0,""Depositada"",if(sum(QUERY(IMPORTRANGE(""https://docs.google.com/spreadsheets/d/1EcLIvUgMoBC5as4ikW0wuQsGH5yVZ6cQ1y16qEfgPnk"",""BD M Sangrias!a:i""),""select Col6 whe"&amp;"re Col7 = 'Caixa Atendimento' and Col9 = '""&amp;K462&amp;""' and Col6 = ""&amp;M462&amp;"" and Col4 = date '""&amp;YEAR(C462)&amp;""-""&amp;MONTH(C462)&amp;""-""&amp;DAY(C462)&amp;""'""))&gt;0,""Caixa Atendimento"",""Caixa Sangria"")),""""),""Caixa Sangria"")"),"")</f>
        <v/>
      </c>
      <c r="M462" s="185" t="str">
        <f>IFERROR(__xludf.DUMMYFUNCTION("ifna(VALUE(REGEXEXTRACT(E462,""[0-9.]+[,]+[0-9]+"")))"),"")</f>
        <v/>
      </c>
      <c r="N462" s="185"/>
      <c r="O462" s="185"/>
      <c r="P462" s="185"/>
      <c r="Q462" s="185"/>
      <c r="R462" s="185"/>
      <c r="S462" s="185"/>
      <c r="T462" s="185"/>
      <c r="U462" s="185"/>
      <c r="V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184" t="str">
        <f>IFERROR(__xludf.DUMMYFUNCTION("ifna(IF(and(D463=""Saída"",J463=""Sangria""),if(sum(QUERY(IMPORTRANGE(""https://docs.google.com/spreadsheets/d/1E4szPcLzsqlw4uyBAoJ61L1ChCgpz4wVP8tHfHW1g_c"",""BD M Sangrias!a:i""),""select Col6 where Col7 = 'Depositada' and Col9 = '""&amp;K463&amp;""' and Col6 ="&amp;" ""&amp;M463&amp;"" and Col4 = date '""&amp;YEAR(C463)&amp;""-""&amp;MONTH(C463)&amp;""-""&amp;DAY(C463)&amp;""'""))&gt;0,""Depositada"",if(sum(QUERY(IMPORTRANGE(""https://docs.google.com/spreadsheets/d/1EcLIvUgMoBC5as4ikW0wuQsGH5yVZ6cQ1y16qEfgPnk"",""BD M Sangrias!a:i""),""select Col6 whe"&amp;"re Col7 = 'Caixa Atendimento' and Col9 = '""&amp;K463&amp;""' and Col6 = ""&amp;M463&amp;"" and Col4 = date '""&amp;YEAR(C463)&amp;""-""&amp;MONTH(C463)&amp;""-""&amp;DAY(C463)&amp;""'""))&gt;0,""Caixa Atendimento"",""Caixa Sangria"")),""""),""Caixa Sangria"")"),"")</f>
        <v/>
      </c>
      <c r="M463" s="185" t="str">
        <f>IFERROR(__xludf.DUMMYFUNCTION("ifna(VALUE(REGEXEXTRACT(E463,""[0-9.]+[,]+[0-9]+"")))"),"")</f>
        <v/>
      </c>
      <c r="N463" s="185"/>
      <c r="O463" s="185"/>
      <c r="P463" s="185"/>
      <c r="Q463" s="185"/>
      <c r="R463" s="185"/>
      <c r="S463" s="185"/>
      <c r="T463" s="185"/>
      <c r="U463" s="185"/>
      <c r="V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184" t="str">
        <f>IFERROR(__xludf.DUMMYFUNCTION("ifna(IF(and(D464=""Saída"",J464=""Sangria""),if(sum(QUERY(IMPORTRANGE(""https://docs.google.com/spreadsheets/d/1E4szPcLzsqlw4uyBAoJ61L1ChCgpz4wVP8tHfHW1g_c"",""BD M Sangrias!a:i""),""select Col6 where Col7 = 'Depositada' and Col9 = '""&amp;K464&amp;""' and Col6 ="&amp;" ""&amp;M464&amp;"" and Col4 = date '""&amp;YEAR(C464)&amp;""-""&amp;MONTH(C464)&amp;""-""&amp;DAY(C464)&amp;""'""))&gt;0,""Depositada"",if(sum(QUERY(IMPORTRANGE(""https://docs.google.com/spreadsheets/d/1EcLIvUgMoBC5as4ikW0wuQsGH5yVZ6cQ1y16qEfgPnk"",""BD M Sangrias!a:i""),""select Col6 whe"&amp;"re Col7 = 'Caixa Atendimento' and Col9 = '""&amp;K464&amp;""' and Col6 = ""&amp;M464&amp;"" and Col4 = date '""&amp;YEAR(C464)&amp;""-""&amp;MONTH(C464)&amp;""-""&amp;DAY(C464)&amp;""'""))&gt;0,""Caixa Atendimento"",""Caixa Sangria"")),""""),""Caixa Sangria"")"),"")</f>
        <v/>
      </c>
      <c r="M464" s="185" t="str">
        <f>IFERROR(__xludf.DUMMYFUNCTION("ifna(VALUE(REGEXEXTRACT(E464,""[0-9.]+[,]+[0-9]+"")))"),"")</f>
        <v/>
      </c>
      <c r="N464" s="185"/>
      <c r="O464" s="185"/>
      <c r="P464" s="185"/>
      <c r="Q464" s="185"/>
      <c r="R464" s="185"/>
      <c r="S464" s="185"/>
      <c r="T464" s="185"/>
      <c r="U464" s="185"/>
      <c r="V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184" t="str">
        <f>IFERROR(__xludf.DUMMYFUNCTION("ifna(IF(and(D465=""Saída"",J465=""Sangria""),if(sum(QUERY(IMPORTRANGE(""https://docs.google.com/spreadsheets/d/1E4szPcLzsqlw4uyBAoJ61L1ChCgpz4wVP8tHfHW1g_c"",""BD M Sangrias!a:i""),""select Col6 where Col7 = 'Depositada' and Col9 = '""&amp;K465&amp;""' and Col6 ="&amp;" ""&amp;M465&amp;"" and Col4 = date '""&amp;YEAR(C465)&amp;""-""&amp;MONTH(C465)&amp;""-""&amp;DAY(C465)&amp;""'""))&gt;0,""Depositada"",if(sum(QUERY(IMPORTRANGE(""https://docs.google.com/spreadsheets/d/1EcLIvUgMoBC5as4ikW0wuQsGH5yVZ6cQ1y16qEfgPnk"",""BD M Sangrias!a:i""),""select Col6 whe"&amp;"re Col7 = 'Caixa Atendimento' and Col9 = '""&amp;K465&amp;""' and Col6 = ""&amp;M465&amp;"" and Col4 = date '""&amp;YEAR(C465)&amp;""-""&amp;MONTH(C465)&amp;""-""&amp;DAY(C465)&amp;""'""))&gt;0,""Caixa Atendimento"",""Caixa Sangria"")),""""),""Caixa Sangria"")"),"")</f>
        <v/>
      </c>
      <c r="M465" s="185" t="str">
        <f>IFERROR(__xludf.DUMMYFUNCTION("ifna(VALUE(REGEXEXTRACT(E465,""[0-9.]+[,]+[0-9]+"")))"),"")</f>
        <v/>
      </c>
      <c r="N465" s="185"/>
      <c r="O465" s="185"/>
      <c r="P465" s="185"/>
      <c r="Q465" s="185"/>
      <c r="R465" s="185"/>
      <c r="S465" s="185"/>
      <c r="T465" s="185"/>
      <c r="U465" s="185"/>
      <c r="V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184" t="str">
        <f>IFERROR(__xludf.DUMMYFUNCTION("ifna(IF(and(D466=""Saída"",J466=""Sangria""),if(sum(QUERY(IMPORTRANGE(""https://docs.google.com/spreadsheets/d/1E4szPcLzsqlw4uyBAoJ61L1ChCgpz4wVP8tHfHW1g_c"",""BD M Sangrias!a:i""),""select Col6 where Col7 = 'Depositada' and Col9 = '""&amp;K466&amp;""' and Col6 ="&amp;" ""&amp;M466&amp;"" and Col4 = date '""&amp;YEAR(C466)&amp;""-""&amp;MONTH(C466)&amp;""-""&amp;DAY(C466)&amp;""'""))&gt;0,""Depositada"",if(sum(QUERY(IMPORTRANGE(""https://docs.google.com/spreadsheets/d/1EcLIvUgMoBC5as4ikW0wuQsGH5yVZ6cQ1y16qEfgPnk"",""BD M Sangrias!a:i""),""select Col6 whe"&amp;"re Col7 = 'Caixa Atendimento' and Col9 = '""&amp;K466&amp;""' and Col6 = ""&amp;M466&amp;"" and Col4 = date '""&amp;YEAR(C466)&amp;""-""&amp;MONTH(C466)&amp;""-""&amp;DAY(C466)&amp;""'""))&gt;0,""Caixa Atendimento"",""Caixa Sangria"")),""""),""Caixa Sangria"")"),"")</f>
        <v/>
      </c>
      <c r="M466" s="185" t="str">
        <f>IFERROR(__xludf.DUMMYFUNCTION("ifna(VALUE(REGEXEXTRACT(E466,""[0-9.]+[,]+[0-9]+"")))"),"")</f>
        <v/>
      </c>
      <c r="N466" s="185"/>
      <c r="O466" s="185"/>
      <c r="P466" s="185"/>
      <c r="Q466" s="185"/>
      <c r="R466" s="185"/>
      <c r="S466" s="185"/>
      <c r="T466" s="185"/>
      <c r="U466" s="185"/>
      <c r="V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184" t="str">
        <f>IFERROR(__xludf.DUMMYFUNCTION("ifna(IF(and(D467=""Saída"",J467=""Sangria""),if(sum(QUERY(IMPORTRANGE(""https://docs.google.com/spreadsheets/d/1E4szPcLzsqlw4uyBAoJ61L1ChCgpz4wVP8tHfHW1g_c"",""BD M Sangrias!a:i""),""select Col6 where Col7 = 'Depositada' and Col9 = '""&amp;K467&amp;""' and Col6 ="&amp;" ""&amp;M467&amp;"" and Col4 = date '""&amp;YEAR(C467)&amp;""-""&amp;MONTH(C467)&amp;""-""&amp;DAY(C467)&amp;""'""))&gt;0,""Depositada"",if(sum(QUERY(IMPORTRANGE(""https://docs.google.com/spreadsheets/d/1EcLIvUgMoBC5as4ikW0wuQsGH5yVZ6cQ1y16qEfgPnk"",""BD M Sangrias!a:i""),""select Col6 whe"&amp;"re Col7 = 'Caixa Atendimento' and Col9 = '""&amp;K467&amp;""' and Col6 = ""&amp;M467&amp;"" and Col4 = date '""&amp;YEAR(C467)&amp;""-""&amp;MONTH(C467)&amp;""-""&amp;DAY(C467)&amp;""'""))&gt;0,""Caixa Atendimento"",""Caixa Sangria"")),""""),""Caixa Sangria"")"),"")</f>
        <v/>
      </c>
      <c r="M467" s="185" t="str">
        <f>IFERROR(__xludf.DUMMYFUNCTION("ifna(VALUE(REGEXEXTRACT(E467,""[0-9.]+[,]+[0-9]+"")))"),"")</f>
        <v/>
      </c>
      <c r="N467" s="185"/>
      <c r="O467" s="185"/>
      <c r="P467" s="185"/>
      <c r="Q467" s="185"/>
      <c r="R467" s="185"/>
      <c r="S467" s="185"/>
      <c r="T467" s="185"/>
      <c r="U467" s="185"/>
      <c r="V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184" t="str">
        <f>IFERROR(__xludf.DUMMYFUNCTION("ifna(IF(and(D468=""Saída"",J468=""Sangria""),if(sum(QUERY(IMPORTRANGE(""https://docs.google.com/spreadsheets/d/1E4szPcLzsqlw4uyBAoJ61L1ChCgpz4wVP8tHfHW1g_c"",""BD M Sangrias!a:i""),""select Col6 where Col7 = 'Depositada' and Col9 = '""&amp;K468&amp;""' and Col6 ="&amp;" ""&amp;M468&amp;"" and Col4 = date '""&amp;YEAR(C468)&amp;""-""&amp;MONTH(C468)&amp;""-""&amp;DAY(C468)&amp;""'""))&gt;0,""Depositada"",if(sum(QUERY(IMPORTRANGE(""https://docs.google.com/spreadsheets/d/1EcLIvUgMoBC5as4ikW0wuQsGH5yVZ6cQ1y16qEfgPnk"",""BD M Sangrias!a:i""),""select Col6 whe"&amp;"re Col7 = 'Caixa Atendimento' and Col9 = '""&amp;K468&amp;""' and Col6 = ""&amp;M468&amp;"" and Col4 = date '""&amp;YEAR(C468)&amp;""-""&amp;MONTH(C468)&amp;""-""&amp;DAY(C468)&amp;""'""))&gt;0,""Caixa Atendimento"",""Caixa Sangria"")),""""),""Caixa Sangria"")"),"")</f>
        <v/>
      </c>
      <c r="M468" s="185" t="str">
        <f>IFERROR(__xludf.DUMMYFUNCTION("ifna(VALUE(REGEXEXTRACT(E468,""[0-9.]+[,]+[0-9]+"")))"),"")</f>
        <v/>
      </c>
      <c r="N468" s="185"/>
      <c r="O468" s="185"/>
      <c r="P468" s="185"/>
      <c r="Q468" s="185"/>
      <c r="R468" s="185"/>
      <c r="S468" s="185"/>
      <c r="T468" s="185"/>
      <c r="U468" s="185"/>
      <c r="V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184" t="str">
        <f>IFERROR(__xludf.DUMMYFUNCTION("ifna(IF(and(D469=""Saída"",J469=""Sangria""),if(sum(QUERY(IMPORTRANGE(""https://docs.google.com/spreadsheets/d/1E4szPcLzsqlw4uyBAoJ61L1ChCgpz4wVP8tHfHW1g_c"",""BD M Sangrias!a:i""),""select Col6 where Col7 = 'Depositada' and Col9 = '""&amp;K469&amp;""' and Col6 ="&amp;" ""&amp;M469&amp;"" and Col4 = date '""&amp;YEAR(C469)&amp;""-""&amp;MONTH(C469)&amp;""-""&amp;DAY(C469)&amp;""'""))&gt;0,""Depositada"",if(sum(QUERY(IMPORTRANGE(""https://docs.google.com/spreadsheets/d/1EcLIvUgMoBC5as4ikW0wuQsGH5yVZ6cQ1y16qEfgPnk"",""BD M Sangrias!a:i""),""select Col6 whe"&amp;"re Col7 = 'Caixa Atendimento' and Col9 = '""&amp;K469&amp;""' and Col6 = ""&amp;M469&amp;"" and Col4 = date '""&amp;YEAR(C469)&amp;""-""&amp;MONTH(C469)&amp;""-""&amp;DAY(C469)&amp;""'""))&gt;0,""Caixa Atendimento"",""Caixa Sangria"")),""""),""Caixa Sangria"")"),"")</f>
        <v/>
      </c>
      <c r="M469" s="185" t="str">
        <f>IFERROR(__xludf.DUMMYFUNCTION("ifna(VALUE(REGEXEXTRACT(E469,""[0-9.]+[,]+[0-9]+"")))"),"")</f>
        <v/>
      </c>
      <c r="N469" s="185"/>
      <c r="O469" s="185"/>
      <c r="P469" s="185"/>
      <c r="Q469" s="185"/>
      <c r="R469" s="185"/>
      <c r="S469" s="185"/>
      <c r="T469" s="185"/>
      <c r="U469" s="185"/>
      <c r="V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184" t="str">
        <f>IFERROR(__xludf.DUMMYFUNCTION("ifna(IF(and(D470=""Saída"",J470=""Sangria""),if(sum(QUERY(IMPORTRANGE(""https://docs.google.com/spreadsheets/d/1E4szPcLzsqlw4uyBAoJ61L1ChCgpz4wVP8tHfHW1g_c"",""BD M Sangrias!a:i""),""select Col6 where Col7 = 'Depositada' and Col9 = '""&amp;K470&amp;""' and Col6 ="&amp;" ""&amp;M470&amp;"" and Col4 = date '""&amp;YEAR(C470)&amp;""-""&amp;MONTH(C470)&amp;""-""&amp;DAY(C470)&amp;""'""))&gt;0,""Depositada"",if(sum(QUERY(IMPORTRANGE(""https://docs.google.com/spreadsheets/d/1EcLIvUgMoBC5as4ikW0wuQsGH5yVZ6cQ1y16qEfgPnk"",""BD M Sangrias!a:i""),""select Col6 whe"&amp;"re Col7 = 'Caixa Atendimento' and Col9 = '""&amp;K470&amp;""' and Col6 = ""&amp;M470&amp;"" and Col4 = date '""&amp;YEAR(C470)&amp;""-""&amp;MONTH(C470)&amp;""-""&amp;DAY(C470)&amp;""'""))&gt;0,""Caixa Atendimento"",""Caixa Sangria"")),""""),""Caixa Sangria"")"),"")</f>
        <v/>
      </c>
      <c r="M470" s="185" t="str">
        <f>IFERROR(__xludf.DUMMYFUNCTION("ifna(VALUE(REGEXEXTRACT(E470,""[0-9.]+[,]+[0-9]+"")))"),"")</f>
        <v/>
      </c>
      <c r="N470" s="185"/>
      <c r="O470" s="185"/>
      <c r="P470" s="185"/>
      <c r="Q470" s="185"/>
      <c r="R470" s="185"/>
      <c r="S470" s="185"/>
      <c r="T470" s="185"/>
      <c r="U470" s="185"/>
      <c r="V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184" t="str">
        <f>IFERROR(__xludf.DUMMYFUNCTION("ifna(IF(and(D471=""Saída"",J471=""Sangria""),if(sum(QUERY(IMPORTRANGE(""https://docs.google.com/spreadsheets/d/1E4szPcLzsqlw4uyBAoJ61L1ChCgpz4wVP8tHfHW1g_c"",""BD M Sangrias!a:i""),""select Col6 where Col7 = 'Depositada' and Col9 = '""&amp;K471&amp;""' and Col6 ="&amp;" ""&amp;M471&amp;"" and Col4 = date '""&amp;YEAR(C471)&amp;""-""&amp;MONTH(C471)&amp;""-""&amp;DAY(C471)&amp;""'""))&gt;0,""Depositada"",if(sum(QUERY(IMPORTRANGE(""https://docs.google.com/spreadsheets/d/1EcLIvUgMoBC5as4ikW0wuQsGH5yVZ6cQ1y16qEfgPnk"",""BD M Sangrias!a:i""),""select Col6 whe"&amp;"re Col7 = 'Caixa Atendimento' and Col9 = '""&amp;K471&amp;""' and Col6 = ""&amp;M471&amp;"" and Col4 = date '""&amp;YEAR(C471)&amp;""-""&amp;MONTH(C471)&amp;""-""&amp;DAY(C471)&amp;""'""))&gt;0,""Caixa Atendimento"",""Caixa Sangria"")),""""),""Caixa Sangria"")"),"")</f>
        <v/>
      </c>
      <c r="M471" s="185" t="str">
        <f>IFERROR(__xludf.DUMMYFUNCTION("ifna(VALUE(REGEXEXTRACT(E471,""[0-9.]+[,]+[0-9]+"")))"),"")</f>
        <v/>
      </c>
      <c r="N471" s="185"/>
      <c r="O471" s="185"/>
      <c r="P471" s="185"/>
      <c r="Q471" s="185"/>
      <c r="R471" s="185"/>
      <c r="S471" s="185"/>
      <c r="T471" s="185"/>
      <c r="U471" s="185"/>
      <c r="V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184" t="str">
        <f>IFERROR(__xludf.DUMMYFUNCTION("ifna(IF(and(D472=""Saída"",J472=""Sangria""),if(sum(QUERY(IMPORTRANGE(""https://docs.google.com/spreadsheets/d/1E4szPcLzsqlw4uyBAoJ61L1ChCgpz4wVP8tHfHW1g_c"",""BD M Sangrias!a:i""),""select Col6 where Col7 = 'Depositada' and Col9 = '""&amp;K472&amp;""' and Col6 ="&amp;" ""&amp;M472&amp;"" and Col4 = date '""&amp;YEAR(C472)&amp;""-""&amp;MONTH(C472)&amp;""-""&amp;DAY(C472)&amp;""'""))&gt;0,""Depositada"",if(sum(QUERY(IMPORTRANGE(""https://docs.google.com/spreadsheets/d/1EcLIvUgMoBC5as4ikW0wuQsGH5yVZ6cQ1y16qEfgPnk"",""BD M Sangrias!a:i""),""select Col6 whe"&amp;"re Col7 = 'Caixa Atendimento' and Col9 = '""&amp;K472&amp;""' and Col6 = ""&amp;M472&amp;"" and Col4 = date '""&amp;YEAR(C472)&amp;""-""&amp;MONTH(C472)&amp;""-""&amp;DAY(C472)&amp;""'""))&gt;0,""Caixa Atendimento"",""Caixa Sangria"")),""""),""Caixa Sangria"")"),"")</f>
        <v/>
      </c>
      <c r="M472" s="185" t="str">
        <f>IFERROR(__xludf.DUMMYFUNCTION("ifna(VALUE(REGEXEXTRACT(E472,""[0-9.]+[,]+[0-9]+"")))"),"")</f>
        <v/>
      </c>
      <c r="N472" s="185"/>
      <c r="O472" s="185"/>
      <c r="P472" s="185"/>
      <c r="Q472" s="185"/>
      <c r="R472" s="185"/>
      <c r="S472" s="185"/>
      <c r="T472" s="185"/>
      <c r="U472" s="185"/>
      <c r="V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184" t="str">
        <f>IFERROR(__xludf.DUMMYFUNCTION("ifna(IF(and(D473=""Saída"",J473=""Sangria""),if(sum(QUERY(IMPORTRANGE(""https://docs.google.com/spreadsheets/d/1E4szPcLzsqlw4uyBAoJ61L1ChCgpz4wVP8tHfHW1g_c"",""BD M Sangrias!a:i""),""select Col6 where Col7 = 'Depositada' and Col9 = '""&amp;K473&amp;""' and Col6 ="&amp;" ""&amp;M473&amp;"" and Col4 = date '""&amp;YEAR(C473)&amp;""-""&amp;MONTH(C473)&amp;""-""&amp;DAY(C473)&amp;""'""))&gt;0,""Depositada"",if(sum(QUERY(IMPORTRANGE(""https://docs.google.com/spreadsheets/d/1EcLIvUgMoBC5as4ikW0wuQsGH5yVZ6cQ1y16qEfgPnk"",""BD M Sangrias!a:i""),""select Col6 whe"&amp;"re Col7 = 'Caixa Atendimento' and Col9 = '""&amp;K473&amp;""' and Col6 = ""&amp;M473&amp;"" and Col4 = date '""&amp;YEAR(C473)&amp;""-""&amp;MONTH(C473)&amp;""-""&amp;DAY(C473)&amp;""'""))&gt;0,""Caixa Atendimento"",""Caixa Sangria"")),""""),""Caixa Sangria"")"),"")</f>
        <v/>
      </c>
      <c r="M473" s="185" t="str">
        <f>IFERROR(__xludf.DUMMYFUNCTION("ifna(VALUE(REGEXEXTRACT(E473,""[0-9.]+[,]+[0-9]+"")))"),"")</f>
        <v/>
      </c>
      <c r="N473" s="185"/>
      <c r="O473" s="185"/>
      <c r="P473" s="185"/>
      <c r="Q473" s="185"/>
      <c r="R473" s="185"/>
      <c r="S473" s="185"/>
      <c r="T473" s="185"/>
      <c r="U473" s="185"/>
      <c r="V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184" t="str">
        <f>IFERROR(__xludf.DUMMYFUNCTION("ifna(IF(and(D474=""Saída"",J474=""Sangria""),if(sum(QUERY(IMPORTRANGE(""https://docs.google.com/spreadsheets/d/1E4szPcLzsqlw4uyBAoJ61L1ChCgpz4wVP8tHfHW1g_c"",""BD M Sangrias!a:i""),""select Col6 where Col7 = 'Depositada' and Col9 = '""&amp;K474&amp;""' and Col6 ="&amp;" ""&amp;M474&amp;"" and Col4 = date '""&amp;YEAR(C474)&amp;""-""&amp;MONTH(C474)&amp;""-""&amp;DAY(C474)&amp;""'""))&gt;0,""Depositada"",if(sum(QUERY(IMPORTRANGE(""https://docs.google.com/spreadsheets/d/1EcLIvUgMoBC5as4ikW0wuQsGH5yVZ6cQ1y16qEfgPnk"",""BD M Sangrias!a:i""),""select Col6 whe"&amp;"re Col7 = 'Caixa Atendimento' and Col9 = '""&amp;K474&amp;""' and Col6 = ""&amp;M474&amp;"" and Col4 = date '""&amp;YEAR(C474)&amp;""-""&amp;MONTH(C474)&amp;""-""&amp;DAY(C474)&amp;""'""))&gt;0,""Caixa Atendimento"",""Caixa Sangria"")),""""),""Caixa Sangria"")"),"")</f>
        <v/>
      </c>
      <c r="M474" s="185" t="str">
        <f>IFERROR(__xludf.DUMMYFUNCTION("ifna(VALUE(REGEXEXTRACT(E474,""[0-9.]+[,]+[0-9]+"")))"),"")</f>
        <v/>
      </c>
      <c r="N474" s="185"/>
      <c r="O474" s="185"/>
      <c r="P474" s="185"/>
      <c r="Q474" s="185"/>
      <c r="R474" s="185"/>
      <c r="S474" s="185"/>
      <c r="T474" s="185"/>
      <c r="U474" s="185"/>
      <c r="V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184" t="str">
        <f>IFERROR(__xludf.DUMMYFUNCTION("ifna(IF(and(D475=""Saída"",J475=""Sangria""),if(sum(QUERY(IMPORTRANGE(""https://docs.google.com/spreadsheets/d/1E4szPcLzsqlw4uyBAoJ61L1ChCgpz4wVP8tHfHW1g_c"",""BD M Sangrias!a:i""),""select Col6 where Col7 = 'Depositada' and Col9 = '""&amp;K475&amp;""' and Col6 ="&amp;" ""&amp;M475&amp;"" and Col4 = date '""&amp;YEAR(C475)&amp;""-""&amp;MONTH(C475)&amp;""-""&amp;DAY(C475)&amp;""'""))&gt;0,""Depositada"",if(sum(QUERY(IMPORTRANGE(""https://docs.google.com/spreadsheets/d/1EcLIvUgMoBC5as4ikW0wuQsGH5yVZ6cQ1y16qEfgPnk"",""BD M Sangrias!a:i""),""select Col6 whe"&amp;"re Col7 = 'Caixa Atendimento' and Col9 = '""&amp;K475&amp;""' and Col6 = ""&amp;M475&amp;"" and Col4 = date '""&amp;YEAR(C475)&amp;""-""&amp;MONTH(C475)&amp;""-""&amp;DAY(C475)&amp;""'""))&gt;0,""Caixa Atendimento"",""Caixa Sangria"")),""""),""Caixa Sangria"")"),"")</f>
        <v/>
      </c>
      <c r="M475" s="185" t="str">
        <f>IFERROR(__xludf.DUMMYFUNCTION("ifna(VALUE(REGEXEXTRACT(E475,""[0-9.]+[,]+[0-9]+"")))"),"")</f>
        <v/>
      </c>
      <c r="N475" s="185"/>
      <c r="O475" s="185"/>
      <c r="P475" s="185"/>
      <c r="Q475" s="185"/>
      <c r="R475" s="185"/>
      <c r="S475" s="185"/>
      <c r="T475" s="185"/>
      <c r="U475" s="185"/>
      <c r="V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184" t="str">
        <f>IFERROR(__xludf.DUMMYFUNCTION("ifna(IF(and(D476=""Saída"",J476=""Sangria""),if(sum(QUERY(IMPORTRANGE(""https://docs.google.com/spreadsheets/d/1E4szPcLzsqlw4uyBAoJ61L1ChCgpz4wVP8tHfHW1g_c"",""BD M Sangrias!a:i""),""select Col6 where Col7 = 'Depositada' and Col9 = '""&amp;K476&amp;""' and Col6 ="&amp;" ""&amp;M476&amp;"" and Col4 = date '""&amp;YEAR(C476)&amp;""-""&amp;MONTH(C476)&amp;""-""&amp;DAY(C476)&amp;""'""))&gt;0,""Depositada"",if(sum(QUERY(IMPORTRANGE(""https://docs.google.com/spreadsheets/d/1EcLIvUgMoBC5as4ikW0wuQsGH5yVZ6cQ1y16qEfgPnk"",""BD M Sangrias!a:i""),""select Col6 whe"&amp;"re Col7 = 'Caixa Atendimento' and Col9 = '""&amp;K476&amp;""' and Col6 = ""&amp;M476&amp;"" and Col4 = date '""&amp;YEAR(C476)&amp;""-""&amp;MONTH(C476)&amp;""-""&amp;DAY(C476)&amp;""'""))&gt;0,""Caixa Atendimento"",""Caixa Sangria"")),""""),""Caixa Sangria"")"),"")</f>
        <v/>
      </c>
      <c r="M476" s="185" t="str">
        <f>IFERROR(__xludf.DUMMYFUNCTION("ifna(VALUE(REGEXEXTRACT(E476,""[0-9.]+[,]+[0-9]+"")))"),"")</f>
        <v/>
      </c>
      <c r="N476" s="185"/>
      <c r="O476" s="185"/>
      <c r="P476" s="185"/>
      <c r="Q476" s="185"/>
      <c r="R476" s="185"/>
      <c r="S476" s="185"/>
      <c r="T476" s="185"/>
      <c r="U476" s="185"/>
      <c r="V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184" t="str">
        <f>IFERROR(__xludf.DUMMYFUNCTION("ifna(IF(and(D477=""Saída"",J477=""Sangria""),if(sum(QUERY(IMPORTRANGE(""https://docs.google.com/spreadsheets/d/1E4szPcLzsqlw4uyBAoJ61L1ChCgpz4wVP8tHfHW1g_c"",""BD M Sangrias!a:i""),""select Col6 where Col7 = 'Depositada' and Col9 = '""&amp;K477&amp;""' and Col6 ="&amp;" ""&amp;M477&amp;"" and Col4 = date '""&amp;YEAR(C477)&amp;""-""&amp;MONTH(C477)&amp;""-""&amp;DAY(C477)&amp;""'""))&gt;0,""Depositada"",if(sum(QUERY(IMPORTRANGE(""https://docs.google.com/spreadsheets/d/1EcLIvUgMoBC5as4ikW0wuQsGH5yVZ6cQ1y16qEfgPnk"",""BD M Sangrias!a:i""),""select Col6 whe"&amp;"re Col7 = 'Caixa Atendimento' and Col9 = '""&amp;K477&amp;""' and Col6 = ""&amp;M477&amp;"" and Col4 = date '""&amp;YEAR(C477)&amp;""-""&amp;MONTH(C477)&amp;""-""&amp;DAY(C477)&amp;""'""))&gt;0,""Caixa Atendimento"",""Caixa Sangria"")),""""),""Caixa Sangria"")"),"")</f>
        <v/>
      </c>
      <c r="M477" s="185" t="str">
        <f>IFERROR(__xludf.DUMMYFUNCTION("ifna(VALUE(REGEXEXTRACT(E477,""[0-9.]+[,]+[0-9]+"")))"),"")</f>
        <v/>
      </c>
      <c r="N477" s="185"/>
      <c r="O477" s="185"/>
      <c r="P477" s="185"/>
      <c r="Q477" s="185"/>
      <c r="R477" s="185"/>
      <c r="S477" s="185"/>
      <c r="T477" s="185"/>
      <c r="U477" s="185"/>
      <c r="V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184" t="str">
        <f>IFERROR(__xludf.DUMMYFUNCTION("ifna(IF(and(D478=""Saída"",J478=""Sangria""),if(sum(QUERY(IMPORTRANGE(""https://docs.google.com/spreadsheets/d/1E4szPcLzsqlw4uyBAoJ61L1ChCgpz4wVP8tHfHW1g_c"",""BD M Sangrias!a:i""),""select Col6 where Col7 = 'Depositada' and Col9 = '""&amp;K478&amp;""' and Col6 ="&amp;" ""&amp;M478&amp;"" and Col4 = date '""&amp;YEAR(C478)&amp;""-""&amp;MONTH(C478)&amp;""-""&amp;DAY(C478)&amp;""'""))&gt;0,""Depositada"",if(sum(QUERY(IMPORTRANGE(""https://docs.google.com/spreadsheets/d/1EcLIvUgMoBC5as4ikW0wuQsGH5yVZ6cQ1y16qEfgPnk"",""BD M Sangrias!a:i""),""select Col6 whe"&amp;"re Col7 = 'Caixa Atendimento' and Col9 = '""&amp;K478&amp;""' and Col6 = ""&amp;M478&amp;"" and Col4 = date '""&amp;YEAR(C478)&amp;""-""&amp;MONTH(C478)&amp;""-""&amp;DAY(C478)&amp;""'""))&gt;0,""Caixa Atendimento"",""Caixa Sangria"")),""""),""Caixa Sangria"")"),"")</f>
        <v/>
      </c>
      <c r="M478" s="185" t="str">
        <f>IFERROR(__xludf.DUMMYFUNCTION("ifna(VALUE(REGEXEXTRACT(E478,""[0-9.]+[,]+[0-9]+"")))"),"")</f>
        <v/>
      </c>
      <c r="N478" s="185"/>
      <c r="O478" s="185"/>
      <c r="P478" s="185"/>
      <c r="Q478" s="185"/>
      <c r="R478" s="185"/>
      <c r="S478" s="185"/>
      <c r="T478" s="185"/>
      <c r="U478" s="185"/>
      <c r="V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184" t="str">
        <f>IFERROR(__xludf.DUMMYFUNCTION("ifna(IF(and(D479=""Saída"",J479=""Sangria""),if(sum(QUERY(IMPORTRANGE(""https://docs.google.com/spreadsheets/d/1E4szPcLzsqlw4uyBAoJ61L1ChCgpz4wVP8tHfHW1g_c"",""BD M Sangrias!a:i""),""select Col6 where Col7 = 'Depositada' and Col9 = '""&amp;K479&amp;""' and Col6 ="&amp;" ""&amp;M479&amp;"" and Col4 = date '""&amp;YEAR(C479)&amp;""-""&amp;MONTH(C479)&amp;""-""&amp;DAY(C479)&amp;""'""))&gt;0,""Depositada"",if(sum(QUERY(IMPORTRANGE(""https://docs.google.com/spreadsheets/d/1EcLIvUgMoBC5as4ikW0wuQsGH5yVZ6cQ1y16qEfgPnk"",""BD M Sangrias!a:i""),""select Col6 whe"&amp;"re Col7 = 'Caixa Atendimento' and Col9 = '""&amp;K479&amp;""' and Col6 = ""&amp;M479&amp;"" and Col4 = date '""&amp;YEAR(C479)&amp;""-""&amp;MONTH(C479)&amp;""-""&amp;DAY(C479)&amp;""'""))&gt;0,""Caixa Atendimento"",""Caixa Sangria"")),""""),""Caixa Sangria"")"),"")</f>
        <v/>
      </c>
      <c r="M479" s="185" t="str">
        <f>IFERROR(__xludf.DUMMYFUNCTION("ifna(VALUE(REGEXEXTRACT(E479,""[0-9.]+[,]+[0-9]+"")))"),"")</f>
        <v/>
      </c>
      <c r="N479" s="185"/>
      <c r="O479" s="185"/>
      <c r="P479" s="185"/>
      <c r="Q479" s="185"/>
      <c r="R479" s="185"/>
      <c r="S479" s="185"/>
      <c r="T479" s="185"/>
      <c r="U479" s="185"/>
      <c r="V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184" t="str">
        <f>IFERROR(__xludf.DUMMYFUNCTION("ifna(IF(and(D480=""Saída"",J480=""Sangria""),if(sum(QUERY(IMPORTRANGE(""https://docs.google.com/spreadsheets/d/1E4szPcLzsqlw4uyBAoJ61L1ChCgpz4wVP8tHfHW1g_c"",""BD M Sangrias!a:i""),""select Col6 where Col7 = 'Depositada' and Col9 = '""&amp;K480&amp;""' and Col6 ="&amp;" ""&amp;M480&amp;"" and Col4 = date '""&amp;YEAR(C480)&amp;""-""&amp;MONTH(C480)&amp;""-""&amp;DAY(C480)&amp;""'""))&gt;0,""Depositada"",if(sum(QUERY(IMPORTRANGE(""https://docs.google.com/spreadsheets/d/1EcLIvUgMoBC5as4ikW0wuQsGH5yVZ6cQ1y16qEfgPnk"",""BD M Sangrias!a:i""),""select Col6 whe"&amp;"re Col7 = 'Caixa Atendimento' and Col9 = '""&amp;K480&amp;""' and Col6 = ""&amp;M480&amp;"" and Col4 = date '""&amp;YEAR(C480)&amp;""-""&amp;MONTH(C480)&amp;""-""&amp;DAY(C480)&amp;""'""))&gt;0,""Caixa Atendimento"",""Caixa Sangria"")),""""),""Caixa Sangria"")"),"")</f>
        <v/>
      </c>
      <c r="M480" s="185" t="str">
        <f>IFERROR(__xludf.DUMMYFUNCTION("ifna(VALUE(REGEXEXTRACT(E480,""[0-9.]+[,]+[0-9]+"")))"),"")</f>
        <v/>
      </c>
      <c r="N480" s="185"/>
      <c r="O480" s="185"/>
      <c r="P480" s="185"/>
      <c r="Q480" s="185"/>
      <c r="R480" s="185"/>
      <c r="S480" s="185"/>
      <c r="T480" s="185"/>
      <c r="U480" s="185"/>
      <c r="V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184" t="str">
        <f>IFERROR(__xludf.DUMMYFUNCTION("ifna(IF(and(D481=""Saída"",J481=""Sangria""),if(sum(QUERY(IMPORTRANGE(""https://docs.google.com/spreadsheets/d/1E4szPcLzsqlw4uyBAoJ61L1ChCgpz4wVP8tHfHW1g_c"",""BD M Sangrias!a:i""),""select Col6 where Col7 = 'Depositada' and Col9 = '""&amp;K481&amp;""' and Col6 ="&amp;" ""&amp;M481&amp;"" and Col4 = date '""&amp;YEAR(C481)&amp;""-""&amp;MONTH(C481)&amp;""-""&amp;DAY(C481)&amp;""'""))&gt;0,""Depositada"",if(sum(QUERY(IMPORTRANGE(""https://docs.google.com/spreadsheets/d/1EcLIvUgMoBC5as4ikW0wuQsGH5yVZ6cQ1y16qEfgPnk"",""BD M Sangrias!a:i""),""select Col6 whe"&amp;"re Col7 = 'Caixa Atendimento' and Col9 = '""&amp;K481&amp;""' and Col6 = ""&amp;M481&amp;"" and Col4 = date '""&amp;YEAR(C481)&amp;""-""&amp;MONTH(C481)&amp;""-""&amp;DAY(C481)&amp;""'""))&gt;0,""Caixa Atendimento"",""Caixa Sangria"")),""""),""Caixa Sangria"")"),"")</f>
        <v/>
      </c>
      <c r="M481" s="185" t="str">
        <f>IFERROR(__xludf.DUMMYFUNCTION("ifna(VALUE(REGEXEXTRACT(E481,""[0-9.]+[,]+[0-9]+"")))"),"")</f>
        <v/>
      </c>
      <c r="N481" s="185"/>
      <c r="O481" s="185"/>
      <c r="P481" s="185"/>
      <c r="Q481" s="185"/>
      <c r="R481" s="185"/>
      <c r="S481" s="185"/>
      <c r="T481" s="185"/>
      <c r="U481" s="185"/>
      <c r="V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184" t="str">
        <f>IFERROR(__xludf.DUMMYFUNCTION("ifna(IF(and(D482=""Saída"",J482=""Sangria""),if(sum(QUERY(IMPORTRANGE(""https://docs.google.com/spreadsheets/d/1E4szPcLzsqlw4uyBAoJ61L1ChCgpz4wVP8tHfHW1g_c"",""BD M Sangrias!a:i""),""select Col6 where Col7 = 'Depositada' and Col9 = '""&amp;K482&amp;""' and Col6 ="&amp;" ""&amp;M482&amp;"" and Col4 = date '""&amp;YEAR(C482)&amp;""-""&amp;MONTH(C482)&amp;""-""&amp;DAY(C482)&amp;""'""))&gt;0,""Depositada"",if(sum(QUERY(IMPORTRANGE(""https://docs.google.com/spreadsheets/d/1EcLIvUgMoBC5as4ikW0wuQsGH5yVZ6cQ1y16qEfgPnk"",""BD M Sangrias!a:i""),""select Col6 whe"&amp;"re Col7 = 'Caixa Atendimento' and Col9 = '""&amp;K482&amp;""' and Col6 = ""&amp;M482&amp;"" and Col4 = date '""&amp;YEAR(C482)&amp;""-""&amp;MONTH(C482)&amp;""-""&amp;DAY(C482)&amp;""'""))&gt;0,""Caixa Atendimento"",""Caixa Sangria"")),""""),""Caixa Sangria"")"),"")</f>
        <v/>
      </c>
      <c r="M482" s="185" t="str">
        <f>IFERROR(__xludf.DUMMYFUNCTION("ifna(VALUE(REGEXEXTRACT(E482,""[0-9.]+[,]+[0-9]+"")))"),"")</f>
        <v/>
      </c>
      <c r="N482" s="185"/>
      <c r="O482" s="185"/>
      <c r="P482" s="185"/>
      <c r="Q482" s="185"/>
      <c r="R482" s="185"/>
      <c r="S482" s="185"/>
      <c r="T482" s="185"/>
      <c r="U482" s="185"/>
      <c r="V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184" t="str">
        <f>IFERROR(__xludf.DUMMYFUNCTION("ifna(IF(and(D483=""Saída"",J483=""Sangria""),if(sum(QUERY(IMPORTRANGE(""https://docs.google.com/spreadsheets/d/1E4szPcLzsqlw4uyBAoJ61L1ChCgpz4wVP8tHfHW1g_c"",""BD M Sangrias!a:i""),""select Col6 where Col7 = 'Depositada' and Col9 = '""&amp;K483&amp;""' and Col6 ="&amp;" ""&amp;M483&amp;"" and Col4 = date '""&amp;YEAR(C483)&amp;""-""&amp;MONTH(C483)&amp;""-""&amp;DAY(C483)&amp;""'""))&gt;0,""Depositada"",if(sum(QUERY(IMPORTRANGE(""https://docs.google.com/spreadsheets/d/1EcLIvUgMoBC5as4ikW0wuQsGH5yVZ6cQ1y16qEfgPnk"",""BD M Sangrias!a:i""),""select Col6 whe"&amp;"re Col7 = 'Caixa Atendimento' and Col9 = '""&amp;K483&amp;""' and Col6 = ""&amp;M483&amp;"" and Col4 = date '""&amp;YEAR(C483)&amp;""-""&amp;MONTH(C483)&amp;""-""&amp;DAY(C483)&amp;""'""))&gt;0,""Caixa Atendimento"",""Caixa Sangria"")),""""),""Caixa Sangria"")"),"")</f>
        <v/>
      </c>
      <c r="M483" s="185" t="str">
        <f>IFERROR(__xludf.DUMMYFUNCTION("ifna(VALUE(REGEXEXTRACT(E483,""[0-9.]+[,]+[0-9]+"")))"),"")</f>
        <v/>
      </c>
      <c r="N483" s="185"/>
      <c r="O483" s="185"/>
      <c r="P483" s="185"/>
      <c r="Q483" s="185"/>
      <c r="R483" s="185"/>
      <c r="S483" s="185"/>
      <c r="T483" s="185"/>
      <c r="U483" s="185"/>
      <c r="V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184" t="str">
        <f>IFERROR(__xludf.DUMMYFUNCTION("ifna(IF(and(D484=""Saída"",J484=""Sangria""),if(sum(QUERY(IMPORTRANGE(""https://docs.google.com/spreadsheets/d/1E4szPcLzsqlw4uyBAoJ61L1ChCgpz4wVP8tHfHW1g_c"",""BD M Sangrias!a:i""),""select Col6 where Col7 = 'Depositada' and Col9 = '""&amp;K484&amp;""' and Col6 ="&amp;" ""&amp;M484&amp;"" and Col4 = date '""&amp;YEAR(C484)&amp;""-""&amp;MONTH(C484)&amp;""-""&amp;DAY(C484)&amp;""'""))&gt;0,""Depositada"",if(sum(QUERY(IMPORTRANGE(""https://docs.google.com/spreadsheets/d/1EcLIvUgMoBC5as4ikW0wuQsGH5yVZ6cQ1y16qEfgPnk"",""BD M Sangrias!a:i""),""select Col6 whe"&amp;"re Col7 = 'Caixa Atendimento' and Col9 = '""&amp;K484&amp;""' and Col6 = ""&amp;M484&amp;"" and Col4 = date '""&amp;YEAR(C484)&amp;""-""&amp;MONTH(C484)&amp;""-""&amp;DAY(C484)&amp;""'""))&gt;0,""Caixa Atendimento"",""Caixa Sangria"")),""""),""Caixa Sangria"")"),"")</f>
        <v/>
      </c>
      <c r="M484" s="185" t="str">
        <f>IFERROR(__xludf.DUMMYFUNCTION("ifna(VALUE(REGEXEXTRACT(E484,""[0-9.]+[,]+[0-9]+"")))"),"")</f>
        <v/>
      </c>
      <c r="N484" s="185"/>
      <c r="O484" s="185"/>
      <c r="P484" s="185"/>
      <c r="Q484" s="185"/>
      <c r="R484" s="185"/>
      <c r="S484" s="185"/>
      <c r="T484" s="185"/>
      <c r="U484" s="185"/>
      <c r="V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184" t="str">
        <f>IFERROR(__xludf.DUMMYFUNCTION("ifna(IF(and(D485=""Saída"",J485=""Sangria""),if(sum(QUERY(IMPORTRANGE(""https://docs.google.com/spreadsheets/d/1E4szPcLzsqlw4uyBAoJ61L1ChCgpz4wVP8tHfHW1g_c"",""BD M Sangrias!a:i""),""select Col6 where Col7 = 'Depositada' and Col9 = '""&amp;K485&amp;""' and Col6 ="&amp;" ""&amp;M485&amp;"" and Col4 = date '""&amp;YEAR(C485)&amp;""-""&amp;MONTH(C485)&amp;""-""&amp;DAY(C485)&amp;""'""))&gt;0,""Depositada"",if(sum(QUERY(IMPORTRANGE(""https://docs.google.com/spreadsheets/d/1EcLIvUgMoBC5as4ikW0wuQsGH5yVZ6cQ1y16qEfgPnk"",""BD M Sangrias!a:i""),""select Col6 whe"&amp;"re Col7 = 'Caixa Atendimento' and Col9 = '""&amp;K485&amp;""' and Col6 = ""&amp;M485&amp;"" and Col4 = date '""&amp;YEAR(C485)&amp;""-""&amp;MONTH(C485)&amp;""-""&amp;DAY(C485)&amp;""'""))&gt;0,""Caixa Atendimento"",""Caixa Sangria"")),""""),""Caixa Sangria"")"),"")</f>
        <v/>
      </c>
      <c r="M485" s="185" t="str">
        <f>IFERROR(__xludf.DUMMYFUNCTION("ifna(VALUE(REGEXEXTRACT(E485,""[0-9.]+[,]+[0-9]+"")))"),"")</f>
        <v/>
      </c>
      <c r="N485" s="185"/>
      <c r="O485" s="185"/>
      <c r="P485" s="185"/>
      <c r="Q485" s="185"/>
      <c r="R485" s="185"/>
      <c r="S485" s="185"/>
      <c r="T485" s="185"/>
      <c r="U485" s="185"/>
      <c r="V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184" t="str">
        <f>IFERROR(__xludf.DUMMYFUNCTION("ifna(IF(and(D486=""Saída"",J486=""Sangria""),if(sum(QUERY(IMPORTRANGE(""https://docs.google.com/spreadsheets/d/1E4szPcLzsqlw4uyBAoJ61L1ChCgpz4wVP8tHfHW1g_c"",""BD M Sangrias!a:i""),""select Col6 where Col7 = 'Depositada' and Col9 = '""&amp;K486&amp;""' and Col6 ="&amp;" ""&amp;M486&amp;"" and Col4 = date '""&amp;YEAR(C486)&amp;""-""&amp;MONTH(C486)&amp;""-""&amp;DAY(C486)&amp;""'""))&gt;0,""Depositada"",if(sum(QUERY(IMPORTRANGE(""https://docs.google.com/spreadsheets/d/1EcLIvUgMoBC5as4ikW0wuQsGH5yVZ6cQ1y16qEfgPnk"",""BD M Sangrias!a:i""),""select Col6 whe"&amp;"re Col7 = 'Caixa Atendimento' and Col9 = '""&amp;K486&amp;""' and Col6 = ""&amp;M486&amp;"" and Col4 = date '""&amp;YEAR(C486)&amp;""-""&amp;MONTH(C486)&amp;""-""&amp;DAY(C486)&amp;""'""))&gt;0,""Caixa Atendimento"",""Caixa Sangria"")),""""),""Caixa Sangria"")"),"")</f>
        <v/>
      </c>
      <c r="M486" s="185" t="str">
        <f>IFERROR(__xludf.DUMMYFUNCTION("ifna(VALUE(REGEXEXTRACT(E486,""[0-9.]+[,]+[0-9]+"")))"),"")</f>
        <v/>
      </c>
      <c r="N486" s="185"/>
      <c r="O486" s="185"/>
      <c r="P486" s="185"/>
      <c r="Q486" s="185"/>
      <c r="R486" s="185"/>
      <c r="S486" s="185"/>
      <c r="T486" s="185"/>
      <c r="U486" s="185"/>
      <c r="V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184" t="str">
        <f>IFERROR(__xludf.DUMMYFUNCTION("ifna(IF(and(D487=""Saída"",J487=""Sangria""),if(sum(QUERY(IMPORTRANGE(""https://docs.google.com/spreadsheets/d/1E4szPcLzsqlw4uyBAoJ61L1ChCgpz4wVP8tHfHW1g_c"",""BD M Sangrias!a:i""),""select Col6 where Col7 = 'Depositada' and Col9 = '""&amp;K487&amp;""' and Col6 ="&amp;" ""&amp;M487&amp;"" and Col4 = date '""&amp;YEAR(C487)&amp;""-""&amp;MONTH(C487)&amp;""-""&amp;DAY(C487)&amp;""'""))&gt;0,""Depositada"",if(sum(QUERY(IMPORTRANGE(""https://docs.google.com/spreadsheets/d/1EcLIvUgMoBC5as4ikW0wuQsGH5yVZ6cQ1y16qEfgPnk"",""BD M Sangrias!a:i""),""select Col6 whe"&amp;"re Col7 = 'Caixa Atendimento' and Col9 = '""&amp;K487&amp;""' and Col6 = ""&amp;M487&amp;"" and Col4 = date '""&amp;YEAR(C487)&amp;""-""&amp;MONTH(C487)&amp;""-""&amp;DAY(C487)&amp;""'""))&gt;0,""Caixa Atendimento"",""Caixa Sangria"")),""""),""Caixa Sangria"")"),"")</f>
        <v/>
      </c>
      <c r="M487" s="185" t="str">
        <f>IFERROR(__xludf.DUMMYFUNCTION("ifna(VALUE(REGEXEXTRACT(E487,""[0-9.]+[,]+[0-9]+"")))"),"")</f>
        <v/>
      </c>
      <c r="N487" s="185"/>
      <c r="O487" s="185"/>
      <c r="P487" s="185"/>
      <c r="Q487" s="185"/>
      <c r="R487" s="185"/>
      <c r="S487" s="185"/>
      <c r="T487" s="185"/>
      <c r="U487" s="185"/>
      <c r="V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184" t="str">
        <f>IFERROR(__xludf.DUMMYFUNCTION("ifna(IF(and(D488=""Saída"",J488=""Sangria""),if(sum(QUERY(IMPORTRANGE(""https://docs.google.com/spreadsheets/d/1E4szPcLzsqlw4uyBAoJ61L1ChCgpz4wVP8tHfHW1g_c"",""BD M Sangrias!a:i""),""select Col6 where Col7 = 'Depositada' and Col9 = '""&amp;K488&amp;""' and Col6 ="&amp;" ""&amp;M488&amp;"" and Col4 = date '""&amp;YEAR(C488)&amp;""-""&amp;MONTH(C488)&amp;""-""&amp;DAY(C488)&amp;""'""))&gt;0,""Depositada"",if(sum(QUERY(IMPORTRANGE(""https://docs.google.com/spreadsheets/d/1EcLIvUgMoBC5as4ikW0wuQsGH5yVZ6cQ1y16qEfgPnk"",""BD M Sangrias!a:i""),""select Col6 whe"&amp;"re Col7 = 'Caixa Atendimento' and Col9 = '""&amp;K488&amp;""' and Col6 = ""&amp;M488&amp;"" and Col4 = date '""&amp;YEAR(C488)&amp;""-""&amp;MONTH(C488)&amp;""-""&amp;DAY(C488)&amp;""'""))&gt;0,""Caixa Atendimento"",""Caixa Sangria"")),""""),""Caixa Sangria"")"),"")</f>
        <v/>
      </c>
      <c r="M488" s="185" t="str">
        <f>IFERROR(__xludf.DUMMYFUNCTION("ifna(VALUE(REGEXEXTRACT(E488,""[0-9.]+[,]+[0-9]+"")))"),"")</f>
        <v/>
      </c>
      <c r="N488" s="185"/>
      <c r="O488" s="185"/>
      <c r="P488" s="185"/>
      <c r="Q488" s="185"/>
      <c r="R488" s="185"/>
      <c r="S488" s="185"/>
      <c r="T488" s="185"/>
      <c r="U488" s="185"/>
      <c r="V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184" t="str">
        <f>IFERROR(__xludf.DUMMYFUNCTION("ifna(IF(and(D489=""Saída"",J489=""Sangria""),if(sum(QUERY(IMPORTRANGE(""https://docs.google.com/spreadsheets/d/1E4szPcLzsqlw4uyBAoJ61L1ChCgpz4wVP8tHfHW1g_c"",""BD M Sangrias!a:i""),""select Col6 where Col7 = 'Depositada' and Col9 = '""&amp;K489&amp;""' and Col6 ="&amp;" ""&amp;M489&amp;"" and Col4 = date '""&amp;YEAR(C489)&amp;""-""&amp;MONTH(C489)&amp;""-""&amp;DAY(C489)&amp;""'""))&gt;0,""Depositada"",if(sum(QUERY(IMPORTRANGE(""https://docs.google.com/spreadsheets/d/1EcLIvUgMoBC5as4ikW0wuQsGH5yVZ6cQ1y16qEfgPnk"",""BD M Sangrias!a:i""),""select Col6 whe"&amp;"re Col7 = 'Caixa Atendimento' and Col9 = '""&amp;K489&amp;""' and Col6 = ""&amp;M489&amp;"" and Col4 = date '""&amp;YEAR(C489)&amp;""-""&amp;MONTH(C489)&amp;""-""&amp;DAY(C489)&amp;""'""))&gt;0,""Caixa Atendimento"",""Caixa Sangria"")),""""),""Caixa Sangria"")"),"")</f>
        <v/>
      </c>
      <c r="M489" s="185" t="str">
        <f>IFERROR(__xludf.DUMMYFUNCTION("ifna(VALUE(REGEXEXTRACT(E489,""[0-9.]+[,]+[0-9]+"")))"),"")</f>
        <v/>
      </c>
      <c r="N489" s="185"/>
      <c r="O489" s="185"/>
      <c r="P489" s="185"/>
      <c r="Q489" s="185"/>
      <c r="R489" s="185"/>
      <c r="S489" s="185"/>
      <c r="T489" s="185"/>
      <c r="U489" s="185"/>
      <c r="V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184" t="str">
        <f>IFERROR(__xludf.DUMMYFUNCTION("ifna(IF(and(D490=""Saída"",J490=""Sangria""),if(sum(QUERY(IMPORTRANGE(""https://docs.google.com/spreadsheets/d/1E4szPcLzsqlw4uyBAoJ61L1ChCgpz4wVP8tHfHW1g_c"",""BD M Sangrias!a:i""),""select Col6 where Col7 = 'Depositada' and Col9 = '""&amp;K490&amp;""' and Col6 ="&amp;" ""&amp;M490&amp;"" and Col4 = date '""&amp;YEAR(C490)&amp;""-""&amp;MONTH(C490)&amp;""-""&amp;DAY(C490)&amp;""'""))&gt;0,""Depositada"",if(sum(QUERY(IMPORTRANGE(""https://docs.google.com/spreadsheets/d/1EcLIvUgMoBC5as4ikW0wuQsGH5yVZ6cQ1y16qEfgPnk"",""BD M Sangrias!a:i""),""select Col6 whe"&amp;"re Col7 = 'Caixa Atendimento' and Col9 = '""&amp;K490&amp;""' and Col6 = ""&amp;M490&amp;"" and Col4 = date '""&amp;YEAR(C490)&amp;""-""&amp;MONTH(C490)&amp;""-""&amp;DAY(C490)&amp;""'""))&gt;0,""Caixa Atendimento"",""Caixa Sangria"")),""""),""Caixa Sangria"")"),"")</f>
        <v/>
      </c>
      <c r="M490" s="185" t="str">
        <f>IFERROR(__xludf.DUMMYFUNCTION("ifna(VALUE(REGEXEXTRACT(E490,""[0-9.]+[,]+[0-9]+"")))"),"")</f>
        <v/>
      </c>
      <c r="N490" s="185"/>
      <c r="O490" s="185"/>
      <c r="P490" s="185"/>
      <c r="Q490" s="185"/>
      <c r="R490" s="185"/>
      <c r="S490" s="185"/>
      <c r="T490" s="185"/>
      <c r="U490" s="185"/>
      <c r="V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184" t="str">
        <f>IFERROR(__xludf.DUMMYFUNCTION("ifna(IF(and(D491=""Saída"",J491=""Sangria""),if(sum(QUERY(IMPORTRANGE(""https://docs.google.com/spreadsheets/d/1E4szPcLzsqlw4uyBAoJ61L1ChCgpz4wVP8tHfHW1g_c"",""BD M Sangrias!a:i""),""select Col6 where Col7 = 'Depositada' and Col9 = '""&amp;K491&amp;""' and Col6 ="&amp;" ""&amp;M491&amp;"" and Col4 = date '""&amp;YEAR(C491)&amp;""-""&amp;MONTH(C491)&amp;""-""&amp;DAY(C491)&amp;""'""))&gt;0,""Depositada"",if(sum(QUERY(IMPORTRANGE(""https://docs.google.com/spreadsheets/d/1EcLIvUgMoBC5as4ikW0wuQsGH5yVZ6cQ1y16qEfgPnk"",""BD M Sangrias!a:i""),""select Col6 whe"&amp;"re Col7 = 'Caixa Atendimento' and Col9 = '""&amp;K491&amp;""' and Col6 = ""&amp;M491&amp;"" and Col4 = date '""&amp;YEAR(C491)&amp;""-""&amp;MONTH(C491)&amp;""-""&amp;DAY(C491)&amp;""'""))&gt;0,""Caixa Atendimento"",""Caixa Sangria"")),""""),""Caixa Sangria"")"),"")</f>
        <v/>
      </c>
      <c r="M491" s="185" t="str">
        <f>IFERROR(__xludf.DUMMYFUNCTION("ifna(VALUE(REGEXEXTRACT(E491,""[0-9.]+[,]+[0-9]+"")))"),"")</f>
        <v/>
      </c>
      <c r="N491" s="185"/>
      <c r="O491" s="185"/>
      <c r="P491" s="185"/>
      <c r="Q491" s="185"/>
      <c r="R491" s="185"/>
      <c r="S491" s="185"/>
      <c r="T491" s="185"/>
      <c r="U491" s="185"/>
      <c r="V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184" t="str">
        <f>IFERROR(__xludf.DUMMYFUNCTION("ifna(IF(and(D492=""Saída"",J492=""Sangria""),if(sum(QUERY(IMPORTRANGE(""https://docs.google.com/spreadsheets/d/1E4szPcLzsqlw4uyBAoJ61L1ChCgpz4wVP8tHfHW1g_c"",""BD M Sangrias!a:i""),""select Col6 where Col7 = 'Depositada' and Col9 = '""&amp;K492&amp;""' and Col6 ="&amp;" ""&amp;M492&amp;"" and Col4 = date '""&amp;YEAR(C492)&amp;""-""&amp;MONTH(C492)&amp;""-""&amp;DAY(C492)&amp;""'""))&gt;0,""Depositada"",if(sum(QUERY(IMPORTRANGE(""https://docs.google.com/spreadsheets/d/1EcLIvUgMoBC5as4ikW0wuQsGH5yVZ6cQ1y16qEfgPnk"",""BD M Sangrias!a:i""),""select Col6 whe"&amp;"re Col7 = 'Caixa Atendimento' and Col9 = '""&amp;K492&amp;""' and Col6 = ""&amp;M492&amp;"" and Col4 = date '""&amp;YEAR(C492)&amp;""-""&amp;MONTH(C492)&amp;""-""&amp;DAY(C492)&amp;""'""))&gt;0,""Caixa Atendimento"",""Caixa Sangria"")),""""),""Caixa Sangria"")"),"")</f>
        <v/>
      </c>
      <c r="M492" s="185" t="str">
        <f>IFERROR(__xludf.DUMMYFUNCTION("ifna(VALUE(REGEXEXTRACT(E492,""[0-9.]+[,]+[0-9]+"")))"),"")</f>
        <v/>
      </c>
      <c r="N492" s="185"/>
      <c r="O492" s="185"/>
      <c r="P492" s="185"/>
      <c r="Q492" s="185"/>
      <c r="R492" s="185"/>
      <c r="S492" s="185"/>
      <c r="T492" s="185"/>
      <c r="U492" s="185"/>
      <c r="V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184" t="str">
        <f>IFERROR(__xludf.DUMMYFUNCTION("ifna(IF(and(D493=""Saída"",J493=""Sangria""),if(sum(QUERY(IMPORTRANGE(""https://docs.google.com/spreadsheets/d/1E4szPcLzsqlw4uyBAoJ61L1ChCgpz4wVP8tHfHW1g_c"",""BD M Sangrias!a:i""),""select Col6 where Col7 = 'Depositada' and Col9 = '""&amp;K493&amp;""' and Col6 ="&amp;" ""&amp;M493&amp;"" and Col4 = date '""&amp;YEAR(C493)&amp;""-""&amp;MONTH(C493)&amp;""-""&amp;DAY(C493)&amp;""'""))&gt;0,""Depositada"",if(sum(QUERY(IMPORTRANGE(""https://docs.google.com/spreadsheets/d/1EcLIvUgMoBC5as4ikW0wuQsGH5yVZ6cQ1y16qEfgPnk"",""BD M Sangrias!a:i""),""select Col6 whe"&amp;"re Col7 = 'Caixa Atendimento' and Col9 = '""&amp;K493&amp;""' and Col6 = ""&amp;M493&amp;"" and Col4 = date '""&amp;YEAR(C493)&amp;""-""&amp;MONTH(C493)&amp;""-""&amp;DAY(C493)&amp;""'""))&gt;0,""Caixa Atendimento"",""Caixa Sangria"")),""""),""Caixa Sangria"")"),"")</f>
        <v/>
      </c>
      <c r="M493" s="185" t="str">
        <f>IFERROR(__xludf.DUMMYFUNCTION("ifna(VALUE(REGEXEXTRACT(E493,""[0-9.]+[,]+[0-9]+"")))"),"")</f>
        <v/>
      </c>
      <c r="N493" s="185"/>
      <c r="O493" s="185"/>
      <c r="P493" s="185"/>
      <c r="Q493" s="185"/>
      <c r="R493" s="185"/>
      <c r="S493" s="185"/>
      <c r="T493" s="185"/>
      <c r="U493" s="185"/>
      <c r="V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184" t="str">
        <f>IFERROR(__xludf.DUMMYFUNCTION("ifna(IF(and(D494=""Saída"",J494=""Sangria""),if(sum(QUERY(IMPORTRANGE(""https://docs.google.com/spreadsheets/d/1E4szPcLzsqlw4uyBAoJ61L1ChCgpz4wVP8tHfHW1g_c"",""BD M Sangrias!a:i""),""select Col6 where Col7 = 'Depositada' and Col9 = '""&amp;K494&amp;""' and Col6 ="&amp;" ""&amp;M494&amp;"" and Col4 = date '""&amp;YEAR(C494)&amp;""-""&amp;MONTH(C494)&amp;""-""&amp;DAY(C494)&amp;""'""))&gt;0,""Depositada"",if(sum(QUERY(IMPORTRANGE(""https://docs.google.com/spreadsheets/d/1EcLIvUgMoBC5as4ikW0wuQsGH5yVZ6cQ1y16qEfgPnk"",""BD M Sangrias!a:i""),""select Col6 whe"&amp;"re Col7 = 'Caixa Atendimento' and Col9 = '""&amp;K494&amp;""' and Col6 = ""&amp;M494&amp;"" and Col4 = date '""&amp;YEAR(C494)&amp;""-""&amp;MONTH(C494)&amp;""-""&amp;DAY(C494)&amp;""'""))&gt;0,""Caixa Atendimento"",""Caixa Sangria"")),""""),""Caixa Sangria"")"),"")</f>
        <v/>
      </c>
      <c r="M494" s="185" t="str">
        <f>IFERROR(__xludf.DUMMYFUNCTION("ifna(VALUE(REGEXEXTRACT(E494,""[0-9.]+[,]+[0-9]+"")))"),"")</f>
        <v/>
      </c>
      <c r="N494" s="185"/>
      <c r="O494" s="185"/>
      <c r="P494" s="185"/>
      <c r="Q494" s="185"/>
      <c r="R494" s="185"/>
      <c r="S494" s="185"/>
      <c r="T494" s="185"/>
      <c r="U494" s="185"/>
      <c r="V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184" t="str">
        <f>IFERROR(__xludf.DUMMYFUNCTION("ifna(IF(and(D495=""Saída"",J495=""Sangria""),if(sum(QUERY(IMPORTRANGE(""https://docs.google.com/spreadsheets/d/1E4szPcLzsqlw4uyBAoJ61L1ChCgpz4wVP8tHfHW1g_c"",""BD M Sangrias!a:i""),""select Col6 where Col7 = 'Depositada' and Col9 = '""&amp;K495&amp;""' and Col6 ="&amp;" ""&amp;M495&amp;"" and Col4 = date '""&amp;YEAR(C495)&amp;""-""&amp;MONTH(C495)&amp;""-""&amp;DAY(C495)&amp;""'""))&gt;0,""Depositada"",if(sum(QUERY(IMPORTRANGE(""https://docs.google.com/spreadsheets/d/1EcLIvUgMoBC5as4ikW0wuQsGH5yVZ6cQ1y16qEfgPnk"",""BD M Sangrias!a:i""),""select Col6 whe"&amp;"re Col7 = 'Caixa Atendimento' and Col9 = '""&amp;K495&amp;""' and Col6 = ""&amp;M495&amp;"" and Col4 = date '""&amp;YEAR(C495)&amp;""-""&amp;MONTH(C495)&amp;""-""&amp;DAY(C495)&amp;""'""))&gt;0,""Caixa Atendimento"",""Caixa Sangria"")),""""),""Caixa Sangria"")"),"")</f>
        <v/>
      </c>
      <c r="M495" s="185" t="str">
        <f>IFERROR(__xludf.DUMMYFUNCTION("ifna(VALUE(REGEXEXTRACT(E495,""[0-9.]+[,]+[0-9]+"")))"),"")</f>
        <v/>
      </c>
      <c r="N495" s="185"/>
      <c r="O495" s="185"/>
      <c r="P495" s="185"/>
      <c r="Q495" s="185"/>
      <c r="R495" s="185"/>
      <c r="S495" s="185"/>
      <c r="T495" s="185"/>
      <c r="U495" s="185"/>
      <c r="V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184" t="str">
        <f>IFERROR(__xludf.DUMMYFUNCTION("ifna(IF(and(D496=""Saída"",J496=""Sangria""),if(sum(QUERY(IMPORTRANGE(""https://docs.google.com/spreadsheets/d/1E4szPcLzsqlw4uyBAoJ61L1ChCgpz4wVP8tHfHW1g_c"",""BD M Sangrias!a:i""),""select Col6 where Col7 = 'Depositada' and Col9 = '""&amp;K496&amp;""' and Col6 ="&amp;" ""&amp;M496&amp;"" and Col4 = date '""&amp;YEAR(C496)&amp;""-""&amp;MONTH(C496)&amp;""-""&amp;DAY(C496)&amp;""'""))&gt;0,""Depositada"",if(sum(QUERY(IMPORTRANGE(""https://docs.google.com/spreadsheets/d/1EcLIvUgMoBC5as4ikW0wuQsGH5yVZ6cQ1y16qEfgPnk"",""BD M Sangrias!a:i""),""select Col6 whe"&amp;"re Col7 = 'Caixa Atendimento' and Col9 = '""&amp;K496&amp;""' and Col6 = ""&amp;M496&amp;"" and Col4 = date '""&amp;YEAR(C496)&amp;""-""&amp;MONTH(C496)&amp;""-""&amp;DAY(C496)&amp;""'""))&gt;0,""Caixa Atendimento"",""Caixa Sangria"")),""""),""Caixa Sangria"")"),"")</f>
        <v/>
      </c>
      <c r="M496" s="185" t="str">
        <f>IFERROR(__xludf.DUMMYFUNCTION("ifna(VALUE(REGEXEXTRACT(E496,""[0-9.]+[,]+[0-9]+"")))"),"")</f>
        <v/>
      </c>
      <c r="N496" s="185"/>
      <c r="O496" s="185"/>
      <c r="P496" s="185"/>
      <c r="Q496" s="185"/>
      <c r="R496" s="185"/>
      <c r="S496" s="185"/>
      <c r="T496" s="185"/>
      <c r="U496" s="185"/>
      <c r="V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184" t="str">
        <f>IFERROR(__xludf.DUMMYFUNCTION("ifna(IF(and(D497=""Saída"",J497=""Sangria""),if(sum(QUERY(IMPORTRANGE(""https://docs.google.com/spreadsheets/d/1E4szPcLzsqlw4uyBAoJ61L1ChCgpz4wVP8tHfHW1g_c"",""BD M Sangrias!a:i""),""select Col6 where Col7 = 'Depositada' and Col9 = '""&amp;K497&amp;""' and Col6 ="&amp;" ""&amp;M497&amp;"" and Col4 = date '""&amp;YEAR(C497)&amp;""-""&amp;MONTH(C497)&amp;""-""&amp;DAY(C497)&amp;""'""))&gt;0,""Depositada"",if(sum(QUERY(IMPORTRANGE(""https://docs.google.com/spreadsheets/d/1EcLIvUgMoBC5as4ikW0wuQsGH5yVZ6cQ1y16qEfgPnk"",""BD M Sangrias!a:i""),""select Col6 whe"&amp;"re Col7 = 'Caixa Atendimento' and Col9 = '""&amp;K497&amp;""' and Col6 = ""&amp;M497&amp;"" and Col4 = date '""&amp;YEAR(C497)&amp;""-""&amp;MONTH(C497)&amp;""-""&amp;DAY(C497)&amp;""'""))&gt;0,""Caixa Atendimento"",""Caixa Sangria"")),""""),""Caixa Sangria"")"),"")</f>
        <v/>
      </c>
      <c r="M497" s="185" t="str">
        <f>IFERROR(__xludf.DUMMYFUNCTION("ifna(VALUE(REGEXEXTRACT(E497,""[0-9.]+[,]+[0-9]+"")))"),"")</f>
        <v/>
      </c>
      <c r="N497" s="185"/>
      <c r="O497" s="185"/>
      <c r="P497" s="185"/>
      <c r="Q497" s="185"/>
      <c r="R497" s="185"/>
      <c r="S497" s="185"/>
      <c r="T497" s="185"/>
      <c r="U497" s="185"/>
      <c r="V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184" t="str">
        <f>IFERROR(__xludf.DUMMYFUNCTION("ifna(IF(and(D498=""Saída"",J498=""Sangria""),if(sum(QUERY(IMPORTRANGE(""https://docs.google.com/spreadsheets/d/1E4szPcLzsqlw4uyBAoJ61L1ChCgpz4wVP8tHfHW1g_c"",""BD M Sangrias!a:i""),""select Col6 where Col7 = 'Depositada' and Col9 = '""&amp;K498&amp;""' and Col6 ="&amp;" ""&amp;M498&amp;"" and Col4 = date '""&amp;YEAR(C498)&amp;""-""&amp;MONTH(C498)&amp;""-""&amp;DAY(C498)&amp;""'""))&gt;0,""Depositada"",if(sum(QUERY(IMPORTRANGE(""https://docs.google.com/spreadsheets/d/1EcLIvUgMoBC5as4ikW0wuQsGH5yVZ6cQ1y16qEfgPnk"",""BD M Sangrias!a:i""),""select Col6 whe"&amp;"re Col7 = 'Caixa Atendimento' and Col9 = '""&amp;K498&amp;""' and Col6 = ""&amp;M498&amp;"" and Col4 = date '""&amp;YEAR(C498)&amp;""-""&amp;MONTH(C498)&amp;""-""&amp;DAY(C498)&amp;""'""))&gt;0,""Caixa Atendimento"",""Caixa Sangria"")),""""),""Caixa Sangria"")"),"")</f>
        <v/>
      </c>
      <c r="M498" s="185" t="str">
        <f>IFERROR(__xludf.DUMMYFUNCTION("ifna(VALUE(REGEXEXTRACT(E498,""[0-9.]+[,]+[0-9]+"")))"),"")</f>
        <v/>
      </c>
      <c r="N498" s="185"/>
      <c r="O498" s="185"/>
      <c r="P498" s="185"/>
      <c r="Q498" s="185"/>
      <c r="R498" s="185"/>
      <c r="S498" s="185"/>
      <c r="T498" s="185"/>
      <c r="U498" s="185"/>
      <c r="V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184" t="str">
        <f>IFERROR(__xludf.DUMMYFUNCTION("ifna(IF(and(D499=""Saída"",J499=""Sangria""),if(sum(QUERY(IMPORTRANGE(""https://docs.google.com/spreadsheets/d/1E4szPcLzsqlw4uyBAoJ61L1ChCgpz4wVP8tHfHW1g_c"",""BD M Sangrias!a:i""),""select Col6 where Col7 = 'Depositada' and Col9 = '""&amp;K499&amp;""' and Col6 ="&amp;" ""&amp;M499&amp;"" and Col4 = date '""&amp;YEAR(C499)&amp;""-""&amp;MONTH(C499)&amp;""-""&amp;DAY(C499)&amp;""'""))&gt;0,""Depositada"",if(sum(QUERY(IMPORTRANGE(""https://docs.google.com/spreadsheets/d/1EcLIvUgMoBC5as4ikW0wuQsGH5yVZ6cQ1y16qEfgPnk"",""BD M Sangrias!a:i""),""select Col6 whe"&amp;"re Col7 = 'Caixa Atendimento' and Col9 = '""&amp;K499&amp;""' and Col6 = ""&amp;M499&amp;"" and Col4 = date '""&amp;YEAR(C499)&amp;""-""&amp;MONTH(C499)&amp;""-""&amp;DAY(C499)&amp;""'""))&gt;0,""Caixa Atendimento"",""Caixa Sangria"")),""""),""Caixa Sangria"")"),"")</f>
        <v/>
      </c>
      <c r="M499" s="185" t="str">
        <f>IFERROR(__xludf.DUMMYFUNCTION("ifna(VALUE(REGEXEXTRACT(E499,""[0-9.]+[,]+[0-9]+"")))"),"")</f>
        <v/>
      </c>
      <c r="N499" s="185"/>
      <c r="O499" s="185"/>
      <c r="P499" s="185"/>
      <c r="Q499" s="185"/>
      <c r="R499" s="185"/>
      <c r="S499" s="185"/>
      <c r="T499" s="185"/>
      <c r="U499" s="185"/>
      <c r="V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184" t="str">
        <f>IFERROR(__xludf.DUMMYFUNCTION("ifna(IF(and(D500=""Saída"",J500=""Sangria""),if(sum(QUERY(IMPORTRANGE(""https://docs.google.com/spreadsheets/d/1E4szPcLzsqlw4uyBAoJ61L1ChCgpz4wVP8tHfHW1g_c"",""BD M Sangrias!a:i""),""select Col6 where Col7 = 'Depositada' and Col9 = '""&amp;K500&amp;""' and Col6 ="&amp;" ""&amp;M500&amp;"" and Col4 = date '""&amp;YEAR(C500)&amp;""-""&amp;MONTH(C500)&amp;""-""&amp;DAY(C500)&amp;""'""))&gt;0,""Depositada"",if(sum(QUERY(IMPORTRANGE(""https://docs.google.com/spreadsheets/d/1EcLIvUgMoBC5as4ikW0wuQsGH5yVZ6cQ1y16qEfgPnk"",""BD M Sangrias!a:i""),""select Col6 whe"&amp;"re Col7 = 'Caixa Atendimento' and Col9 = '""&amp;K500&amp;""' and Col6 = ""&amp;M500&amp;"" and Col4 = date '""&amp;YEAR(C500)&amp;""-""&amp;MONTH(C500)&amp;""-""&amp;DAY(C500)&amp;""'""))&gt;0,""Caixa Atendimento"",""Caixa Sangria"")),""""),""Caixa Sangria"")"),"")</f>
        <v/>
      </c>
      <c r="M500" s="185" t="str">
        <f>IFERROR(__xludf.DUMMYFUNCTION("ifna(VALUE(REGEXEXTRACT(E500,""[0-9.]+[,]+[0-9]+"")))"),"")</f>
        <v/>
      </c>
      <c r="N500" s="185"/>
      <c r="O500" s="185"/>
      <c r="P500" s="185"/>
      <c r="Q500" s="185"/>
      <c r="R500" s="185"/>
      <c r="S500" s="185"/>
      <c r="T500" s="185"/>
      <c r="U500" s="185"/>
      <c r="V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184" t="str">
        <f>IFERROR(__xludf.DUMMYFUNCTION("ifna(IF(and(D501=""Saída"",J501=""Sangria""),if(sum(QUERY(IMPORTRANGE(""https://docs.google.com/spreadsheets/d/1E4szPcLzsqlw4uyBAoJ61L1ChCgpz4wVP8tHfHW1g_c"",""BD M Sangrias!a:i""),""select Col6 where Col7 = 'Depositada' and Col9 = '""&amp;K501&amp;""' and Col6 ="&amp;" ""&amp;M501&amp;"" and Col4 = date '""&amp;YEAR(C501)&amp;""-""&amp;MONTH(C501)&amp;""-""&amp;DAY(C501)&amp;""'""))&gt;0,""Depositada"",if(sum(QUERY(IMPORTRANGE(""https://docs.google.com/spreadsheets/d/1EcLIvUgMoBC5as4ikW0wuQsGH5yVZ6cQ1y16qEfgPnk"",""BD M Sangrias!a:i""),""select Col6 whe"&amp;"re Col7 = 'Caixa Atendimento' and Col9 = '""&amp;K501&amp;""' and Col6 = ""&amp;M501&amp;"" and Col4 = date '""&amp;YEAR(C501)&amp;""-""&amp;MONTH(C501)&amp;""-""&amp;DAY(C501)&amp;""'""))&gt;0,""Caixa Atendimento"",""Caixa Sangria"")),""""),""Caixa Sangria"")"),"")</f>
        <v/>
      </c>
      <c r="M501" s="185" t="str">
        <f>IFERROR(__xludf.DUMMYFUNCTION("ifna(VALUE(REGEXEXTRACT(E501,""[0-9.]+[,]+[0-9]+"")))"),"")</f>
        <v/>
      </c>
      <c r="N501" s="185"/>
      <c r="O501" s="185"/>
      <c r="P501" s="185"/>
      <c r="Q501" s="185"/>
      <c r="R501" s="185"/>
      <c r="S501" s="185"/>
      <c r="T501" s="185"/>
      <c r="U501" s="185"/>
      <c r="V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184" t="str">
        <f>IFERROR(__xludf.DUMMYFUNCTION("ifna(IF(and(D502=""Saída"",J502=""Sangria""),if(sum(QUERY(IMPORTRANGE(""https://docs.google.com/spreadsheets/d/1E4szPcLzsqlw4uyBAoJ61L1ChCgpz4wVP8tHfHW1g_c"",""BD M Sangrias!a:i""),""select Col6 where Col7 = 'Depositada' and Col9 = '""&amp;K502&amp;""' and Col6 ="&amp;" ""&amp;M502&amp;"" and Col4 = date '""&amp;YEAR(C502)&amp;""-""&amp;MONTH(C502)&amp;""-""&amp;DAY(C502)&amp;""'""))&gt;0,""Depositada"",if(sum(QUERY(IMPORTRANGE(""https://docs.google.com/spreadsheets/d/1EcLIvUgMoBC5as4ikW0wuQsGH5yVZ6cQ1y16qEfgPnk"",""BD M Sangrias!a:i""),""select Col6 whe"&amp;"re Col7 = 'Caixa Atendimento' and Col9 = '""&amp;K502&amp;""' and Col6 = ""&amp;M502&amp;"" and Col4 = date '""&amp;YEAR(C502)&amp;""-""&amp;MONTH(C502)&amp;""-""&amp;DAY(C502)&amp;""'""))&gt;0,""Caixa Atendimento"",""Caixa Sangria"")),""""),""Caixa Sangria"")"),"")</f>
        <v/>
      </c>
      <c r="M502" s="185" t="str">
        <f>IFERROR(__xludf.DUMMYFUNCTION("ifna(VALUE(REGEXEXTRACT(E502,""[0-9.]+[,]+[0-9]+"")))"),"")</f>
        <v/>
      </c>
      <c r="N502" s="185"/>
      <c r="O502" s="185"/>
      <c r="P502" s="185"/>
      <c r="Q502" s="185"/>
      <c r="R502" s="185"/>
      <c r="S502" s="185"/>
      <c r="T502" s="185"/>
      <c r="U502" s="185"/>
      <c r="V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184" t="str">
        <f>IFERROR(__xludf.DUMMYFUNCTION("ifna(IF(and(D503=""Saída"",J503=""Sangria""),if(sum(QUERY(IMPORTRANGE(""https://docs.google.com/spreadsheets/d/1E4szPcLzsqlw4uyBAoJ61L1ChCgpz4wVP8tHfHW1g_c"",""BD M Sangrias!a:i""),""select Col6 where Col7 = 'Depositada' and Col9 = '""&amp;K503&amp;""' and Col6 ="&amp;" ""&amp;M503&amp;"" and Col4 = date '""&amp;YEAR(C503)&amp;""-""&amp;MONTH(C503)&amp;""-""&amp;DAY(C503)&amp;""'""))&gt;0,""Depositada"",if(sum(QUERY(IMPORTRANGE(""https://docs.google.com/spreadsheets/d/1EcLIvUgMoBC5as4ikW0wuQsGH5yVZ6cQ1y16qEfgPnk"",""BD M Sangrias!a:i""),""select Col6 whe"&amp;"re Col7 = 'Caixa Atendimento' and Col9 = '""&amp;K503&amp;""' and Col6 = ""&amp;M503&amp;"" and Col4 = date '""&amp;YEAR(C503)&amp;""-""&amp;MONTH(C503)&amp;""-""&amp;DAY(C503)&amp;""'""))&gt;0,""Caixa Atendimento"",""Caixa Sangria"")),""""),""Caixa Sangria"")"),"")</f>
        <v/>
      </c>
      <c r="M503" s="185" t="str">
        <f>IFERROR(__xludf.DUMMYFUNCTION("ifna(VALUE(REGEXEXTRACT(E503,""[0-9.]+[,]+[0-9]+"")))"),"")</f>
        <v/>
      </c>
      <c r="N503" s="185"/>
      <c r="O503" s="185"/>
      <c r="P503" s="185"/>
      <c r="Q503" s="185"/>
      <c r="R503" s="185"/>
      <c r="S503" s="185"/>
      <c r="T503" s="185"/>
      <c r="U503" s="185"/>
      <c r="V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184" t="str">
        <f>IFERROR(__xludf.DUMMYFUNCTION("ifna(IF(and(D504=""Saída"",J504=""Sangria""),if(sum(QUERY(IMPORTRANGE(""https://docs.google.com/spreadsheets/d/1E4szPcLzsqlw4uyBAoJ61L1ChCgpz4wVP8tHfHW1g_c"",""BD M Sangrias!a:i""),""select Col6 where Col7 = 'Depositada' and Col9 = '""&amp;K504&amp;""' and Col6 ="&amp;" ""&amp;M504&amp;"" and Col4 = date '""&amp;YEAR(C504)&amp;""-""&amp;MONTH(C504)&amp;""-""&amp;DAY(C504)&amp;""'""))&gt;0,""Depositada"",if(sum(QUERY(IMPORTRANGE(""https://docs.google.com/spreadsheets/d/1EcLIvUgMoBC5as4ikW0wuQsGH5yVZ6cQ1y16qEfgPnk"",""BD M Sangrias!a:i""),""select Col6 whe"&amp;"re Col7 = 'Caixa Atendimento' and Col9 = '""&amp;K504&amp;""' and Col6 = ""&amp;M504&amp;"" and Col4 = date '""&amp;YEAR(C504)&amp;""-""&amp;MONTH(C504)&amp;""-""&amp;DAY(C504)&amp;""'""))&gt;0,""Caixa Atendimento"",""Caixa Sangria"")),""""),""Caixa Sangria"")"),"")</f>
        <v/>
      </c>
      <c r="M504" s="185" t="str">
        <f>IFERROR(__xludf.DUMMYFUNCTION("ifna(VALUE(REGEXEXTRACT(E504,""[0-9.]+[,]+[0-9]+"")))"),"")</f>
        <v/>
      </c>
      <c r="N504" s="185"/>
      <c r="O504" s="185"/>
      <c r="P504" s="185"/>
      <c r="Q504" s="185"/>
      <c r="R504" s="185"/>
      <c r="S504" s="185"/>
      <c r="T504" s="185"/>
      <c r="U504" s="185"/>
      <c r="V504" s="185"/>
    </row>
  </sheetData>
  <mergeCells count="47">
    <mergeCell ref="A2:L2"/>
    <mergeCell ref="N2:V2"/>
    <mergeCell ref="A3:B3"/>
    <mergeCell ref="C3:D3"/>
    <mergeCell ref="E3:F3"/>
    <mergeCell ref="G3:H3"/>
    <mergeCell ref="I3:J3"/>
    <mergeCell ref="S3:V3"/>
    <mergeCell ref="K3:L3"/>
    <mergeCell ref="N3:Q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L27"/>
    <mergeCell ref="G14:H14"/>
    <mergeCell ref="I14:J14"/>
    <mergeCell ref="C18:D18"/>
    <mergeCell ref="E18:H18"/>
    <mergeCell ref="I18:J18"/>
    <mergeCell ref="E19:F19"/>
    <mergeCell ref="I22:J22"/>
    <mergeCell ref="N93:S94"/>
    <mergeCell ref="R95:S95"/>
    <mergeCell ref="K18:L18"/>
    <mergeCell ref="K19:L19"/>
    <mergeCell ref="S19:V19"/>
    <mergeCell ref="N48:Q48"/>
    <mergeCell ref="S48:V48"/>
    <mergeCell ref="N68:Q68"/>
    <mergeCell ref="S68:V68"/>
  </mergeCells>
  <conditionalFormatting sqref="E29:E30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V4 L11 D20 R20:V20 N49:V49 N69:V69">
    <cfRule type="cellIs" dxfId="6" priority="10" operator="greaterThanOrEqual">
      <formula>500</formula>
    </cfRule>
  </conditionalFormatting>
  <conditionalFormatting sqref="L4:V4 L11 D20 R20:V20 N49:V49 N69:V69">
    <cfRule type="cellIs" dxfId="7" priority="11" operator="between">
      <formula>400</formula>
      <formula>500</formula>
    </cfRule>
  </conditionalFormatting>
  <conditionalFormatting sqref="E29:E504">
    <cfRule type="containsText" dxfId="9" priority="12" operator="containsText" text="R$">
      <formula>NOT(ISERROR(SEARCH(("R$"),(E29))))</formula>
    </cfRule>
  </conditionalFormatting>
  <conditionalFormatting sqref="B29:L504">
    <cfRule type="expression" dxfId="5" priority="13">
      <formula>and($J$29:$J$504="Sangria",$D$29:$D$504="Saída")</formula>
    </cfRule>
  </conditionalFormatting>
  <conditionalFormatting sqref="K29:K504">
    <cfRule type="expression" dxfId="10" priority="14">
      <formula>or($J$29:$J$218="Compra Moedas",$J$29:$J$218="Cortesias",$J$29:$J$218="Troco")</formula>
    </cfRule>
  </conditionalFormatting>
  <conditionalFormatting sqref="K29:K504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4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4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4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4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4">
    <cfRule type="expression" dxfId="11" priority="21">
      <formula>and($C$29:$C$218="",or($D$29:$D$218="Entrada",$D$29:$D$218="Saída"))</formula>
    </cfRule>
  </conditionalFormatting>
  <conditionalFormatting sqref="I29:I504">
    <cfRule type="expression" dxfId="8" priority="22">
      <formula>and(K29 = "",or(J29="Consumo",J29="Adiantamento"))</formula>
    </cfRule>
  </conditionalFormatting>
  <dataValidations>
    <dataValidation type="list" allowBlank="1" showErrorMessage="1" sqref="K29:K504">
      <formula1>'JULHO 2025'!$B$4:$B$16</formula1>
    </dataValidation>
    <dataValidation type="list" allowBlank="1" showErrorMessage="1" sqref="J29:J77 J79:J97 J99:J105 J107:J130 J132 J134:J176 J178:J179 J181:J190 J192:J195 J197:J208 J210:J267 J269:J286 J288:J303 J306:J308 J310:J376 J378:J388 J390:J504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.13"/>
    <col customWidth="1" min="14" max="14" width="10.13"/>
    <col customWidth="1" min="15" max="15" width="12.0"/>
    <col customWidth="1" min="16" max="16" width="12.75"/>
    <col customWidth="1" min="17" max="17" width="12.38"/>
    <col customWidth="1" min="18" max="18" width="0.63"/>
    <col customWidth="1" min="19" max="19" width="10.13"/>
    <col customWidth="1" min="20" max="20" width="9.88"/>
    <col customWidth="1" min="21" max="21" width="12.5"/>
    <col customWidth="1" min="22" max="22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30" t="s">
        <v>1840</v>
      </c>
      <c r="O2" s="28"/>
      <c r="P2" s="28"/>
      <c r="Q2" s="28"/>
      <c r="R2" s="28"/>
      <c r="S2" s="28"/>
      <c r="T2" s="28"/>
      <c r="U2" s="28"/>
      <c r="V2" s="29"/>
    </row>
    <row r="3">
      <c r="A3" s="31" t="s">
        <v>1847</v>
      </c>
      <c r="B3" s="32"/>
      <c r="C3" s="33" t="str">
        <f>B4</f>
        <v>Marcelo 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>Helena Cardoso</v>
      </c>
      <c r="J3" s="32"/>
      <c r="K3" s="34" t="str">
        <f>B8</f>
        <v/>
      </c>
      <c r="L3" s="35"/>
      <c r="M3" s="36"/>
      <c r="N3" s="37" t="str">
        <f>B4</f>
        <v>Marcelo </v>
      </c>
      <c r="O3" s="28"/>
      <c r="P3" s="28"/>
      <c r="Q3" s="29"/>
      <c r="R3" s="38"/>
      <c r="S3" s="39" t="str">
        <f>B5</f>
        <v>Mariane</v>
      </c>
      <c r="T3" s="28"/>
      <c r="U3" s="28"/>
      <c r="V3" s="29"/>
    </row>
    <row r="4" ht="15.75" customHeight="1">
      <c r="A4" s="40" t="s">
        <v>132</v>
      </c>
      <c r="B4" s="41" t="s">
        <v>1894</v>
      </c>
      <c r="C4" s="42" t="s">
        <v>1900</v>
      </c>
      <c r="D4" s="43">
        <f>SUMIFS(M29:M504,J29:J504,C4,K29:K504,C3)+SUMIF(P96:P138,A4,Q96:Q138)+D9</f>
        <v>0</v>
      </c>
      <c r="E4" s="44" t="s">
        <v>1900</v>
      </c>
      <c r="F4" s="43">
        <f>SUMIFS(M29:M504,J29:J504,E4,K29:K504,E3)+SUMIF(P96:P138,A5,Q96:Q138)+F9</f>
        <v>0</v>
      </c>
      <c r="G4" s="44" t="s">
        <v>1900</v>
      </c>
      <c r="H4" s="43">
        <f>SUMIFS(M29:M504,J29:J504,C4,K29:K504,G3)+SUMIF(P96:P138,A6,Q96:Q138)+H9</f>
        <v>0</v>
      </c>
      <c r="I4" s="44" t="s">
        <v>1900</v>
      </c>
      <c r="J4" s="43">
        <f>SUMIFS(M29:M504,J29:J504,C4,K29:K504,I3)+SUMIF(P96:P138,A7,Q96:Q138)+J9</f>
        <v>0</v>
      </c>
      <c r="K4" s="44" t="s">
        <v>1900</v>
      </c>
      <c r="L4" s="45">
        <f>SUMIFS(M29:M504,J29:J504,C4,K29:K504,K3)+SUMIF(P96:P138,A8,Q96:Q138)+L9</f>
        <v>0</v>
      </c>
      <c r="M4" s="26"/>
      <c r="N4" s="46" t="str">
        <f>IFERROR(__xludf.DUMMYFUNCTION("query(C28:L504,""select Col1,Col3,Col8,Col9 where (Col8 = 'Adiantamento' or Col8 = 'Consumo') and Col9 = '""&amp;B4&amp;""'"",1)"),"Data")</f>
        <v>Data</v>
      </c>
      <c r="O4" s="47" t="str">
        <f>IFERROR(__xludf.DUMMYFUNCTION("""COMPUTED_VALUE"""),"Valor ")</f>
        <v>Valor </v>
      </c>
      <c r="P4" s="47" t="str">
        <f>IFERROR(__xludf.DUMMYFUNCTION("""COMPUTED_VALUE"""),"Tipo")</f>
        <v>Tipo</v>
      </c>
      <c r="Q4" s="48" t="str">
        <f>IFERROR(__xludf.DUMMYFUNCTION("""COMPUTED_VALUE"""),"Funcionário")</f>
        <v>Funcionário</v>
      </c>
      <c r="R4" s="49"/>
      <c r="S4" s="50" t="str">
        <f>IFERROR(__xludf.DUMMYFUNCTION("query(C28:L504,""select Col1,Col3,Col8,Col9 where (Col8 = 'Adiantamento' or Col8 = 'Consumo') and Col9 = '""&amp;B5&amp;""'"",1)"),"Data")</f>
        <v>Data</v>
      </c>
      <c r="T4" s="50" t="str">
        <f>IFERROR(__xludf.DUMMYFUNCTION("""COMPUTED_VALUE"""),"Valor ")</f>
        <v>Valor </v>
      </c>
      <c r="U4" s="50" t="str">
        <f>IFERROR(__xludf.DUMMYFUNCTION("""COMPUTED_VALUE"""),"Tipo")</f>
        <v>Tipo</v>
      </c>
      <c r="V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SUMIFS(M29:M504,J29:J504,C5,K29:K504,C3)</f>
        <v>0</v>
      </c>
      <c r="E5" s="44" t="s">
        <v>2019</v>
      </c>
      <c r="F5" s="43">
        <f>SUMIFS(M29:M504,J29:J504,C5,K29:K504,E3)</f>
        <v>0</v>
      </c>
      <c r="G5" s="44" t="s">
        <v>2019</v>
      </c>
      <c r="H5" s="43">
        <f>SUMIFS(M29:M504,J29:J504,C5,K29:K504,G3)</f>
        <v>56.33</v>
      </c>
      <c r="I5" s="44" t="s">
        <v>2019</v>
      </c>
      <c r="J5" s="43">
        <f>SUMIFS(M29:M504,J29:J504,C5,K29:K504,I3)</f>
        <v>36.23</v>
      </c>
      <c r="K5" s="44" t="s">
        <v>2019</v>
      </c>
      <c r="L5" s="45">
        <f>SUMIFS(M29:M504,J29:J504,C5,K29:K504,K3)</f>
        <v>0</v>
      </c>
      <c r="M5" s="26"/>
      <c r="N5" s="52"/>
      <c r="O5" s="53"/>
      <c r="P5" s="53"/>
      <c r="Q5" s="54"/>
      <c r="R5" s="55"/>
      <c r="S5" s="53"/>
      <c r="T5" s="53"/>
      <c r="U5" s="53"/>
      <c r="V5" s="54"/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0</v>
      </c>
      <c r="G6" s="44" t="s">
        <v>2079</v>
      </c>
      <c r="H6" s="43">
        <f>H5*0.8</f>
        <v>45.064</v>
      </c>
      <c r="I6" s="44" t="s">
        <v>2079</v>
      </c>
      <c r="J6" s="43">
        <f>J5*0.8</f>
        <v>28.984</v>
      </c>
      <c r="K6" s="57" t="s">
        <v>2079</v>
      </c>
      <c r="L6" s="45">
        <f>L5*0.8</f>
        <v>0</v>
      </c>
      <c r="M6" s="26"/>
      <c r="N6" s="52"/>
      <c r="O6" s="53"/>
      <c r="P6" s="53"/>
      <c r="Q6" s="54"/>
      <c r="R6" s="55"/>
      <c r="S6" s="53"/>
      <c r="T6" s="53"/>
      <c r="U6" s="53"/>
      <c r="V6" s="54"/>
    </row>
    <row r="7" ht="14.25" customHeight="1">
      <c r="A7" s="40" t="s">
        <v>754</v>
      </c>
      <c r="B7" s="41" t="s">
        <v>2117</v>
      </c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52"/>
      <c r="O7" s="53"/>
      <c r="P7" s="53"/>
      <c r="Q7" s="54"/>
      <c r="R7" s="55"/>
      <c r="S7" s="53"/>
      <c r="T7" s="53"/>
      <c r="U7" s="53"/>
      <c r="V7" s="54"/>
    </row>
    <row r="8" ht="14.25" customHeight="1">
      <c r="B8" s="41"/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52"/>
      <c r="O8" s="53"/>
      <c r="P8" s="53"/>
      <c r="Q8" s="54"/>
      <c r="R8" s="55"/>
      <c r="S8" s="53"/>
      <c r="T8" s="53"/>
      <c r="U8" s="53"/>
      <c r="V8" s="54"/>
    </row>
    <row r="9">
      <c r="A9" s="40"/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52"/>
      <c r="O9" s="53"/>
      <c r="P9" s="53"/>
      <c r="Q9" s="54"/>
      <c r="R9" s="55"/>
      <c r="S9" s="53"/>
      <c r="T9" s="53"/>
      <c r="U9" s="53"/>
      <c r="V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52"/>
      <c r="O10" s="79"/>
      <c r="P10" s="79"/>
      <c r="Q10" s="80"/>
      <c r="R10" s="81"/>
      <c r="S10" s="79"/>
      <c r="T10" s="79"/>
      <c r="U10" s="79"/>
      <c r="V10" s="80"/>
    </row>
    <row r="11">
      <c r="A11" s="82"/>
      <c r="B11" s="83"/>
      <c r="C11" s="84" t="s">
        <v>1900</v>
      </c>
      <c r="D11" s="85">
        <f>SUMIFS(M29:M511,J29:J511,C11,K29:K511,C10)+SUMIF(P96:P138,A9,Q96:Q138)+D16</f>
        <v>0</v>
      </c>
      <c r="E11" s="86" t="s">
        <v>1900</v>
      </c>
      <c r="F11" s="85">
        <f>SUMIFS(M29:M511,J29:J511,E11,K29:K511,E10)+SUMIF(P96:P138,A10,Q96:Q138)+F16</f>
        <v>0</v>
      </c>
      <c r="G11" s="86" t="s">
        <v>1900</v>
      </c>
      <c r="H11" s="85">
        <f>SUMIFS(M29:M511,J29:J511,C11,K29:K511,G10)+SUMIF(P96:P138,A11,Q96:Q138)+H16</f>
        <v>0</v>
      </c>
      <c r="I11" s="86" t="s">
        <v>1900</v>
      </c>
      <c r="J11" s="85">
        <f>SUMIFS(M29:M511,J29:J511,C11,K29:K511,I10)+SUMIF(P96:P138,A11,Q96:Q138)+J16</f>
        <v>0</v>
      </c>
      <c r="K11" s="86" t="s">
        <v>1900</v>
      </c>
      <c r="L11" s="87">
        <f>SUMIFS(M29:M511,J29:J511,C11,K29:K511,K10)+SUMIF(P96:P138,A13,Q96:Q138)+L16</f>
        <v>0</v>
      </c>
      <c r="M11" s="25"/>
      <c r="N11" s="88"/>
      <c r="O11" s="89"/>
      <c r="P11" s="89"/>
      <c r="Q11" s="90"/>
      <c r="R11" s="91"/>
      <c r="S11" s="89"/>
      <c r="T11" s="89"/>
      <c r="U11" s="89"/>
      <c r="V11" s="90"/>
    </row>
    <row r="12">
      <c r="A12" s="82"/>
      <c r="B12" s="83"/>
      <c r="C12" s="84" t="s">
        <v>2019</v>
      </c>
      <c r="D12" s="85">
        <f>SUMIFS(M36:M511,J36:J511,C12,K36:K511,C10)</f>
        <v>0</v>
      </c>
      <c r="E12" s="86" t="s">
        <v>2019</v>
      </c>
      <c r="F12" s="85">
        <f>SUMIFS(M29:M511,J29:J511,C12,K29:K511,E10)</f>
        <v>0</v>
      </c>
      <c r="G12" s="86" t="s">
        <v>2019</v>
      </c>
      <c r="H12" s="85">
        <f>SUMIFS(M36:M511,J36:J511,C12,K36:K511,G10)</f>
        <v>0</v>
      </c>
      <c r="I12" s="86" t="s">
        <v>2019</v>
      </c>
      <c r="J12" s="85">
        <f>SUMIFS(M29:M511,J29:J511,C12,K29:K511,I10)</f>
        <v>0</v>
      </c>
      <c r="K12" s="86" t="s">
        <v>2019</v>
      </c>
      <c r="L12" s="87">
        <f>SUMIFS(M29:M511,J29:J511,C12,K29:K511,K10)</f>
        <v>0</v>
      </c>
      <c r="M12" s="25"/>
      <c r="N12" s="88"/>
      <c r="O12" s="89"/>
      <c r="P12" s="89"/>
      <c r="Q12" s="90"/>
      <c r="R12" s="91"/>
      <c r="S12" s="89"/>
      <c r="T12" s="89"/>
      <c r="U12" s="89"/>
      <c r="V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88"/>
      <c r="O13" s="89"/>
      <c r="P13" s="89"/>
      <c r="Q13" s="90"/>
      <c r="R13" s="91"/>
      <c r="S13" s="89"/>
      <c r="T13" s="89"/>
      <c r="U13" s="89"/>
      <c r="V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88"/>
      <c r="O14" s="89"/>
      <c r="P14" s="89"/>
      <c r="Q14" s="90"/>
      <c r="R14" s="91"/>
      <c r="S14" s="89"/>
      <c r="T14" s="89"/>
      <c r="U14" s="89"/>
      <c r="V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88"/>
      <c r="O15" s="89"/>
      <c r="P15" s="89"/>
      <c r="Q15" s="90"/>
      <c r="R15" s="91"/>
      <c r="S15" s="89"/>
      <c r="T15" s="89"/>
      <c r="U15" s="89"/>
      <c r="V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88"/>
      <c r="O16" s="89"/>
      <c r="P16" s="89"/>
      <c r="Q16" s="90"/>
      <c r="R16" s="91"/>
      <c r="S16" s="89"/>
      <c r="T16" s="89"/>
      <c r="U16" s="89"/>
      <c r="V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88"/>
      <c r="O17" s="89"/>
      <c r="P17" s="89"/>
      <c r="Q17" s="90"/>
      <c r="R17" s="91"/>
      <c r="S17" s="89"/>
      <c r="T17" s="89"/>
      <c r="U17" s="89"/>
      <c r="V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108"/>
      <c r="O18" s="109"/>
      <c r="P18" s="109"/>
      <c r="Q18" s="109"/>
      <c r="R18" s="110"/>
      <c r="S18" s="109"/>
      <c r="T18" s="109"/>
      <c r="U18" s="109"/>
      <c r="V18" s="111"/>
    </row>
    <row r="19">
      <c r="A19" s="24"/>
      <c r="B19" s="24"/>
      <c r="C19" s="112"/>
      <c r="D19" s="113"/>
      <c r="E19" s="112"/>
      <c r="F19" s="114"/>
      <c r="G19" s="115" t="s">
        <v>2425</v>
      </c>
      <c r="H19" s="116">
        <f>((H20+H21)-H22)-H25</f>
        <v>21090</v>
      </c>
      <c r="I19" s="117" t="s">
        <v>2436</v>
      </c>
      <c r="J19" s="118" t="s">
        <v>2438</v>
      </c>
      <c r="K19" s="119" t="s">
        <v>2440</v>
      </c>
      <c r="L19" s="113"/>
      <c r="M19" s="25"/>
      <c r="N19" s="120"/>
      <c r="O19" s="121"/>
      <c r="P19" s="121"/>
      <c r="Q19" s="121"/>
      <c r="R19" s="122"/>
      <c r="S19" s="123" t="str">
        <f>B7</f>
        <v>Helena Cardoso</v>
      </c>
      <c r="T19" s="106"/>
      <c r="U19" s="106"/>
      <c r="V19" s="124"/>
    </row>
    <row r="20">
      <c r="A20" s="125"/>
      <c r="B20" s="125"/>
      <c r="C20" s="126" t="s">
        <v>1900</v>
      </c>
      <c r="D20" s="127">
        <f>SUMIFS(M29:M504,J29:J504,C20,K29:K504,C19)+SUMIF(P102:P138,A9,Q102:Q138)+D25</f>
        <v>0</v>
      </c>
      <c r="E20" s="126" t="s">
        <v>1900</v>
      </c>
      <c r="F20" s="128">
        <f>SUMIFS(M29:M504,J29:J504,C20,K29:K504,E19)+SUMIF(P102:P138,A10,Q102:Q138)+F25</f>
        <v>0</v>
      </c>
      <c r="G20" s="129" t="s">
        <v>2473</v>
      </c>
      <c r="H20" s="130">
        <v>0.0</v>
      </c>
      <c r="I20" s="131">
        <f>SUMIF(J29:J504,I19,M29:M504)</f>
        <v>116.35</v>
      </c>
      <c r="J20" s="132">
        <f>SUMIF(J29:J504,J19,M29:M504)</f>
        <v>341.68</v>
      </c>
      <c r="K20" s="133" t="s">
        <v>2491</v>
      </c>
      <c r="L20" s="134"/>
      <c r="M20" s="25"/>
      <c r="N20" s="135"/>
      <c r="O20" s="136"/>
      <c r="P20" s="136"/>
      <c r="Q20" s="136"/>
      <c r="R20" s="49"/>
      <c r="S20" s="50" t="str">
        <f>IFERROR(__xludf.DUMMYFUNCTION("query(C28:L504,""select Col1,Col3,Col8,Col9 where (Col8 = 'Adiantamento' or Col8 = 'Consumo') and Col9 = '""&amp;B7&amp;""'"",1)"),"Data")</f>
        <v>Data</v>
      </c>
      <c r="T20" s="50" t="str">
        <f>IFERROR(__xludf.DUMMYFUNCTION("""COMPUTED_VALUE"""),"Valor ")</f>
        <v>Valor </v>
      </c>
      <c r="U20" s="50" t="str">
        <f>IFERROR(__xludf.DUMMYFUNCTION("""COMPUTED_VALUE"""),"Tipo")</f>
        <v>Tipo</v>
      </c>
      <c r="V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SUMIFS(M29:M504,J29:J504,C21,K29:K504,C19)</f>
        <v>0</v>
      </c>
      <c r="E21" s="126" t="s">
        <v>2019</v>
      </c>
      <c r="F21" s="128">
        <f>SUMIFS(M29:M504,J29:J504,E21,K29:K504,E19)</f>
        <v>0</v>
      </c>
      <c r="G21" s="86" t="s">
        <v>2522</v>
      </c>
      <c r="H21" s="127">
        <f>SUMIFS(M29:M504,D29:D504,"Saída",J29:J504,"Sangria")</f>
        <v>23540</v>
      </c>
      <c r="I21" s="138"/>
      <c r="J21" s="139"/>
      <c r="K21" s="133" t="s">
        <v>2530</v>
      </c>
      <c r="L21" s="134"/>
      <c r="M21" s="25"/>
      <c r="N21" s="108"/>
      <c r="O21" s="53"/>
      <c r="P21" s="53"/>
      <c r="Q21" s="54"/>
      <c r="R21" s="55"/>
      <c r="S21" s="238">
        <f>IFERROR(__xludf.DUMMYFUNCTION("""COMPUTED_VALUE"""),45887.93194444444)</f>
        <v>45887.93194</v>
      </c>
      <c r="T21" s="53" t="str">
        <f>IFERROR(__xludf.DUMMYFUNCTION("""COMPUTED_VALUE"""),"R$ 36,23")</f>
        <v>R$ 36,23</v>
      </c>
      <c r="U21" s="53" t="str">
        <f>IFERROR(__xludf.DUMMYFUNCTION("""COMPUTED_VALUE"""),"Consumo")</f>
        <v>Consumo</v>
      </c>
      <c r="V21" s="54" t="str">
        <f>IFERROR(__xludf.DUMMYFUNCTION("""COMPUTED_VALUE"""),"Helena Cardoso")</f>
        <v>Helena Cardoso</v>
      </c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SUMIFS(M29:M504,D29:D504,"Entrada",J29:J504,"Sangria")</f>
        <v>2450</v>
      </c>
      <c r="I22" s="144" t="s">
        <v>2556</v>
      </c>
      <c r="J22" s="145"/>
      <c r="K22" s="133" t="s">
        <v>2559</v>
      </c>
      <c r="L22" s="134"/>
      <c r="M22" s="25"/>
      <c r="N22" s="52"/>
      <c r="O22" s="53"/>
      <c r="P22" s="53"/>
      <c r="Q22" s="54"/>
      <c r="R22" s="55"/>
      <c r="S22" s="53"/>
      <c r="T22" s="53"/>
      <c r="U22" s="53"/>
      <c r="V22" s="54"/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SUMIF(J29:J504,I22,M29:M504)</f>
        <v>0</v>
      </c>
      <c r="J23" s="152"/>
      <c r="K23" s="133" t="s">
        <v>2578</v>
      </c>
      <c r="L23" s="134"/>
      <c r="M23" s="25"/>
      <c r="N23" s="52"/>
      <c r="O23" s="53"/>
      <c r="P23" s="53"/>
      <c r="Q23" s="54"/>
      <c r="R23" s="55"/>
      <c r="S23" s="53"/>
      <c r="T23" s="53"/>
      <c r="U23" s="53"/>
      <c r="V23" s="54"/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SUMIF(L29:L504,G24,M29:M504)</f>
        <v>0</v>
      </c>
      <c r="I24" s="157" t="s">
        <v>2593</v>
      </c>
      <c r="J24" s="150"/>
      <c r="K24" s="133" t="s">
        <v>2594</v>
      </c>
      <c r="L24" s="134"/>
      <c r="M24" s="25"/>
      <c r="N24" s="52"/>
      <c r="O24" s="53"/>
      <c r="P24" s="53"/>
      <c r="Q24" s="54"/>
      <c r="R24" s="55"/>
      <c r="S24" s="53"/>
      <c r="T24" s="53"/>
      <c r="U24" s="53"/>
      <c r="V24" s="54"/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SUMIF(L29:L504,G25,M29:M504)</f>
        <v>0</v>
      </c>
      <c r="I25" s="151">
        <f>SUMIF(J29:J504,I24,M29:M504)</f>
        <v>0</v>
      </c>
      <c r="J25" s="152"/>
      <c r="K25" s="162"/>
      <c r="L25" s="163"/>
      <c r="M25" s="26"/>
      <c r="N25" s="52"/>
      <c r="O25" s="53"/>
      <c r="P25" s="53"/>
      <c r="Q25" s="54"/>
      <c r="R25" s="55"/>
      <c r="S25" s="53"/>
      <c r="T25" s="53"/>
      <c r="U25" s="53"/>
      <c r="V25" s="54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52"/>
      <c r="O26" s="79"/>
      <c r="P26" s="79"/>
      <c r="Q26" s="80"/>
      <c r="R26" s="81"/>
      <c r="S26" s="79"/>
      <c r="T26" s="79"/>
      <c r="U26" s="79"/>
      <c r="V26" s="80"/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04"/>
      <c r="M27" s="167"/>
      <c r="N27" s="88"/>
      <c r="O27" s="89"/>
      <c r="P27" s="89"/>
      <c r="Q27" s="90"/>
      <c r="R27" s="91"/>
      <c r="S27" s="89"/>
      <c r="T27" s="89"/>
      <c r="U27" s="89"/>
      <c r="V27" s="90"/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177" t="s">
        <v>2647</v>
      </c>
      <c r="M28" s="167"/>
      <c r="N28" s="88"/>
      <c r="O28" s="89"/>
      <c r="P28" s="89"/>
      <c r="Q28" s="90"/>
      <c r="R28" s="91"/>
      <c r="S28" s="89"/>
      <c r="T28" s="89"/>
      <c r="U28" s="89"/>
      <c r="V28" s="90"/>
    </row>
    <row r="29" ht="14.25" customHeight="1">
      <c r="A29" s="178"/>
      <c r="B29" s="12">
        <v>1592515.0</v>
      </c>
      <c r="C29" s="13">
        <v>45864.797430555554</v>
      </c>
      <c r="D29" s="179" t="s">
        <v>81</v>
      </c>
      <c r="E29" s="180" t="s">
        <v>4010</v>
      </c>
      <c r="F29" s="181"/>
      <c r="G29" s="179" t="s">
        <v>5249</v>
      </c>
      <c r="H29" s="182"/>
      <c r="I29" s="182"/>
      <c r="J29" s="183" t="s">
        <v>2735</v>
      </c>
      <c r="K29" s="183" t="s">
        <v>1894</v>
      </c>
      <c r="L29" s="184" t="str">
        <f>IFERROR(__xludf.DUMMYFUNCTION("ifna(IF(and(D29=""Saída"",J29=""Sangria""),if(sum(QUERY(IMPORTRANGE(""https://docs.google.com/spreadsheets/d/1E4szPcLzsqlw4uyBAoJ61L1ChCgpz4wVP8tHfHW1g_c"",""BD M Sangrias!a:i""),""select Col6 where Col7 = 'Depositada' and Col9 = '""&amp;K29&amp;""' and Col6 = """&amp;"&amp;M29&amp;"" and Col4 = date '""&amp;YEAR(C29)&amp;""-""&amp;MONTH(C29)&amp;""-""&amp;DAY(C29)&amp;""'""))&gt;0,""Depositada"",if(sum(QUERY(IMPORTRANGE(""https://docs.google.com/spreadsheets/d/1EcLIvUgMoBC5as4ikW0wuQsGH5yVZ6cQ1y16qEfgPnk"",""BD M Sangrias!a:i""),""select Col6 where Col7"&amp;" = 'Caixa Atendimento' and Col9 = '""&amp;K29&amp;""' and Col6 = ""&amp;M29&amp;"" and Col4 = date '""&amp;YEAR(C29)&amp;""-""&amp;MONTH(C29)&amp;""-""&amp;DAY(C29)&amp;""'""))&gt;0,""Caixa Atendimento"",""Caixa Sangria"")),""""),""Caixa Sangria"")"),"#REF!")</f>
        <v>#REF!</v>
      </c>
      <c r="M29" s="185">
        <f>IFERROR(__xludf.DUMMYFUNCTION("ifna(VALUE(REGEXEXTRACT(E29,""[0-9.]+[,]+[0-9]+"")))"),2050.0)</f>
        <v>2050</v>
      </c>
      <c r="N29" s="88"/>
      <c r="O29" s="89"/>
      <c r="P29" s="89"/>
      <c r="Q29" s="90"/>
      <c r="R29" s="91"/>
      <c r="S29" s="89"/>
      <c r="T29" s="89"/>
      <c r="U29" s="89"/>
      <c r="V29" s="90"/>
    </row>
    <row r="30" ht="14.25" customHeight="1">
      <c r="A30" s="178"/>
      <c r="B30" s="12">
        <v>1593376.0</v>
      </c>
      <c r="C30" s="13">
        <v>45864.96293981482</v>
      </c>
      <c r="D30" s="179" t="s">
        <v>152</v>
      </c>
      <c r="E30" s="180" t="s">
        <v>4138</v>
      </c>
      <c r="F30" s="181"/>
      <c r="G30" s="179" t="s">
        <v>158</v>
      </c>
      <c r="H30" s="186"/>
      <c r="I30" s="186"/>
      <c r="J30" s="187" t="s">
        <v>2669</v>
      </c>
      <c r="K30" s="187"/>
      <c r="L30" s="184" t="str">
        <f>IFERROR(__xludf.DUMMYFUNCTION("ifna(IF(and(D30=""Saída"",J30=""Sangria""),if(sum(QUERY(IMPORTRANGE(""https://docs.google.com/spreadsheets/d/1E4szPcLzsqlw4uyBAoJ61L1ChCgpz4wVP8tHfHW1g_c"",""BD M Sangrias!a:i""),""select Col6 where Col7 = 'Depositada' and Col9 = '""&amp;K30&amp;""' and Col6 = """&amp;"&amp;M30&amp;"" and Col4 = date '""&amp;YEAR(C30)&amp;""-""&amp;MONTH(C30)&amp;""-""&amp;DAY(C30)&amp;""'""))&gt;0,""Depositada"",if(sum(QUERY(IMPORTRANGE(""https://docs.google.com/spreadsheets/d/1EcLIvUgMoBC5as4ikW0wuQsGH5yVZ6cQ1y16qEfgPnk"",""BD M Sangrias!a:i""),""select Col6 where Col7"&amp;" = 'Caixa Atendimento' and Col9 = '""&amp;K30&amp;""' and Col6 = ""&amp;M30&amp;"" and Col4 = date '""&amp;YEAR(C30)&amp;""-""&amp;MONTH(C30)&amp;""-""&amp;DAY(C30)&amp;""'""))&gt;0,""Caixa Atendimento"",""Caixa Sangria"")),""""),""Caixa Sangria"")"),"")</f>
        <v/>
      </c>
      <c r="M30" s="185">
        <f>IFERROR(__xludf.DUMMYFUNCTION("ifna(VALUE(REGEXEXTRACT(E30,""[0-9.]+[,]+[0-9]+"")))"),30.0)</f>
        <v>30</v>
      </c>
      <c r="N30" s="88"/>
      <c r="O30" s="89"/>
      <c r="P30" s="89"/>
      <c r="Q30" s="90"/>
      <c r="R30" s="91"/>
      <c r="S30" s="89"/>
      <c r="T30" s="89"/>
      <c r="U30" s="89"/>
      <c r="V30" s="90"/>
    </row>
    <row r="31" ht="14.25" customHeight="1">
      <c r="A31" s="178"/>
      <c r="B31" s="12">
        <v>1594233.0</v>
      </c>
      <c r="C31" s="13">
        <v>45865.73153935185</v>
      </c>
      <c r="D31" s="179" t="s">
        <v>81</v>
      </c>
      <c r="E31" s="180" t="s">
        <v>5263</v>
      </c>
      <c r="F31" s="188"/>
      <c r="G31" s="179" t="s">
        <v>5264</v>
      </c>
      <c r="H31" s="186"/>
      <c r="I31" s="186"/>
      <c r="J31" s="187" t="s">
        <v>1782</v>
      </c>
      <c r="K31" s="187"/>
      <c r="L31" s="184" t="str">
        <f>IFERROR(__xludf.DUMMYFUNCTION("ifna(IF(and(D31=""Saída"",J31=""Sangria""),if(sum(QUERY(IMPORTRANGE(""https://docs.google.com/spreadsheets/d/1E4szPcLzsqlw4uyBAoJ61L1ChCgpz4wVP8tHfHW1g_c"",""BD M Sangrias!a:i""),""select Col6 where Col7 = 'Depositada' and Col9 = '""&amp;K31&amp;""' and Col6 = """&amp;"&amp;M31&amp;"" and Col4 = date '""&amp;YEAR(C31)&amp;""-""&amp;MONTH(C31)&amp;""-""&amp;DAY(C31)&amp;""'""))&gt;0,""Depositada"",if(sum(QUERY(IMPORTRANGE(""https://docs.google.com/spreadsheets/d/1EcLIvUgMoBC5as4ikW0wuQsGH5yVZ6cQ1y16qEfgPnk"",""BD M Sangrias!a:i""),""select Col6 where Col7"&amp;" = 'Caixa Atendimento' and Col9 = '""&amp;K31&amp;""' and Col6 = ""&amp;M31&amp;"" and Col4 = date '""&amp;YEAR(C31)&amp;""-""&amp;MONTH(C31)&amp;""-""&amp;DAY(C31)&amp;""'""))&gt;0,""Caixa Atendimento"",""Caixa Sangria"")),""""),""Caixa Sangria"")"),"")</f>
        <v/>
      </c>
      <c r="M31" s="185">
        <f>IFERROR(__xludf.DUMMYFUNCTION("ifna(VALUE(REGEXEXTRACT(E31,""[0-9.]+[,]+[0-9]+"")))"),180.0)</f>
        <v>180</v>
      </c>
      <c r="N31" s="88"/>
      <c r="O31" s="89"/>
      <c r="P31" s="89"/>
      <c r="Q31" s="90"/>
      <c r="R31" s="91"/>
      <c r="S31" s="89"/>
      <c r="T31" s="89"/>
      <c r="U31" s="89"/>
      <c r="V31" s="90"/>
    </row>
    <row r="32" ht="14.25" customHeight="1">
      <c r="A32" s="178"/>
      <c r="B32" s="12">
        <v>1596620.0</v>
      </c>
      <c r="C32" s="13">
        <v>45866.85653935185</v>
      </c>
      <c r="D32" s="179" t="s">
        <v>81</v>
      </c>
      <c r="E32" s="180" t="s">
        <v>5269</v>
      </c>
      <c r="F32" s="181"/>
      <c r="G32" s="179" t="s">
        <v>4041</v>
      </c>
      <c r="H32" s="186"/>
      <c r="I32" s="186"/>
      <c r="J32" s="187" t="s">
        <v>3151</v>
      </c>
      <c r="K32" s="187"/>
      <c r="L32" s="184" t="str">
        <f>IFERROR(__xludf.DUMMYFUNCTION("ifna(IF(and(D32=""Saída"",J32=""Sangria""),if(sum(QUERY(IMPORTRANGE(""https://docs.google.com/spreadsheets/d/1E4szPcLzsqlw4uyBAoJ61L1ChCgpz4wVP8tHfHW1g_c"",""BD M Sangrias!a:i""),""select Col6 where Col7 = 'Depositada' and Col9 = '""&amp;K32&amp;""' and Col6 = """&amp;"&amp;M32&amp;"" and Col4 = date '""&amp;YEAR(C32)&amp;""-""&amp;MONTH(C32)&amp;""-""&amp;DAY(C32)&amp;""'""))&gt;0,""Depositada"",if(sum(QUERY(IMPORTRANGE(""https://docs.google.com/spreadsheets/d/1EcLIvUgMoBC5as4ikW0wuQsGH5yVZ6cQ1y16qEfgPnk"",""BD M Sangrias!a:i""),""select Col6 where Col7"&amp;" = 'Caixa Atendimento' and Col9 = '""&amp;K32&amp;""' and Col6 = ""&amp;M32&amp;"" and Col4 = date '""&amp;YEAR(C32)&amp;""-""&amp;MONTH(C32)&amp;""-""&amp;DAY(C32)&amp;""'""))&gt;0,""Caixa Atendimento"",""Caixa Sangria"")),""""),""Caixa Sangria"")"),"")</f>
        <v/>
      </c>
      <c r="M32" s="185">
        <f>IFERROR(__xludf.DUMMYFUNCTION("ifna(VALUE(REGEXEXTRACT(E32,""[0-9.]+[,]+[0-9]+"")))"),22.76)</f>
        <v>22.76</v>
      </c>
      <c r="N32" s="88"/>
      <c r="O32" s="89"/>
      <c r="P32" s="89"/>
      <c r="Q32" s="90"/>
      <c r="R32" s="91"/>
      <c r="S32" s="89"/>
      <c r="T32" s="89"/>
      <c r="U32" s="89"/>
      <c r="V32" s="90"/>
    </row>
    <row r="33" ht="14.25" customHeight="1">
      <c r="A33" s="178"/>
      <c r="B33" s="12">
        <v>1596992.0</v>
      </c>
      <c r="C33" s="13">
        <v>45866.945972222224</v>
      </c>
      <c r="D33" s="179" t="s">
        <v>81</v>
      </c>
      <c r="E33" s="180" t="s">
        <v>127</v>
      </c>
      <c r="F33" s="188"/>
      <c r="G33" s="179" t="s">
        <v>3587</v>
      </c>
      <c r="H33" s="186"/>
      <c r="I33" s="186"/>
      <c r="J33" s="187" t="s">
        <v>2735</v>
      </c>
      <c r="K33" s="187" t="s">
        <v>2018</v>
      </c>
      <c r="L33" s="184" t="str">
        <f>IFERROR(__xludf.DUMMYFUNCTION("ifna(IF(and(D33=""Saída"",J33=""Sangria""),if(sum(QUERY(IMPORTRANGE(""https://docs.google.com/spreadsheets/d/1E4szPcLzsqlw4uyBAoJ61L1ChCgpz4wVP8tHfHW1g_c"",""BD M Sangrias!a:i""),""select Col6 where Col7 = 'Depositada' and Col9 = '""&amp;K33&amp;""' and Col6 = """&amp;"&amp;M33&amp;"" and Col4 = date '""&amp;YEAR(C33)&amp;""-""&amp;MONTH(C33)&amp;""-""&amp;DAY(C33)&amp;""'""))&gt;0,""Depositada"",if(sum(QUERY(IMPORTRANGE(""https://docs.google.com/spreadsheets/d/1EcLIvUgMoBC5as4ikW0wuQsGH5yVZ6cQ1y16qEfgPnk"",""BD M Sangrias!a:i""),""select Col6 where Col7"&amp;" = 'Caixa Atendimento' and Col9 = '""&amp;K33&amp;""' and Col6 = ""&amp;M33&amp;"" and Col4 = date '""&amp;YEAR(C33)&amp;""-""&amp;MONTH(C33)&amp;""-""&amp;DAY(C33)&amp;""'""))&gt;0,""Caixa Atendimento"",""Caixa Sangria"")),""""),""Caixa Sangria"")"),"#REF!")</f>
        <v>#REF!</v>
      </c>
      <c r="M33" s="185">
        <f>IFERROR(__xludf.DUMMYFUNCTION("ifna(VALUE(REGEXEXTRACT(E33,""[0-9.]+[,]+[0-9]+"")))"),250.0)</f>
        <v>250</v>
      </c>
      <c r="N33" s="88"/>
      <c r="O33" s="89"/>
      <c r="P33" s="89"/>
      <c r="Q33" s="90"/>
      <c r="R33" s="91"/>
      <c r="S33" s="89"/>
      <c r="T33" s="89"/>
      <c r="U33" s="89"/>
      <c r="V33" s="90"/>
    </row>
    <row r="34" ht="14.25" customHeight="1">
      <c r="A34" s="178"/>
      <c r="B34" s="12">
        <v>1597365.0</v>
      </c>
      <c r="C34" s="13">
        <v>45867.639872685184</v>
      </c>
      <c r="D34" s="179" t="s">
        <v>81</v>
      </c>
      <c r="E34" s="180" t="s">
        <v>457</v>
      </c>
      <c r="F34" s="181"/>
      <c r="G34" s="179" t="s">
        <v>5284</v>
      </c>
      <c r="H34" s="186"/>
      <c r="I34" s="186"/>
      <c r="J34" s="187" t="s">
        <v>3151</v>
      </c>
      <c r="K34" s="187"/>
      <c r="L34" s="184" t="str">
        <f>IFERROR(__xludf.DUMMYFUNCTION("ifna(IF(and(D34=""Saída"",J34=""Sangria""),if(sum(QUERY(IMPORTRANGE(""https://docs.google.com/spreadsheets/d/1E4szPcLzsqlw4uyBAoJ61L1ChCgpz4wVP8tHfHW1g_c"",""BD M Sangrias!a:i""),""select Col6 where Col7 = 'Depositada' and Col9 = '""&amp;K34&amp;""' and Col6 = """&amp;"&amp;M34&amp;"" and Col4 = date '""&amp;YEAR(C34)&amp;""-""&amp;MONTH(C34)&amp;""-""&amp;DAY(C34)&amp;""'""))&gt;0,""Depositada"",if(sum(QUERY(IMPORTRANGE(""https://docs.google.com/spreadsheets/d/1EcLIvUgMoBC5as4ikW0wuQsGH5yVZ6cQ1y16qEfgPnk"",""BD M Sangrias!a:i""),""select Col6 where Col7"&amp;" = 'Caixa Atendimento' and Col9 = '""&amp;K34&amp;""' and Col6 = ""&amp;M34&amp;"" and Col4 = date '""&amp;YEAR(C34)&amp;""-""&amp;MONTH(C34)&amp;""-""&amp;DAY(C34)&amp;""'""))&gt;0,""Caixa Atendimento"",""Caixa Sangria"")),""""),""Caixa Sangria"")"),"")</f>
        <v/>
      </c>
      <c r="M34" s="185">
        <f>IFERROR(__xludf.DUMMYFUNCTION("ifna(VALUE(REGEXEXTRACT(E34,""[0-9.]+[,]+[0-9]+"")))"),200.0)</f>
        <v>200</v>
      </c>
      <c r="N34" s="108"/>
      <c r="O34" s="109"/>
      <c r="P34" s="109"/>
      <c r="Q34" s="109"/>
      <c r="R34" s="110"/>
      <c r="S34" s="109"/>
      <c r="T34" s="109"/>
      <c r="U34" s="109"/>
      <c r="V34" s="111"/>
    </row>
    <row r="35" ht="18.75" customHeight="1">
      <c r="A35" s="178"/>
      <c r="B35" s="12">
        <v>1597381.0</v>
      </c>
      <c r="C35" s="13">
        <v>45867.65021990741</v>
      </c>
      <c r="D35" s="179" t="s">
        <v>152</v>
      </c>
      <c r="E35" s="180" t="s">
        <v>416</v>
      </c>
      <c r="F35" s="181"/>
      <c r="G35" s="179" t="s">
        <v>5296</v>
      </c>
      <c r="H35" s="186"/>
      <c r="I35" s="186"/>
      <c r="J35" s="187" t="s">
        <v>5195</v>
      </c>
      <c r="K35" s="187"/>
      <c r="L35" s="184" t="str">
        <f>IFERROR(__xludf.DUMMYFUNCTION("ifna(IF(and(D35=""Saída"",J35=""Sangria""),if(sum(QUERY(IMPORTRANGE(""https://docs.google.com/spreadsheets/d/1E4szPcLzsqlw4uyBAoJ61L1ChCgpz4wVP8tHfHW1g_c"",""BD M Sangrias!a:i""),""select Col6 where Col7 = 'Depositada' and Col9 = '""&amp;K35&amp;""' and Col6 = """&amp;"&amp;M35&amp;"" and Col4 = date '""&amp;YEAR(C35)&amp;""-""&amp;MONTH(C35)&amp;""-""&amp;DAY(C35)&amp;""'""))&gt;0,""Depositada"",if(sum(QUERY(IMPORTRANGE(""https://docs.google.com/spreadsheets/d/1EcLIvUgMoBC5as4ikW0wuQsGH5yVZ6cQ1y16qEfgPnk"",""BD M Sangrias!a:i""),""select Col6 where Col7"&amp;" = 'Caixa Atendimento' and Col9 = '""&amp;K35&amp;""' and Col6 = ""&amp;M35&amp;"" and Col4 = date '""&amp;YEAR(C35)&amp;""-""&amp;MONTH(C35)&amp;""-""&amp;DAY(C35)&amp;""'""))&gt;0,""Caixa Atendimento"",""Caixa Sangria"")),""""),""Caixa Sangria"")"),"")</f>
        <v/>
      </c>
      <c r="M35" s="185">
        <f>IFERROR(__xludf.DUMMYFUNCTION("ifna(VALUE(REGEXEXTRACT(E35,""[0-9.]+[,]+[0-9]+"")))"),100.0)</f>
        <v>100</v>
      </c>
      <c r="N35" s="108"/>
      <c r="R35" s="110"/>
    </row>
    <row r="36" ht="14.25" customHeight="1">
      <c r="A36" s="178"/>
      <c r="B36" s="12">
        <v>1597385.0</v>
      </c>
      <c r="C36" s="13">
        <v>45867.65146990741</v>
      </c>
      <c r="D36" s="179" t="s">
        <v>81</v>
      </c>
      <c r="E36" s="180" t="s">
        <v>5306</v>
      </c>
      <c r="F36" s="181"/>
      <c r="G36" s="179" t="s">
        <v>5307</v>
      </c>
      <c r="H36" s="186"/>
      <c r="I36" s="186"/>
      <c r="J36" s="187" t="s">
        <v>3151</v>
      </c>
      <c r="K36" s="187"/>
      <c r="L36" s="184" t="str">
        <f>IFERROR(__xludf.DUMMYFUNCTION("ifna(IF(and(D36=""Saída"",J36=""Sangria""),if(sum(QUERY(IMPORTRANGE(""https://docs.google.com/spreadsheets/d/1E4szPcLzsqlw4uyBAoJ61L1ChCgpz4wVP8tHfHW1g_c"",""BD M Sangrias!a:i""),""select Col6 where Col7 = 'Depositada' and Col9 = '""&amp;K36&amp;""' and Col6 = """&amp;"&amp;M36&amp;"" and Col4 = date '""&amp;YEAR(C36)&amp;""-""&amp;MONTH(C36)&amp;""-""&amp;DAY(C36)&amp;""'""))&gt;0,""Depositada"",if(sum(QUERY(IMPORTRANGE(""https://docs.google.com/spreadsheets/d/1EcLIvUgMoBC5as4ikW0wuQsGH5yVZ6cQ1y16qEfgPnk"",""BD M Sangrias!a:i""),""select Col6 where Col7"&amp;" = 'Caixa Atendimento' and Col9 = '""&amp;K36&amp;""' and Col6 = ""&amp;M36&amp;"" and Col4 = date '""&amp;YEAR(C36)&amp;""-""&amp;MONTH(C36)&amp;""-""&amp;DAY(C36)&amp;""'""))&gt;0,""Caixa Atendimento"",""Caixa Sangria"")),""""),""Caixa Sangria"")"),"")</f>
        <v/>
      </c>
      <c r="M36" s="185">
        <f>IFERROR(__xludf.DUMMYFUNCTION("ifna(VALUE(REGEXEXTRACT(E36,""[0-9.]+[,]+[0-9]+"")))"),98.0)</f>
        <v>98</v>
      </c>
      <c r="N36" s="108"/>
      <c r="R36" s="110"/>
    </row>
    <row r="37" ht="14.25" customHeight="1">
      <c r="A37" s="178"/>
      <c r="B37" s="12">
        <v>1597542.0</v>
      </c>
      <c r="C37" s="13">
        <v>45867.702835648146</v>
      </c>
      <c r="D37" s="179" t="s">
        <v>152</v>
      </c>
      <c r="E37" s="180" t="s">
        <v>162</v>
      </c>
      <c r="F37" s="181"/>
      <c r="G37" s="179" t="s">
        <v>5192</v>
      </c>
      <c r="H37" s="186"/>
      <c r="I37" s="186"/>
      <c r="J37" s="187" t="s">
        <v>5195</v>
      </c>
      <c r="K37" s="187"/>
      <c r="L37" s="184" t="str">
        <f>IFERROR(__xludf.DUMMYFUNCTION("ifna(IF(and(D37=""Saída"",J37=""Sangria""),if(sum(QUERY(IMPORTRANGE(""https://docs.google.com/spreadsheets/d/1E4szPcLzsqlw4uyBAoJ61L1ChCgpz4wVP8tHfHW1g_c"",""BD M Sangrias!a:i""),""select Col6 where Col7 = 'Depositada' and Col9 = '""&amp;K37&amp;""' and Col6 = """&amp;"&amp;M37&amp;"" and Col4 = date '""&amp;YEAR(C37)&amp;""-""&amp;MONTH(C37)&amp;""-""&amp;DAY(C37)&amp;""'""))&gt;0,""Depositada"",if(sum(QUERY(IMPORTRANGE(""https://docs.google.com/spreadsheets/d/1EcLIvUgMoBC5as4ikW0wuQsGH5yVZ6cQ1y16qEfgPnk"",""BD M Sangrias!a:i""),""select Col6 where Col7"&amp;" = 'Caixa Atendimento' and Col9 = '""&amp;K37&amp;""' and Col6 = ""&amp;M37&amp;"" and Col4 = date '""&amp;YEAR(C37)&amp;""-""&amp;MONTH(C37)&amp;""-""&amp;DAY(C37)&amp;""'""))&gt;0,""Caixa Atendimento"",""Caixa Sangria"")),""""),""Caixa Sangria"")"),"")</f>
        <v/>
      </c>
      <c r="M37" s="185">
        <f>IFERROR(__xludf.DUMMYFUNCTION("ifna(VALUE(REGEXEXTRACT(E37,""[0-9.]+[,]+[0-9]+"")))"),150.0)</f>
        <v>150</v>
      </c>
      <c r="N37" s="108"/>
      <c r="R37" s="110"/>
    </row>
    <row r="38" ht="14.25" customHeight="1">
      <c r="A38" s="178"/>
      <c r="B38" s="12">
        <v>1597544.0</v>
      </c>
      <c r="C38" s="13">
        <v>45867.703101851854</v>
      </c>
      <c r="D38" s="179" t="s">
        <v>81</v>
      </c>
      <c r="E38" s="180" t="s">
        <v>162</v>
      </c>
      <c r="F38" s="181"/>
      <c r="G38" s="179" t="s">
        <v>5322</v>
      </c>
      <c r="H38" s="186"/>
      <c r="I38" s="186"/>
      <c r="J38" s="187" t="s">
        <v>3151</v>
      </c>
      <c r="K38" s="187"/>
      <c r="L38" s="184" t="str">
        <f>IFERROR(__xludf.DUMMYFUNCTION("ifna(IF(and(D38=""Saída"",J38=""Sangria""),if(sum(QUERY(IMPORTRANGE(""https://docs.google.com/spreadsheets/d/1E4szPcLzsqlw4uyBAoJ61L1ChCgpz4wVP8tHfHW1g_c"",""BD M Sangrias!a:i""),""select Col6 where Col7 = 'Depositada' and Col9 = '""&amp;K38&amp;""' and Col6 = """&amp;"&amp;M38&amp;"" and Col4 = date '""&amp;YEAR(C38)&amp;""-""&amp;MONTH(C38)&amp;""-""&amp;DAY(C38)&amp;""'""))&gt;0,""Depositada"",if(sum(QUERY(IMPORTRANGE(""https://docs.google.com/spreadsheets/d/1EcLIvUgMoBC5as4ikW0wuQsGH5yVZ6cQ1y16qEfgPnk"",""BD M Sangrias!a:i""),""select Col6 where Col7"&amp;" = 'Caixa Atendimento' and Col9 = '""&amp;K38&amp;""' and Col6 = ""&amp;M38&amp;"" and Col4 = date '""&amp;YEAR(C38)&amp;""-""&amp;MONTH(C38)&amp;""-""&amp;DAY(C38)&amp;""'""))&gt;0,""Caixa Atendimento"",""Caixa Sangria"")),""""),""Caixa Sangria"")"),"")</f>
        <v/>
      </c>
      <c r="M38" s="185">
        <f>IFERROR(__xludf.DUMMYFUNCTION("ifna(VALUE(REGEXEXTRACT(E38,""[0-9.]+[,]+[0-9]+"")))"),150.0)</f>
        <v>150</v>
      </c>
      <c r="N38" s="108"/>
      <c r="R38" s="110"/>
    </row>
    <row r="39" ht="21.75" customHeight="1">
      <c r="A39" s="178"/>
      <c r="B39" s="12">
        <v>1597546.0</v>
      </c>
      <c r="C39" s="13">
        <v>45867.70350694445</v>
      </c>
      <c r="D39" s="179" t="s">
        <v>152</v>
      </c>
      <c r="E39" s="180" t="s">
        <v>4138</v>
      </c>
      <c r="F39" s="181"/>
      <c r="G39" s="179" t="s">
        <v>158</v>
      </c>
      <c r="H39" s="186"/>
      <c r="I39" s="186"/>
      <c r="J39" s="187" t="s">
        <v>2669</v>
      </c>
      <c r="K39" s="187"/>
      <c r="L39" s="184" t="str">
        <f>IFERROR(__xludf.DUMMYFUNCTION("ifna(IF(and(D39=""Saída"",J39=""Sangria""),if(sum(QUERY(IMPORTRANGE(""https://docs.google.com/spreadsheets/d/1E4szPcLzsqlw4uyBAoJ61L1ChCgpz4wVP8tHfHW1g_c"",""BD M Sangrias!a:i""),""select Col6 where Col7 = 'Depositada' and Col9 = '""&amp;K39&amp;""' and Col6 = """&amp;"&amp;M39&amp;"" and Col4 = date '""&amp;YEAR(C39)&amp;""-""&amp;MONTH(C39)&amp;""-""&amp;DAY(C39)&amp;""'""))&gt;0,""Depositada"",if(sum(QUERY(IMPORTRANGE(""https://docs.google.com/spreadsheets/d/1EcLIvUgMoBC5as4ikW0wuQsGH5yVZ6cQ1y16qEfgPnk"",""BD M Sangrias!a:i""),""select Col6 where Col7"&amp;" = 'Caixa Atendimento' and Col9 = '""&amp;K39&amp;""' and Col6 = ""&amp;M39&amp;"" and Col4 = date '""&amp;YEAR(C39)&amp;""-""&amp;MONTH(C39)&amp;""-""&amp;DAY(C39)&amp;""'""))&gt;0,""Caixa Atendimento"",""Caixa Sangria"")),""""),""Caixa Sangria"")"),"")</f>
        <v/>
      </c>
      <c r="M39" s="185">
        <f>IFERROR(__xludf.DUMMYFUNCTION("ifna(VALUE(REGEXEXTRACT(E39,""[0-9.]+[,]+[0-9]+"")))"),30.0)</f>
        <v>30</v>
      </c>
      <c r="N39" s="108"/>
      <c r="R39" s="110"/>
    </row>
    <row r="40" ht="14.25" customHeight="1">
      <c r="A40" s="178"/>
      <c r="B40" s="12">
        <v>1597590.0</v>
      </c>
      <c r="C40" s="13">
        <v>45867.715</v>
      </c>
      <c r="D40" s="179" t="s">
        <v>81</v>
      </c>
      <c r="E40" s="180" t="s">
        <v>5332</v>
      </c>
      <c r="F40" s="181"/>
      <c r="G40" s="179" t="s">
        <v>4041</v>
      </c>
      <c r="H40" s="186"/>
      <c r="I40" s="186"/>
      <c r="J40" s="187" t="s">
        <v>3151</v>
      </c>
      <c r="K40" s="187"/>
      <c r="L40" s="184" t="str">
        <f>IFERROR(__xludf.DUMMYFUNCTION("ifna(IF(and(D40=""Saída"",J40=""Sangria""),if(sum(QUERY(IMPORTRANGE(""https://docs.google.com/spreadsheets/d/1E4szPcLzsqlw4uyBAoJ61L1ChCgpz4wVP8tHfHW1g_c"",""BD M Sangrias!a:i""),""select Col6 where Col7 = 'Depositada' and Col9 = '""&amp;K40&amp;""' and Col6 = """&amp;"&amp;M40&amp;"" and Col4 = date '""&amp;YEAR(C40)&amp;""-""&amp;MONTH(C40)&amp;""-""&amp;DAY(C40)&amp;""'""))&gt;0,""Depositada"",if(sum(QUERY(IMPORTRANGE(""https://docs.google.com/spreadsheets/d/1EcLIvUgMoBC5as4ikW0wuQsGH5yVZ6cQ1y16qEfgPnk"",""BD M Sangrias!a:i""),""select Col6 where Col7"&amp;" = 'Caixa Atendimento' and Col9 = '""&amp;K40&amp;""' and Col6 = ""&amp;M40&amp;"" and Col4 = date '""&amp;YEAR(C40)&amp;""-""&amp;MONTH(C40)&amp;""-""&amp;DAY(C40)&amp;""'""))&gt;0,""Caixa Atendimento"",""Caixa Sangria"")),""""),""Caixa Sangria"")"),"")</f>
        <v/>
      </c>
      <c r="M40" s="185">
        <f>IFERROR(__xludf.DUMMYFUNCTION("ifna(VALUE(REGEXEXTRACT(E40,""[0-9.]+[,]+[0-9]+"")))"),19.88)</f>
        <v>19.88</v>
      </c>
      <c r="N40" s="108"/>
      <c r="R40" s="110"/>
    </row>
    <row r="41" ht="14.25" customHeight="1">
      <c r="A41" s="178"/>
      <c r="B41" s="12">
        <v>1597627.0</v>
      </c>
      <c r="C41" s="13">
        <v>45867.73248842593</v>
      </c>
      <c r="D41" s="179" t="s">
        <v>81</v>
      </c>
      <c r="E41" s="180" t="s">
        <v>127</v>
      </c>
      <c r="F41" s="188"/>
      <c r="G41" s="179" t="s">
        <v>5296</v>
      </c>
      <c r="H41" s="186"/>
      <c r="I41" s="186"/>
      <c r="J41" s="187" t="s">
        <v>5195</v>
      </c>
      <c r="K41" s="187"/>
      <c r="L41" s="184" t="str">
        <f>IFERROR(__xludf.DUMMYFUNCTION("ifna(IF(and(D41=""Saída"",J41=""Sangria""),if(sum(QUERY(IMPORTRANGE(""https://docs.google.com/spreadsheets/d/1E4szPcLzsqlw4uyBAoJ61L1ChCgpz4wVP8tHfHW1g_c"",""BD M Sangrias!a:i""),""select Col6 where Col7 = 'Depositada' and Col9 = '""&amp;K41&amp;""' and Col6 = """&amp;"&amp;M41&amp;"" and Col4 = date '""&amp;YEAR(C41)&amp;""-""&amp;MONTH(C41)&amp;""-""&amp;DAY(C41)&amp;""'""))&gt;0,""Depositada"",if(sum(QUERY(IMPORTRANGE(""https://docs.google.com/spreadsheets/d/1EcLIvUgMoBC5as4ikW0wuQsGH5yVZ6cQ1y16qEfgPnk"",""BD M Sangrias!a:i""),""select Col6 where Col7"&amp;" = 'Caixa Atendimento' and Col9 = '""&amp;K41&amp;""' and Col6 = ""&amp;M41&amp;"" and Col4 = date '""&amp;YEAR(C41)&amp;""-""&amp;MONTH(C41)&amp;""-""&amp;DAY(C41)&amp;""'""))&gt;0,""Caixa Atendimento"",""Caixa Sangria"")),""""),""Caixa Sangria"")"),"")</f>
        <v/>
      </c>
      <c r="M41" s="185">
        <f>IFERROR(__xludf.DUMMYFUNCTION("ifna(VALUE(REGEXEXTRACT(E41,""[0-9.]+[,]+[0-9]+"")))"),250.0)</f>
        <v>250</v>
      </c>
      <c r="N41" s="108"/>
      <c r="R41" s="110"/>
    </row>
    <row r="42" ht="14.25" customHeight="1">
      <c r="A42" s="178"/>
      <c r="B42" s="12">
        <v>1599607.0</v>
      </c>
      <c r="C42" s="13">
        <v>45868.94353009259</v>
      </c>
      <c r="D42" s="179" t="s">
        <v>81</v>
      </c>
      <c r="E42" s="180" t="s">
        <v>5339</v>
      </c>
      <c r="F42" s="188"/>
      <c r="G42" s="179" t="s">
        <v>4071</v>
      </c>
      <c r="H42" s="186"/>
      <c r="I42" s="186"/>
      <c r="J42" s="187" t="s">
        <v>2735</v>
      </c>
      <c r="K42" s="187" t="s">
        <v>2018</v>
      </c>
      <c r="L42" s="184" t="str">
        <f>IFERROR(__xludf.DUMMYFUNCTION("ifna(IF(and(D42=""Saída"",J42=""Sangria""),if(sum(QUERY(IMPORTRANGE(""https://docs.google.com/spreadsheets/d/1E4szPcLzsqlw4uyBAoJ61L1ChCgpz4wVP8tHfHW1g_c"",""BD M Sangrias!a:i""),""select Col6 where Col7 = 'Depositada' and Col9 = '""&amp;K42&amp;""' and Col6 = """&amp;"&amp;M42&amp;"" and Col4 = date '""&amp;YEAR(C42)&amp;""-""&amp;MONTH(C42)&amp;""-""&amp;DAY(C42)&amp;""'""))&gt;0,""Depositada"",if(sum(QUERY(IMPORTRANGE(""https://docs.google.com/spreadsheets/d/1EcLIvUgMoBC5as4ikW0wuQsGH5yVZ6cQ1y16qEfgPnk"",""BD M Sangrias!a:i""),""select Col6 where Col7"&amp;" = 'Caixa Atendimento' and Col9 = '""&amp;K42&amp;""' and Col6 = ""&amp;M42&amp;"" and Col4 = date '""&amp;YEAR(C42)&amp;""-""&amp;MONTH(C42)&amp;""-""&amp;DAY(C42)&amp;""'""))&gt;0,""Caixa Atendimento"",""Caixa Sangria"")),""""),""Caixa Sangria"")"),"#REF!")</f>
        <v>#REF!</v>
      </c>
      <c r="M42" s="185">
        <f>IFERROR(__xludf.DUMMYFUNCTION("ifna(VALUE(REGEXEXTRACT(E42,""[0-9.]+[,]+[0-9]+"")))"),1440.0)</f>
        <v>1440</v>
      </c>
      <c r="N42" s="108"/>
      <c r="R42" s="110"/>
    </row>
    <row r="43" ht="14.25" customHeight="1">
      <c r="A43" s="178"/>
      <c r="B43" s="12">
        <v>1599905.0</v>
      </c>
      <c r="C43" s="13">
        <v>45869.62060185185</v>
      </c>
      <c r="D43" s="179" t="s">
        <v>152</v>
      </c>
      <c r="E43" s="180" t="s">
        <v>5344</v>
      </c>
      <c r="F43" s="181"/>
      <c r="G43" s="179" t="s">
        <v>158</v>
      </c>
      <c r="H43" s="189"/>
      <c r="I43" s="189"/>
      <c r="J43" s="187" t="s">
        <v>2669</v>
      </c>
      <c r="K43" s="187"/>
      <c r="L43" s="184" t="str">
        <f>IFERROR(__xludf.DUMMYFUNCTION("ifna(IF(and(D43=""Saída"",J43=""Sangria""),if(sum(QUERY(IMPORTRANGE(""https://docs.google.com/spreadsheets/d/1E4szPcLzsqlw4uyBAoJ61L1ChCgpz4wVP8tHfHW1g_c"",""BD M Sangrias!a:i""),""select Col6 where Col7 = 'Depositada' and Col9 = '""&amp;K43&amp;""' and Col6 = """&amp;"&amp;M43&amp;"" and Col4 = date '""&amp;YEAR(C43)&amp;""-""&amp;MONTH(C43)&amp;""-""&amp;DAY(C43)&amp;""'""))&gt;0,""Depositada"",if(sum(QUERY(IMPORTRANGE(""https://docs.google.com/spreadsheets/d/1EcLIvUgMoBC5as4ikW0wuQsGH5yVZ6cQ1y16qEfgPnk"",""BD M Sangrias!a:i""),""select Col6 where Col7"&amp;" = 'Caixa Atendimento' and Col9 = '""&amp;K43&amp;""' and Col6 = ""&amp;M43&amp;"" and Col4 = date '""&amp;YEAR(C43)&amp;""-""&amp;MONTH(C43)&amp;""-""&amp;DAY(C43)&amp;""'""))&gt;0,""Caixa Atendimento"",""Caixa Sangria"")),""""),""Caixa Sangria"")"),"")</f>
        <v/>
      </c>
      <c r="M43" s="185">
        <f>IFERROR(__xludf.DUMMYFUNCTION("ifna(VALUE(REGEXEXTRACT(E43,""[0-9.]+[,]+[0-9]+"")))"),11.5)</f>
        <v>11.5</v>
      </c>
      <c r="N43" s="108"/>
      <c r="R43" s="110"/>
    </row>
    <row r="44" ht="14.25" customHeight="1">
      <c r="A44" s="178"/>
      <c r="B44" s="12">
        <v>1600069.0</v>
      </c>
      <c r="C44" s="13">
        <v>45869.680601851855</v>
      </c>
      <c r="D44" s="179" t="s">
        <v>81</v>
      </c>
      <c r="E44" s="180" t="s">
        <v>910</v>
      </c>
      <c r="F44" s="181"/>
      <c r="G44" s="179" t="s">
        <v>5348</v>
      </c>
      <c r="H44" s="189"/>
      <c r="I44" s="189"/>
      <c r="J44" s="187" t="s">
        <v>2735</v>
      </c>
      <c r="K44" s="187" t="s">
        <v>2018</v>
      </c>
      <c r="L44" s="184" t="str">
        <f>IFERROR(__xludf.DUMMYFUNCTION("ifna(IF(and(D44=""Saída"",J44=""Sangria""),if(sum(QUERY(IMPORTRANGE(""https://docs.google.com/spreadsheets/d/1E4szPcLzsqlw4uyBAoJ61L1ChCgpz4wVP8tHfHW1g_c"",""BD M Sangrias!a:i""),""select Col6 where Col7 = 'Depositada' and Col9 = '""&amp;K44&amp;""' and Col6 = """&amp;"&amp;M44&amp;"" and Col4 = date '""&amp;YEAR(C44)&amp;""-""&amp;MONTH(C44)&amp;""-""&amp;DAY(C44)&amp;""'""))&gt;0,""Depositada"",if(sum(QUERY(IMPORTRANGE(""https://docs.google.com/spreadsheets/d/1EcLIvUgMoBC5as4ikW0wuQsGH5yVZ6cQ1y16qEfgPnk"",""BD M Sangrias!a:i""),""select Col6 where Col7"&amp;" = 'Caixa Atendimento' and Col9 = '""&amp;K44&amp;""' and Col6 = ""&amp;M44&amp;"" and Col4 = date '""&amp;YEAR(C44)&amp;""-""&amp;MONTH(C44)&amp;""-""&amp;DAY(C44)&amp;""'""))&gt;0,""Caixa Atendimento"",""Caixa Sangria"")),""""),""Caixa Sangria"")"),"#REF!")</f>
        <v>#REF!</v>
      </c>
      <c r="M44" s="185">
        <f>IFERROR(__xludf.DUMMYFUNCTION("ifna(VALUE(REGEXEXTRACT(E44,""[0-9.]+[,]+[0-9]+"")))"),1000.0)</f>
        <v>1000</v>
      </c>
      <c r="N44" s="108"/>
      <c r="R44" s="110"/>
    </row>
    <row r="45" ht="14.25" customHeight="1">
      <c r="A45" s="178"/>
      <c r="B45" s="12">
        <v>1600140.0</v>
      </c>
      <c r="C45" s="13">
        <v>45869.70255787037</v>
      </c>
      <c r="D45" s="179" t="s">
        <v>152</v>
      </c>
      <c r="E45" s="180" t="s">
        <v>979</v>
      </c>
      <c r="F45" s="181"/>
      <c r="G45" s="179" t="s">
        <v>267</v>
      </c>
      <c r="H45" s="190"/>
      <c r="I45" s="190"/>
      <c r="J45" s="187" t="s">
        <v>2669</v>
      </c>
      <c r="K45" s="187"/>
      <c r="L45" s="184" t="str">
        <f>IFERROR(__xludf.DUMMYFUNCTION("ifna(IF(and(D45=""Saída"",J45=""Sangria""),if(sum(QUERY(IMPORTRANGE(""https://docs.google.com/spreadsheets/d/1E4szPcLzsqlw4uyBAoJ61L1ChCgpz4wVP8tHfHW1g_c"",""BD M Sangrias!a:i""),""select Col6 where Col7 = 'Depositada' and Col9 = '""&amp;K45&amp;""' and Col6 = """&amp;"&amp;M45&amp;"" and Col4 = date '""&amp;YEAR(C45)&amp;""-""&amp;MONTH(C45)&amp;""-""&amp;DAY(C45)&amp;""'""))&gt;0,""Depositada"",if(sum(QUERY(IMPORTRANGE(""https://docs.google.com/spreadsheets/d/1EcLIvUgMoBC5as4ikW0wuQsGH5yVZ6cQ1y16qEfgPnk"",""BD M Sangrias!a:i""),""select Col6 where Col7"&amp;" = 'Caixa Atendimento' and Col9 = '""&amp;K45&amp;""' and Col6 = ""&amp;M45&amp;"" and Col4 = date '""&amp;YEAR(C45)&amp;""-""&amp;MONTH(C45)&amp;""-""&amp;DAY(C45)&amp;""'""))&gt;0,""Caixa Atendimento"",""Caixa Sangria"")),""""),""Caixa Sangria"")"),"")</f>
        <v/>
      </c>
      <c r="M45" s="185">
        <f>IFERROR(__xludf.DUMMYFUNCTION("ifna(VALUE(REGEXEXTRACT(E45,""[0-9.]+[,]+[0-9]+"")))"),3.0)</f>
        <v>3</v>
      </c>
      <c r="N45" s="108"/>
      <c r="R45" s="110"/>
    </row>
    <row r="46" ht="18.75" customHeight="1">
      <c r="A46" s="178"/>
      <c r="B46" s="12">
        <v>1601052.0</v>
      </c>
      <c r="C46" s="13">
        <v>45869.96533564815</v>
      </c>
      <c r="D46" s="179" t="s">
        <v>81</v>
      </c>
      <c r="E46" s="180" t="s">
        <v>343</v>
      </c>
      <c r="F46" s="188"/>
      <c r="G46" s="179" t="s">
        <v>4071</v>
      </c>
      <c r="H46" s="190"/>
      <c r="I46" s="190"/>
      <c r="J46" s="187" t="s">
        <v>2735</v>
      </c>
      <c r="K46" s="187" t="s">
        <v>2018</v>
      </c>
      <c r="L46" s="184" t="str">
        <f>IFERROR(__xludf.DUMMYFUNCTION("ifna(IF(and(D46=""Saída"",J46=""Sangria""),if(sum(QUERY(IMPORTRANGE(""https://docs.google.com/spreadsheets/d/1E4szPcLzsqlw4uyBAoJ61L1ChCgpz4wVP8tHfHW1g_c"",""BD M Sangrias!a:i""),""select Col6 where Col7 = 'Depositada' and Col9 = '""&amp;K46&amp;""' and Col6 = """&amp;"&amp;M46&amp;"" and Col4 = date '""&amp;YEAR(C46)&amp;""-""&amp;MONTH(C46)&amp;""-""&amp;DAY(C46)&amp;""'""))&gt;0,""Depositada"",if(sum(QUERY(IMPORTRANGE(""https://docs.google.com/spreadsheets/d/1EcLIvUgMoBC5as4ikW0wuQsGH5yVZ6cQ1y16qEfgPnk"",""BD M Sangrias!a:i""),""select Col6 where Col7"&amp;" = 'Caixa Atendimento' and Col9 = '""&amp;K46&amp;""' and Col6 = ""&amp;M46&amp;"" and Col4 = date '""&amp;YEAR(C46)&amp;""-""&amp;MONTH(C46)&amp;""-""&amp;DAY(C46)&amp;""'""))&gt;0,""Caixa Atendimento"",""Caixa Sangria"")),""""),""Caixa Sangria"")"),"#REF!")</f>
        <v>#REF!</v>
      </c>
      <c r="M46" s="185">
        <f>IFERROR(__xludf.DUMMYFUNCTION("ifna(VALUE(REGEXEXTRACT(E46,""[0-9.]+[,]+[0-9]+"")))"),550.0)</f>
        <v>550</v>
      </c>
      <c r="N46" s="108"/>
      <c r="R46" s="110"/>
    </row>
    <row r="47" ht="14.25" customHeight="1">
      <c r="A47" s="178"/>
      <c r="B47" s="12">
        <v>1601234.0</v>
      </c>
      <c r="C47" s="13">
        <v>45870.53449074074</v>
      </c>
      <c r="D47" s="179" t="s">
        <v>81</v>
      </c>
      <c r="E47" s="180" t="s">
        <v>5357</v>
      </c>
      <c r="F47" s="181"/>
      <c r="G47" s="179" t="s">
        <v>5358</v>
      </c>
      <c r="H47" s="190"/>
      <c r="I47" s="190"/>
      <c r="J47" s="187" t="s">
        <v>3151</v>
      </c>
      <c r="K47" s="187"/>
      <c r="L47" s="184" t="str">
        <f>IFERROR(__xludf.DUMMYFUNCTION("ifna(IF(and(D47=""Saída"",J47=""Sangria""),if(sum(QUERY(IMPORTRANGE(""https://docs.google.com/spreadsheets/d/1E4szPcLzsqlw4uyBAoJ61L1ChCgpz4wVP8tHfHW1g_c"",""BD M Sangrias!a:i""),""select Col6 where Col7 = 'Depositada' and Col9 = '""&amp;K48&amp;""' and Col6 = """&amp;"&amp;M47&amp;"" and Col4 = date '""&amp;YEAR(C47)&amp;""-""&amp;MONTH(C47)&amp;""-""&amp;DAY(C47)&amp;""'""))&gt;0,""Depositada"",if(sum(QUERY(IMPORTRANGE(""https://docs.google.com/spreadsheets/d/1EcLIvUgMoBC5as4ikW0wuQsGH5yVZ6cQ1y16qEfgPnk"",""BD M Sangrias!a:i""),""select Col6 where Col7"&amp;" = 'Caixa Atendimento' and Col9 = '""&amp;K48&amp;""' and Col6 = ""&amp;M47&amp;"" and Col4 = date '""&amp;YEAR(C47)&amp;""-""&amp;MONTH(C47)&amp;""-""&amp;DAY(C47)&amp;""'""))&gt;0,""Caixa Atendimento"",""Caixa Sangria"")),""""),""Caixa Sangria"")"),"")</f>
        <v/>
      </c>
      <c r="M47" s="185">
        <f>IFERROR(__xludf.DUMMYFUNCTION("ifna(VALUE(REGEXEXTRACT(E47,""[0-9.]+[,]+[0-9]+"")))"),10.08)</f>
        <v>10.08</v>
      </c>
      <c r="R47" s="110"/>
    </row>
    <row r="48">
      <c r="A48" s="178"/>
      <c r="B48" s="12">
        <v>1601395.0</v>
      </c>
      <c r="C48" s="13">
        <v>45870.605474537035</v>
      </c>
      <c r="D48" s="179" t="s">
        <v>152</v>
      </c>
      <c r="E48" s="180" t="s">
        <v>5363</v>
      </c>
      <c r="F48" s="181"/>
      <c r="G48" s="179" t="s">
        <v>158</v>
      </c>
      <c r="H48" s="190"/>
      <c r="I48" s="190"/>
      <c r="J48" s="187" t="s">
        <v>2669</v>
      </c>
      <c r="K48" s="187"/>
      <c r="L48" s="184" t="str">
        <f>IFERROR(__xludf.DUMMYFUNCTION("ifna(IF(and(D48=""Saída"",J48=""Sangria""),if(sum(QUERY(IMPORTRANGE(""https://docs.google.com/spreadsheets/d/1E4szPcLzsqlw4uyBAoJ61L1ChCgpz4wVP8tHfHW1g_c"",""BD M Sangrias!a:i""),""select Col6 where Col7 = 'Depositada' and Col9 = '""&amp;#REF!&amp;""' and Col6 = "&amp;"""&amp;M48&amp;"" and Col4 = date '""&amp;YEAR(C48)&amp;""-""&amp;MONTH(C48)&amp;""-""&amp;DAY(C48)&amp;""'""))&gt;0,""Depositada"",if(sum(QUERY(IMPORTRANGE(""https://docs.google.com/spreadsheets/d/1EcLIvUgMoBC5as4ikW0wuQsGH5yVZ6cQ1y16qEfgPnk"",""BD M Sangrias!a:i""),""select Col6 where Co"&amp;"l7 = 'Caixa Atendimento' and Col9 = '""&amp;#REF!&amp;""' and Col6 = ""&amp;M48&amp;"" and Col4 = date '""&amp;YEAR(C48)&amp;""-""&amp;MONTH(C48)&amp;""-""&amp;DAY(C48)&amp;""'""))&gt;0,""Caixa Atendimento"",""Caixa Sangria"")),""""),""Caixa Sangria"")"),"")</f>
        <v/>
      </c>
      <c r="M48" s="185">
        <f>IFERROR(__xludf.DUMMYFUNCTION("ifna(VALUE(REGEXEXTRACT(E48,""[0-9.]+[,]+[0-9]+"")))"),35.85)</f>
        <v>35.85</v>
      </c>
      <c r="N48" s="193" t="str">
        <f>B8</f>
        <v/>
      </c>
      <c r="O48" s="106"/>
      <c r="P48" s="106"/>
      <c r="Q48" s="106"/>
      <c r="R48" s="110"/>
      <c r="S48" s="123" t="str">
        <f>B9</f>
        <v/>
      </c>
      <c r="T48" s="106"/>
      <c r="U48" s="106"/>
      <c r="V48" s="124"/>
    </row>
    <row r="49" ht="14.25" customHeight="1">
      <c r="A49" s="178"/>
      <c r="B49" s="12">
        <v>1601466.0</v>
      </c>
      <c r="C49" s="13">
        <v>45870.62998842593</v>
      </c>
      <c r="D49" s="179" t="s">
        <v>152</v>
      </c>
      <c r="E49" s="180" t="s">
        <v>162</v>
      </c>
      <c r="F49" s="181"/>
      <c r="G49" s="179" t="s">
        <v>5192</v>
      </c>
      <c r="H49" s="190"/>
      <c r="I49" s="190"/>
      <c r="J49" s="187" t="s">
        <v>5195</v>
      </c>
      <c r="K49" s="187"/>
      <c r="L49" s="184" t="str">
        <f>IFERROR(__xludf.DUMMYFUNCTION("ifna(IF(and(D49=""Saída"",J49=""Sangria""),if(sum(QUERY(IMPORTRANGE(""https://docs.google.com/spreadsheets/d/1E4szPcLzsqlw4uyBAoJ61L1ChCgpz4wVP8tHfHW1g_c"",""BD M Sangrias!a:i""),""select Col6 where Col7 = 'Depositada' and Col9 = '""&amp;K49&amp;""' and Col6 = """&amp;"&amp;M49&amp;"" and Col4 = date '""&amp;YEAR(C49)&amp;""-""&amp;MONTH(C49)&amp;""-""&amp;DAY(C49)&amp;""'""))&gt;0,""Depositada"",if(sum(QUERY(IMPORTRANGE(""https://docs.google.com/spreadsheets/d/1EcLIvUgMoBC5as4ikW0wuQsGH5yVZ6cQ1y16qEfgPnk"",""BD M Sangrias!a:i""),""select Col6 where Col7"&amp;" = 'Caixa Atendimento' and Col9 = '""&amp;K49&amp;""' and Col6 = ""&amp;M49&amp;"" and Col4 = date '""&amp;YEAR(C49)&amp;""-""&amp;MONTH(C49)&amp;""-""&amp;DAY(C49)&amp;""'""))&gt;0,""Caixa Atendimento"",""Caixa Sangria"")),""""),""Caixa Sangria"")"),"")</f>
        <v/>
      </c>
      <c r="M49" s="185">
        <f>IFERROR(__xludf.DUMMYFUNCTION("ifna(VALUE(REGEXEXTRACT(E49,""[0-9.]+[,]+[0-9]+"")))"),150.0)</f>
        <v>150</v>
      </c>
      <c r="N49" s="46" t="str">
        <f>IFERROR(__xludf.DUMMYFUNCTION("query(C28:L504,""select Col1,Col3,Col8,Col9 where (Col8 = 'Adiantamento' or Col8 = 'Consumo') and Col9 = '""&amp;B8&amp;""'"",1)"),"Data")</f>
        <v>Data</v>
      </c>
      <c r="O49" s="47" t="str">
        <f>IFERROR(__xludf.DUMMYFUNCTION("""COMPUTED_VALUE"""),"Valor ")</f>
        <v>Valor </v>
      </c>
      <c r="P49" s="47" t="str">
        <f>IFERROR(__xludf.DUMMYFUNCTION("""COMPUTED_VALUE"""),"Tipo")</f>
        <v>Tipo</v>
      </c>
      <c r="Q49" s="47" t="str">
        <f>IFERROR(__xludf.DUMMYFUNCTION("""COMPUTED_VALUE"""),"Funcionário")</f>
        <v>Funcionário</v>
      </c>
      <c r="R49" s="49"/>
      <c r="S49" s="50" t="str">
        <f>IFERROR(__xludf.DUMMYFUNCTION("query(C28:L504,""select Col1,Col3,Col8,Col9 where (Col8 = 'Adiantamento' or Col8 = 'Consumo') and Col9 = '""&amp;B9&amp;""'"",1)"),"Data")</f>
        <v>Data</v>
      </c>
      <c r="T49" s="50" t="str">
        <f>IFERROR(__xludf.DUMMYFUNCTION("""COMPUTED_VALUE"""),"Valor ")</f>
        <v>Valor </v>
      </c>
      <c r="U49" s="50" t="str">
        <f>IFERROR(__xludf.DUMMYFUNCTION("""COMPUTED_VALUE"""),"Tipo")</f>
        <v>Tipo</v>
      </c>
      <c r="V49" s="51" t="str">
        <f>IFERROR(__xludf.DUMMYFUNCTION("""COMPUTED_VALUE"""),"Funcionário")</f>
        <v>Funcionário</v>
      </c>
    </row>
    <row r="50" ht="14.25" customHeight="1">
      <c r="A50" s="178"/>
      <c r="B50" s="12">
        <v>1601469.0</v>
      </c>
      <c r="C50" s="13">
        <v>45870.63041666667</v>
      </c>
      <c r="D50" s="179" t="s">
        <v>81</v>
      </c>
      <c r="E50" s="180" t="s">
        <v>5382</v>
      </c>
      <c r="F50" s="181"/>
      <c r="G50" s="179" t="s">
        <v>5383</v>
      </c>
      <c r="H50" s="190"/>
      <c r="I50" s="190"/>
      <c r="J50" s="187" t="s">
        <v>3151</v>
      </c>
      <c r="K50" s="187"/>
      <c r="L50" s="184" t="str">
        <f>IFERROR(__xludf.DUMMYFUNCTION("ifna(IF(and(D50=""Saída"",J50=""Sangria""),if(sum(QUERY(IMPORTRANGE(""https://docs.google.com/spreadsheets/d/1E4szPcLzsqlw4uyBAoJ61L1ChCgpz4wVP8tHfHW1g_c"",""BD M Sangrias!a:i""),""select Col6 where Col7 = 'Depositada' and Col9 = '""&amp;K50&amp;""' and Col6 = """&amp;"&amp;M50&amp;"" and Col4 = date '""&amp;YEAR(C50)&amp;""-""&amp;MONTH(C50)&amp;""-""&amp;DAY(C50)&amp;""'""))&gt;0,""Depositada"",if(sum(QUERY(IMPORTRANGE(""https://docs.google.com/spreadsheets/d/1EcLIvUgMoBC5as4ikW0wuQsGH5yVZ6cQ1y16qEfgPnk"",""BD M Sangrias!a:i""),""select Col6 where Col7"&amp;" = 'Caixa Atendimento' and Col9 = '""&amp;K50&amp;""' and Col6 = ""&amp;M50&amp;"" and Col4 = date '""&amp;YEAR(C50)&amp;""-""&amp;MONTH(C50)&amp;""-""&amp;DAY(C50)&amp;""'""))&gt;0,""Caixa Atendimento"",""Caixa Sangria"")),""""),""Caixa Sangria"")"),"")</f>
        <v/>
      </c>
      <c r="M50" s="185">
        <f>IFERROR(__xludf.DUMMYFUNCTION("ifna(VALUE(REGEXEXTRACT(E50,""[0-9.]+[,]+[0-9]+"")))"),142.55)</f>
        <v>142.55</v>
      </c>
      <c r="N50" s="52"/>
      <c r="O50" s="53"/>
      <c r="P50" s="53"/>
      <c r="Q50" s="53"/>
      <c r="R50" s="55"/>
      <c r="S50" s="53"/>
      <c r="T50" s="53"/>
      <c r="U50" s="53"/>
      <c r="V50" s="54"/>
    </row>
    <row r="51" ht="19.5" customHeight="1">
      <c r="A51" s="178"/>
      <c r="B51" s="12">
        <v>1601793.0</v>
      </c>
      <c r="C51" s="13">
        <v>45870.716412037036</v>
      </c>
      <c r="D51" s="179" t="s">
        <v>152</v>
      </c>
      <c r="E51" s="180" t="s">
        <v>659</v>
      </c>
      <c r="F51" s="181"/>
      <c r="G51" s="179" t="s">
        <v>158</v>
      </c>
      <c r="H51" s="190"/>
      <c r="I51" s="190"/>
      <c r="J51" s="187" t="s">
        <v>2669</v>
      </c>
      <c r="K51" s="187"/>
      <c r="L51" s="184" t="str">
        <f>IFERROR(__xludf.DUMMYFUNCTION("ifna(IF(and(D51=""Saída"",J51=""Sangria""),if(sum(QUERY(IMPORTRANGE(""https://docs.google.com/spreadsheets/d/1E4szPcLzsqlw4uyBAoJ61L1ChCgpz4wVP8tHfHW1g_c"",""BD M Sangrias!a:i""),""select Col6 where Col7 = 'Depositada' and Col9 = '""&amp;K51&amp;""' and Col6 = """&amp;"&amp;M51&amp;"" and Col4 = date '""&amp;YEAR(C51)&amp;""-""&amp;MONTH(C51)&amp;""-""&amp;DAY(C51)&amp;""'""))&gt;0,""Depositada"",if(sum(QUERY(IMPORTRANGE(""https://docs.google.com/spreadsheets/d/1EcLIvUgMoBC5as4ikW0wuQsGH5yVZ6cQ1y16qEfgPnk"",""BD M Sangrias!a:i""),""select Col6 where Col7"&amp;" = 'Caixa Atendimento' and Col9 = '""&amp;K51&amp;""' and Col6 = ""&amp;M51&amp;"" and Col4 = date '""&amp;YEAR(C51)&amp;""-""&amp;MONTH(C51)&amp;""-""&amp;DAY(C51)&amp;""'""))&gt;0,""Caixa Atendimento"",""Caixa Sangria"")),""""),""Caixa Sangria"")"),"")</f>
        <v/>
      </c>
      <c r="M51" s="185">
        <f>IFERROR(__xludf.DUMMYFUNCTION("ifna(VALUE(REGEXEXTRACT(E51,""[0-9.]+[,]+[0-9]+"")))"),5.0)</f>
        <v>5</v>
      </c>
      <c r="N51" s="52"/>
      <c r="O51" s="53"/>
      <c r="P51" s="53"/>
      <c r="Q51" s="53"/>
      <c r="R51" s="55"/>
      <c r="S51" s="53"/>
      <c r="T51" s="53"/>
      <c r="U51" s="53"/>
      <c r="V51" s="54"/>
    </row>
    <row r="52" ht="14.25" customHeight="1">
      <c r="A52" s="178"/>
      <c r="B52" s="12">
        <v>1602013.0</v>
      </c>
      <c r="C52" s="13">
        <v>45870.7716087963</v>
      </c>
      <c r="D52" s="179" t="s">
        <v>81</v>
      </c>
      <c r="E52" s="180" t="s">
        <v>5399</v>
      </c>
      <c r="F52" s="188"/>
      <c r="G52" s="179" t="s">
        <v>5400</v>
      </c>
      <c r="H52" s="190"/>
      <c r="I52" s="190"/>
      <c r="J52" s="187" t="s">
        <v>5403</v>
      </c>
      <c r="K52" s="187"/>
      <c r="L52" s="184" t="str">
        <f>IFERROR(__xludf.DUMMYFUNCTION("ifna(IF(and(D52=""Saída"",J52=""Sangria""),if(sum(QUERY(IMPORTRANGE(""https://docs.google.com/spreadsheets/d/1E4szPcLzsqlw4uyBAoJ61L1ChCgpz4wVP8tHfHW1g_c"",""BD M Sangrias!a:i""),""select Col6 where Col7 = 'Depositada' and Col9 = '""&amp;K52&amp;""' and Col6 = """&amp;"&amp;M52&amp;"" and Col4 = date '""&amp;YEAR(C52)&amp;""-""&amp;MONTH(C52)&amp;""-""&amp;DAY(C52)&amp;""'""))&gt;0,""Depositada"",if(sum(QUERY(IMPORTRANGE(""https://docs.google.com/spreadsheets/d/1EcLIvUgMoBC5as4ikW0wuQsGH5yVZ6cQ1y16qEfgPnk"",""BD M Sangrias!a:i""),""select Col6 where Col7"&amp;" = 'Caixa Atendimento' and Col9 = '""&amp;K52&amp;""' and Col6 = ""&amp;M52&amp;"" and Col4 = date '""&amp;YEAR(C52)&amp;""-""&amp;MONTH(C52)&amp;""-""&amp;DAY(C52)&amp;""'""))&gt;0,""Caixa Atendimento"",""Caixa Sangria"")),""""),""Caixa Sangria"")"),"")</f>
        <v/>
      </c>
      <c r="M52" s="185">
        <f>IFERROR(__xludf.DUMMYFUNCTION("ifna(VALUE(REGEXEXTRACT(E52,""[0-9.]+[,]+[0-9]+"")))"),75.0)</f>
        <v>75</v>
      </c>
      <c r="N52" s="52"/>
      <c r="O52" s="53"/>
      <c r="P52" s="53"/>
      <c r="Q52" s="53"/>
      <c r="R52" s="55"/>
      <c r="S52" s="53"/>
      <c r="T52" s="53"/>
      <c r="U52" s="53"/>
      <c r="V52" s="54"/>
    </row>
    <row r="53" ht="14.25" customHeight="1">
      <c r="A53" s="178"/>
      <c r="B53" s="12">
        <v>1602081.0</v>
      </c>
      <c r="C53" s="13">
        <v>45870.799097222225</v>
      </c>
      <c r="D53" s="179" t="s">
        <v>81</v>
      </c>
      <c r="E53" s="180" t="s">
        <v>5410</v>
      </c>
      <c r="F53" s="181"/>
      <c r="G53" s="179" t="s">
        <v>5413</v>
      </c>
      <c r="H53" s="190"/>
      <c r="I53" s="190"/>
      <c r="J53" s="187" t="s">
        <v>2735</v>
      </c>
      <c r="K53" s="187" t="s">
        <v>2018</v>
      </c>
      <c r="L53" s="184" t="str">
        <f>IFERROR(__xludf.DUMMYFUNCTION("ifna(IF(and(D53=""Saída"",J53=""Sangria""),if(sum(QUERY(IMPORTRANGE(""https://docs.google.com/spreadsheets/d/1E4szPcLzsqlw4uyBAoJ61L1ChCgpz4wVP8tHfHW1g_c"",""BD M Sangrias!a:i""),""select Col6 where Col7 = 'Depositada' and Col9 = '""&amp;K53&amp;""' and Col6 = """&amp;"&amp;M53&amp;"" and Col4 = date '""&amp;YEAR(C53)&amp;""-""&amp;MONTH(C53)&amp;""-""&amp;DAY(C53)&amp;""'""))&gt;0,""Depositada"",if(sum(QUERY(IMPORTRANGE(""https://docs.google.com/spreadsheets/d/1EcLIvUgMoBC5as4ikW0wuQsGH5yVZ6cQ1y16qEfgPnk"",""BD M Sangrias!a:i""),""select Col6 where Col7"&amp;" = 'Caixa Atendimento' and Col9 = '""&amp;K53&amp;""' and Col6 = ""&amp;M53&amp;"" and Col4 = date '""&amp;YEAR(C53)&amp;""-""&amp;MONTH(C53)&amp;""-""&amp;DAY(C53)&amp;""'""))&gt;0,""Caixa Atendimento"",""Caixa Sangria"")),""""),""Caixa Sangria"")"),"#REF!")</f>
        <v>#REF!</v>
      </c>
      <c r="M53" s="185">
        <f>IFERROR(__xludf.DUMMYFUNCTION("ifna(VALUE(REGEXEXTRACT(E53,""[0-9.]+[,]+[0-9]+"")))"),1550.0)</f>
        <v>1550</v>
      </c>
      <c r="N53" s="52"/>
      <c r="O53" s="53"/>
      <c r="P53" s="53"/>
      <c r="Q53" s="53"/>
      <c r="R53" s="55"/>
      <c r="S53" s="53"/>
      <c r="T53" s="53"/>
      <c r="U53" s="53"/>
      <c r="V53" s="54"/>
    </row>
    <row r="54" ht="14.25" customHeight="1">
      <c r="A54" s="178"/>
      <c r="B54" s="12">
        <v>1603401.0</v>
      </c>
      <c r="C54" s="13">
        <v>45871.67707175926</v>
      </c>
      <c r="D54" s="179" t="s">
        <v>152</v>
      </c>
      <c r="E54" s="180" t="s">
        <v>5420</v>
      </c>
      <c r="F54" s="181"/>
      <c r="G54" s="179" t="s">
        <v>267</v>
      </c>
      <c r="H54" s="190"/>
      <c r="I54" s="190"/>
      <c r="J54" s="187" t="s">
        <v>2669</v>
      </c>
      <c r="K54" s="187"/>
      <c r="L54" s="184" t="str">
        <f>IFERROR(__xludf.DUMMYFUNCTION("ifna(IF(and(D54=""Saída"",J54=""Sangria""),if(sum(QUERY(IMPORTRANGE(""https://docs.google.com/spreadsheets/d/1E4szPcLzsqlw4uyBAoJ61L1ChCgpz4wVP8tHfHW1g_c"",""BD M Sangrias!a:i""),""select Col6 where Col7 = 'Depositada' and Col9 = '""&amp;K54&amp;""' and Col6 = """&amp;"&amp;M54&amp;"" and Col4 = date '""&amp;YEAR(C54)&amp;""-""&amp;MONTH(C54)&amp;""-""&amp;DAY(C54)&amp;""'""))&gt;0,""Depositada"",if(sum(QUERY(IMPORTRANGE(""https://docs.google.com/spreadsheets/d/1EcLIvUgMoBC5as4ikW0wuQsGH5yVZ6cQ1y16qEfgPnk"",""BD M Sangrias!a:i""),""select Col6 where Col7"&amp;" = 'Caixa Atendimento' and Col9 = '""&amp;K54&amp;""' and Col6 = ""&amp;M54&amp;"" and Col4 = date '""&amp;YEAR(C54)&amp;""-""&amp;MONTH(C54)&amp;""-""&amp;DAY(C54)&amp;""'""))&gt;0,""Caixa Atendimento"",""Caixa Sangria"")),""""),""Caixa Sangria"")"),"")</f>
        <v/>
      </c>
      <c r="M54" s="185">
        <f>IFERROR(__xludf.DUMMYFUNCTION("ifna(VALUE(REGEXEXTRACT(E54,""[0-9.]+[,]+[0-9]+"")))"),26.0)</f>
        <v>26</v>
      </c>
      <c r="N54" s="52"/>
      <c r="O54" s="53"/>
      <c r="P54" s="53"/>
      <c r="Q54" s="53"/>
      <c r="R54" s="55"/>
      <c r="S54" s="53"/>
      <c r="T54" s="53"/>
      <c r="U54" s="53"/>
      <c r="V54" s="54"/>
    </row>
    <row r="55" ht="14.25" customHeight="1">
      <c r="A55" s="178"/>
      <c r="B55" s="12">
        <v>1603662.0</v>
      </c>
      <c r="C55" s="13">
        <v>45871.72971064815</v>
      </c>
      <c r="D55" s="179" t="s">
        <v>81</v>
      </c>
      <c r="E55" s="180" t="s">
        <v>5424</v>
      </c>
      <c r="F55" s="181"/>
      <c r="G55" s="179" t="s">
        <v>3907</v>
      </c>
      <c r="H55" s="190"/>
      <c r="I55" s="190"/>
      <c r="J55" s="187" t="s">
        <v>2735</v>
      </c>
      <c r="K55" s="187" t="s">
        <v>2018</v>
      </c>
      <c r="L55" s="184" t="str">
        <f>IFERROR(__xludf.DUMMYFUNCTION("ifna(IF(and(D55=""Saída"",J55=""Sangria""),if(sum(QUERY(IMPORTRANGE(""https://docs.google.com/spreadsheets/d/1E4szPcLzsqlw4uyBAoJ61L1ChCgpz4wVP8tHfHW1g_c"",""BD M Sangrias!a:i""),""select Col6 where Col7 = 'Depositada' and Col9 = '""&amp;K55&amp;""' and Col6 = """&amp;"&amp;M55&amp;"" and Col4 = date '""&amp;YEAR(C55)&amp;""-""&amp;MONTH(C55)&amp;""-""&amp;DAY(C55)&amp;""'""))&gt;0,""Depositada"",if(sum(QUERY(IMPORTRANGE(""https://docs.google.com/spreadsheets/d/1EcLIvUgMoBC5as4ikW0wuQsGH5yVZ6cQ1y16qEfgPnk"",""BD M Sangrias!a:i""),""select Col6 where Col7"&amp;" = 'Caixa Atendimento' and Col9 = '""&amp;K55&amp;""' and Col6 = ""&amp;M55&amp;"" and Col4 = date '""&amp;YEAR(C55)&amp;""-""&amp;MONTH(C55)&amp;""-""&amp;DAY(C55)&amp;""'""))&gt;0,""Caixa Atendimento"",""Caixa Sangria"")),""""),""Caixa Sangria"")"),"#REF!")</f>
        <v>#REF!</v>
      </c>
      <c r="M55" s="185">
        <f>IFERROR(__xludf.DUMMYFUNCTION("ifna(VALUE(REGEXEXTRACT(E55,""[0-9.]+[,]+[0-9]+"")))"),1500.0)</f>
        <v>1500</v>
      </c>
      <c r="N55" s="52"/>
      <c r="O55" s="79"/>
      <c r="P55" s="79"/>
      <c r="Q55" s="79"/>
      <c r="R55" s="81"/>
      <c r="S55" s="79"/>
      <c r="T55" s="79"/>
      <c r="U55" s="79"/>
      <c r="V55" s="80"/>
    </row>
    <row r="56" ht="14.25" customHeight="1">
      <c r="A56" s="178"/>
      <c r="B56" s="12">
        <v>1604243.0</v>
      </c>
      <c r="C56" s="13">
        <v>45871.84947916667</v>
      </c>
      <c r="D56" s="179" t="s">
        <v>81</v>
      </c>
      <c r="E56" s="180" t="s">
        <v>3486</v>
      </c>
      <c r="F56" s="181"/>
      <c r="G56" s="179" t="s">
        <v>388</v>
      </c>
      <c r="H56" s="190"/>
      <c r="I56" s="190"/>
      <c r="J56" s="187"/>
      <c r="K56" s="187"/>
      <c r="L56" s="184" t="str">
        <f>IFERROR(__xludf.DUMMYFUNCTION("ifna(IF(and(D56=""Saída"",J56=""Sangria""),if(sum(QUERY(IMPORTRANGE(""https://docs.google.com/spreadsheets/d/1E4szPcLzsqlw4uyBAoJ61L1ChCgpz4wVP8tHfHW1g_c"",""BD M Sangrias!a:i""),""select Col6 where Col7 = 'Depositada' and Col9 = '""&amp;K56&amp;""' and Col6 = """&amp;"&amp;M56&amp;"" and Col4 = date '""&amp;YEAR(C56)&amp;""-""&amp;MONTH(C56)&amp;""-""&amp;DAY(C56)&amp;""'""))&gt;0,""Depositada"",if(sum(QUERY(IMPORTRANGE(""https://docs.google.com/spreadsheets/d/1EcLIvUgMoBC5as4ikW0wuQsGH5yVZ6cQ1y16qEfgPnk"",""BD M Sangrias!a:i""),""select Col6 where Col7"&amp;" = 'Caixa Atendimento' and Col9 = '""&amp;K56&amp;""' and Col6 = ""&amp;M56&amp;"" and Col4 = date '""&amp;YEAR(C56)&amp;""-""&amp;MONTH(C56)&amp;""-""&amp;DAY(C56)&amp;""'""))&gt;0,""Caixa Atendimento"",""Caixa Sangria"")),""""),""Caixa Sangria"")"),"")</f>
        <v/>
      </c>
      <c r="M56" s="185">
        <f>IFERROR(__xludf.DUMMYFUNCTION("ifna(VALUE(REGEXEXTRACT(E56,""[0-9.]+[,]+[0-9]+"")))"),500.0)</f>
        <v>500</v>
      </c>
      <c r="N56" s="88"/>
      <c r="O56" s="89"/>
      <c r="P56" s="89"/>
      <c r="Q56" s="89"/>
      <c r="R56" s="91"/>
      <c r="S56" s="89"/>
      <c r="T56" s="89"/>
      <c r="U56" s="89"/>
      <c r="V56" s="90"/>
    </row>
    <row r="57" ht="17.25" customHeight="1">
      <c r="A57" s="178"/>
      <c r="B57" s="12">
        <v>1604753.0</v>
      </c>
      <c r="C57" s="13">
        <v>45871.93130787037</v>
      </c>
      <c r="D57" s="179" t="s">
        <v>81</v>
      </c>
      <c r="E57" s="180" t="s">
        <v>162</v>
      </c>
      <c r="F57" s="181"/>
      <c r="G57" s="179" t="s">
        <v>3907</v>
      </c>
      <c r="H57" s="190"/>
      <c r="I57" s="190"/>
      <c r="J57" s="187" t="s">
        <v>2735</v>
      </c>
      <c r="K57" s="187" t="s">
        <v>2018</v>
      </c>
      <c r="L57" s="184" t="str">
        <f>IFERROR(__xludf.DUMMYFUNCTION("ifna(IF(and(D57=""Saída"",J57=""Sangria""),if(sum(QUERY(IMPORTRANGE(""https://docs.google.com/spreadsheets/d/1E4szPcLzsqlw4uyBAoJ61L1ChCgpz4wVP8tHfHW1g_c"",""BD M Sangrias!a:i""),""select Col6 where Col7 = 'Depositada' and Col9 = '""&amp;K57&amp;""' and Col6 = """&amp;"&amp;M57&amp;"" and Col4 = date '""&amp;YEAR(C57)&amp;""-""&amp;MONTH(C57)&amp;""-""&amp;DAY(C57)&amp;""'""))&gt;0,""Depositada"",if(sum(QUERY(IMPORTRANGE(""https://docs.google.com/spreadsheets/d/1EcLIvUgMoBC5as4ikW0wuQsGH5yVZ6cQ1y16qEfgPnk"",""BD M Sangrias!a:i""),""select Col6 where Col7"&amp;" = 'Caixa Atendimento' and Col9 = '""&amp;K57&amp;""' and Col6 = ""&amp;M57&amp;"" and Col4 = date '""&amp;YEAR(C57)&amp;""-""&amp;MONTH(C57)&amp;""-""&amp;DAY(C57)&amp;""'""))&gt;0,""Caixa Atendimento"",""Caixa Sangria"")),""""),""Caixa Sangria"")"),"#REF!")</f>
        <v>#REF!</v>
      </c>
      <c r="M57" s="185">
        <f>IFERROR(__xludf.DUMMYFUNCTION("ifna(VALUE(REGEXEXTRACT(E57,""[0-9.]+[,]+[0-9]+"")))"),150.0)</f>
        <v>150</v>
      </c>
      <c r="N57" s="88"/>
      <c r="O57" s="89"/>
      <c r="P57" s="89"/>
      <c r="Q57" s="89"/>
      <c r="R57" s="91"/>
      <c r="S57" s="89"/>
      <c r="T57" s="89"/>
      <c r="U57" s="89"/>
      <c r="V57" s="90"/>
    </row>
    <row r="58" ht="14.25" customHeight="1">
      <c r="A58" s="178"/>
      <c r="B58" s="12">
        <v>1607053.0</v>
      </c>
      <c r="C58" s="13">
        <v>45872.92413194444</v>
      </c>
      <c r="D58" s="179" t="s">
        <v>152</v>
      </c>
      <c r="E58" s="180" t="s">
        <v>5440</v>
      </c>
      <c r="F58" s="181"/>
      <c r="G58" s="179" t="s">
        <v>5192</v>
      </c>
      <c r="H58" s="190"/>
      <c r="I58" s="190"/>
      <c r="J58" s="187" t="s">
        <v>5195</v>
      </c>
      <c r="K58" s="187"/>
      <c r="L58" s="184" t="str">
        <f>IFERROR(__xludf.DUMMYFUNCTION("ifna(IF(and(D58=""Saída"",J58=""Sangria""),if(sum(QUERY(IMPORTRANGE(""https://docs.google.com/spreadsheets/d/1E4szPcLzsqlw4uyBAoJ61L1ChCgpz4wVP8tHfHW1g_c"",""BD M Sangrias!a:i""),""select Col6 where Col7 = 'Depositada' and Col9 = '""&amp;K58&amp;""' and Col6 = """&amp;"&amp;M58&amp;"" and Col4 = date '""&amp;YEAR(C58)&amp;""-""&amp;MONTH(C58)&amp;""-""&amp;DAY(C58)&amp;""'""))&gt;0,""Depositada"",if(sum(QUERY(IMPORTRANGE(""https://docs.google.com/spreadsheets/d/1EcLIvUgMoBC5as4ikW0wuQsGH5yVZ6cQ1y16qEfgPnk"",""BD M Sangrias!a:i""),""select Col6 where Col7"&amp;" = 'Caixa Atendimento' and Col9 = '""&amp;K58&amp;""' and Col6 = ""&amp;M58&amp;"" and Col4 = date '""&amp;YEAR(C58)&amp;""-""&amp;MONTH(C58)&amp;""-""&amp;DAY(C58)&amp;""'""))&gt;0,""Caixa Atendimento"",""Caixa Sangria"")),""""),""Caixa Sangria"")"),"")</f>
        <v/>
      </c>
      <c r="M58" s="185">
        <f>IFERROR(__xludf.DUMMYFUNCTION("ifna(VALUE(REGEXEXTRACT(E58,""[0-9.]+[,]+[0-9]+"")))"),140.0)</f>
        <v>140</v>
      </c>
      <c r="N58" s="88"/>
      <c r="O58" s="89"/>
      <c r="P58" s="89"/>
      <c r="Q58" s="89"/>
      <c r="R58" s="91"/>
      <c r="S58" s="89"/>
      <c r="T58" s="89"/>
      <c r="U58" s="89"/>
      <c r="V58" s="90"/>
    </row>
    <row r="59" ht="14.25" customHeight="1">
      <c r="A59" s="178"/>
      <c r="B59" s="12">
        <v>1607065.0</v>
      </c>
      <c r="C59" s="13">
        <v>45872.92527777778</v>
      </c>
      <c r="D59" s="179" t="s">
        <v>81</v>
      </c>
      <c r="E59" s="180" t="s">
        <v>5443</v>
      </c>
      <c r="F59" s="181"/>
      <c r="G59" s="179" t="s">
        <v>5444</v>
      </c>
      <c r="H59" s="190"/>
      <c r="I59" s="190"/>
      <c r="J59" s="187" t="s">
        <v>1782</v>
      </c>
      <c r="K59" s="187"/>
      <c r="L59" s="184" t="str">
        <f>IFERROR(__xludf.DUMMYFUNCTION("ifna(IF(and(D59=""Saída"",J59=""Sangria""),if(sum(QUERY(IMPORTRANGE(""https://docs.google.com/spreadsheets/d/1E4szPcLzsqlw4uyBAoJ61L1ChCgpz4wVP8tHfHW1g_c"",""BD M Sangrias!a:i""),""select Col6 where Col7 = 'Depositada' and Col9 = '""&amp;K59&amp;""' and Col6 = """&amp;"&amp;M59&amp;"" and Col4 = date '""&amp;YEAR(C59)&amp;""-""&amp;MONTH(C59)&amp;""-""&amp;DAY(C59)&amp;""'""))&gt;0,""Depositada"",if(sum(QUERY(IMPORTRANGE(""https://docs.google.com/spreadsheets/d/1EcLIvUgMoBC5as4ikW0wuQsGH5yVZ6cQ1y16qEfgPnk"",""BD M Sangrias!a:i""),""select Col6 where Col7"&amp;" = 'Caixa Atendimento' and Col9 = '""&amp;K59&amp;""' and Col6 = ""&amp;M59&amp;"" and Col4 = date '""&amp;YEAR(C59)&amp;""-""&amp;MONTH(C59)&amp;""-""&amp;DAY(C59)&amp;""'""))&gt;0,""Caixa Atendimento"",""Caixa Sangria"")),""""),""Caixa Sangria"")"),"")</f>
        <v/>
      </c>
      <c r="M59" s="185">
        <f>IFERROR(__xludf.DUMMYFUNCTION("ifna(VALUE(REGEXEXTRACT(E59,""[0-9.]+[,]+[0-9]+"")))"),727.0)</f>
        <v>727</v>
      </c>
      <c r="N59" s="88"/>
      <c r="O59" s="89"/>
      <c r="P59" s="89"/>
      <c r="Q59" s="89"/>
      <c r="R59" s="91"/>
      <c r="S59" s="89"/>
      <c r="T59" s="89"/>
      <c r="U59" s="89"/>
      <c r="V59" s="90"/>
    </row>
    <row r="60" ht="14.25" customHeight="1">
      <c r="A60" s="178"/>
      <c r="B60" s="12">
        <v>1607070.0</v>
      </c>
      <c r="C60" s="13">
        <v>45872.92560185185</v>
      </c>
      <c r="D60" s="179" t="s">
        <v>81</v>
      </c>
      <c r="E60" s="180" t="s">
        <v>5449</v>
      </c>
      <c r="F60" s="188"/>
      <c r="G60" s="179" t="s">
        <v>5450</v>
      </c>
      <c r="H60" s="190"/>
      <c r="I60" s="190"/>
      <c r="J60" s="187" t="s">
        <v>1782</v>
      </c>
      <c r="K60" s="187"/>
      <c r="L60" s="184" t="str">
        <f>IFERROR(__xludf.DUMMYFUNCTION("ifna(IF(and(D60=""Saída"",J60=""Sangria""),if(sum(QUERY(IMPORTRANGE(""https://docs.google.com/spreadsheets/d/1E4szPcLzsqlw4uyBAoJ61L1ChCgpz4wVP8tHfHW1g_c"",""BD M Sangrias!a:i""),""select Col6 where Col7 = 'Depositada' and Col9 = '""&amp;K60&amp;""' and Col6 = """&amp;"&amp;M60&amp;"" and Col4 = date '""&amp;YEAR(C60)&amp;""-""&amp;MONTH(C60)&amp;""-""&amp;DAY(C60)&amp;""'""))&gt;0,""Depositada"",if(sum(QUERY(IMPORTRANGE(""https://docs.google.com/spreadsheets/d/1EcLIvUgMoBC5as4ikW0wuQsGH5yVZ6cQ1y16qEfgPnk"",""BD M Sangrias!a:i""),""select Col6 where Col7"&amp;" = 'Caixa Atendimento' and Col9 = '""&amp;K60&amp;""' and Col6 = ""&amp;M60&amp;"" and Col4 = date '""&amp;YEAR(C60)&amp;""-""&amp;MONTH(C60)&amp;""-""&amp;DAY(C60)&amp;""'""))&gt;0,""Caixa Atendimento"",""Caixa Sangria"")),""""),""Caixa Sangria"")"),"")</f>
        <v/>
      </c>
      <c r="M60" s="185">
        <f>IFERROR(__xludf.DUMMYFUNCTION("ifna(VALUE(REGEXEXTRACT(E60,""[0-9.]+[,]+[0-9]+"")))"),338.0)</f>
        <v>338</v>
      </c>
      <c r="N60" s="194"/>
      <c r="O60" s="195"/>
      <c r="P60" s="196"/>
      <c r="Q60" s="197"/>
      <c r="R60" s="91"/>
      <c r="S60" s="89"/>
      <c r="T60" s="89"/>
      <c r="U60" s="89"/>
      <c r="V60" s="90"/>
    </row>
    <row r="61" ht="14.25" customHeight="1">
      <c r="A61" s="178"/>
      <c r="B61" s="12">
        <v>1608184.0</v>
      </c>
      <c r="C61" s="13">
        <v>45873.758888888886</v>
      </c>
      <c r="D61" s="179" t="s">
        <v>81</v>
      </c>
      <c r="E61" s="180" t="s">
        <v>402</v>
      </c>
      <c r="F61" s="181"/>
      <c r="G61" s="179" t="s">
        <v>5457</v>
      </c>
      <c r="H61" s="190"/>
      <c r="I61" s="190"/>
      <c r="J61" s="187" t="s">
        <v>3151</v>
      </c>
      <c r="K61" s="187"/>
      <c r="L61" s="184" t="str">
        <f>IFERROR(__xludf.DUMMYFUNCTION("ifna(IF(and(D61=""Saída"",J61=""Sangria""),if(sum(QUERY(IMPORTRANGE(""https://docs.google.com/spreadsheets/d/1E4szPcLzsqlw4uyBAoJ61L1ChCgpz4wVP8tHfHW1g_c"",""BD M Sangrias!a:i""),""select Col6 where Col7 = 'Depositada' and Col9 = '""&amp;K61&amp;""' and Col6 = """&amp;"&amp;M61&amp;"" and Col4 = date '""&amp;YEAR(C61)&amp;""-""&amp;MONTH(C61)&amp;""-""&amp;DAY(C61)&amp;""'""))&gt;0,""Depositada"",if(sum(QUERY(IMPORTRANGE(""https://docs.google.com/spreadsheets/d/1EcLIvUgMoBC5as4ikW0wuQsGH5yVZ6cQ1y16qEfgPnk"",""BD M Sangrias!a:i""),""select Col6 where Col7"&amp;" = 'Caixa Atendimento' and Col9 = '""&amp;K61&amp;""' and Col6 = ""&amp;M61&amp;"" and Col4 = date '""&amp;YEAR(C61)&amp;""-""&amp;MONTH(C61)&amp;""-""&amp;DAY(C61)&amp;""'""))&gt;0,""Caixa Atendimento"",""Caixa Sangria"")),""""),""Caixa Sangria"")"),"")</f>
        <v/>
      </c>
      <c r="M61" s="185">
        <f>IFERROR(__xludf.DUMMYFUNCTION("ifna(VALUE(REGEXEXTRACT(E61,""[0-9.]+[,]+[0-9]+"")))"),20.0)</f>
        <v>20</v>
      </c>
      <c r="N61" s="88"/>
      <c r="O61" s="89"/>
      <c r="P61" s="89"/>
      <c r="Q61" s="89"/>
      <c r="R61" s="91"/>
      <c r="S61" s="89"/>
      <c r="T61" s="89"/>
      <c r="U61" s="89"/>
      <c r="V61" s="90"/>
    </row>
    <row r="62" ht="14.25" customHeight="1">
      <c r="A62" s="178"/>
      <c r="B62" s="12">
        <v>1608208.0</v>
      </c>
      <c r="C62" s="13">
        <v>45873.76547453704</v>
      </c>
      <c r="D62" s="179" t="s">
        <v>81</v>
      </c>
      <c r="E62" s="180" t="s">
        <v>162</v>
      </c>
      <c r="F62" s="181"/>
      <c r="G62" s="179" t="s">
        <v>5462</v>
      </c>
      <c r="H62" s="190"/>
      <c r="I62" s="190"/>
      <c r="J62" s="187" t="s">
        <v>2735</v>
      </c>
      <c r="K62" s="187" t="s">
        <v>2018</v>
      </c>
      <c r="L62" s="184" t="str">
        <f>IFERROR(__xludf.DUMMYFUNCTION("ifna(IF(and(D62=""Saída"",J62=""Sangria""),if(sum(QUERY(IMPORTRANGE(""https://docs.google.com/spreadsheets/d/1E4szPcLzsqlw4uyBAoJ61L1ChCgpz4wVP8tHfHW1g_c"",""BD M Sangrias!a:i""),""select Col6 where Col7 = 'Depositada' and Col9 = '""&amp;K62&amp;""' and Col6 = """&amp;"&amp;M62&amp;"" and Col4 = date '""&amp;YEAR(C62)&amp;""-""&amp;MONTH(C62)&amp;""-""&amp;DAY(C62)&amp;""'""))&gt;0,""Depositada"",if(sum(QUERY(IMPORTRANGE(""https://docs.google.com/spreadsheets/d/1EcLIvUgMoBC5as4ikW0wuQsGH5yVZ6cQ1y16qEfgPnk"",""BD M Sangrias!a:i""),""select Col6 where Col7"&amp;" = 'Caixa Atendimento' and Col9 = '""&amp;K62&amp;""' and Col6 = ""&amp;M62&amp;"" and Col4 = date '""&amp;YEAR(C62)&amp;""-""&amp;MONTH(C62)&amp;""-""&amp;DAY(C62)&amp;""'""))&gt;0,""Caixa Atendimento"",""Caixa Sangria"")),""""),""Caixa Sangria"")"),"#REF!")</f>
        <v>#REF!</v>
      </c>
      <c r="M62" s="185">
        <f>IFERROR(__xludf.DUMMYFUNCTION("ifna(VALUE(REGEXEXTRACT(E62,""[0-9.]+[,]+[0-9]+"")))"),150.0)</f>
        <v>150</v>
      </c>
      <c r="N62" s="88"/>
      <c r="O62" s="89"/>
      <c r="P62" s="89"/>
      <c r="Q62" s="89"/>
      <c r="R62" s="91"/>
      <c r="S62" s="89"/>
      <c r="T62" s="89"/>
      <c r="U62" s="89"/>
      <c r="V62" s="90"/>
    </row>
    <row r="63" ht="14.25" customHeight="1">
      <c r="A63" s="178"/>
      <c r="B63" s="12">
        <v>1609000.0</v>
      </c>
      <c r="C63" s="13">
        <v>45874.52863425926</v>
      </c>
      <c r="D63" s="179" t="s">
        <v>152</v>
      </c>
      <c r="E63" s="180" t="s">
        <v>5410</v>
      </c>
      <c r="F63" s="181"/>
      <c r="G63" s="179" t="s">
        <v>5467</v>
      </c>
      <c r="H63" s="190"/>
      <c r="I63" s="190"/>
      <c r="J63" s="187" t="s">
        <v>2735</v>
      </c>
      <c r="K63" s="187" t="s">
        <v>2018</v>
      </c>
      <c r="L63" s="184" t="str">
        <f>IFERROR(__xludf.DUMMYFUNCTION("ifna(IF(and(D63=""Saída"",J63=""Sangria""),if(sum(QUERY(IMPORTRANGE(""https://docs.google.com/spreadsheets/d/1E4szPcLzsqlw4uyBAoJ61L1ChCgpz4wVP8tHfHW1g_c"",""BD M Sangrias!a:i""),""select Col6 where Col7 = 'Depositada' and Col9 = '""&amp;K63&amp;""' and Col6 = """&amp;"&amp;M63&amp;"" and Col4 = date '""&amp;YEAR(C63)&amp;""-""&amp;MONTH(C63)&amp;""-""&amp;DAY(C63)&amp;""'""))&gt;0,""Depositada"",if(sum(QUERY(IMPORTRANGE(""https://docs.google.com/spreadsheets/d/1EcLIvUgMoBC5as4ikW0wuQsGH5yVZ6cQ1y16qEfgPnk"",""BD M Sangrias!a:i""),""select Col6 where Col7"&amp;" = 'Caixa Atendimento' and Col9 = '""&amp;K63&amp;""' and Col6 = ""&amp;M63&amp;"" and Col4 = date '""&amp;YEAR(C63)&amp;""-""&amp;MONTH(C63)&amp;""-""&amp;DAY(C63)&amp;""'""))&gt;0,""Caixa Atendimento"",""Caixa Sangria"")),""""),""Caixa Sangria"")"),"")</f>
        <v/>
      </c>
      <c r="M63" s="185">
        <f>IFERROR(__xludf.DUMMYFUNCTION("ifna(VALUE(REGEXEXTRACT(E63,""[0-9.]+[,]+[0-9]+"")))"),1550.0)</f>
        <v>1550</v>
      </c>
      <c r="N63" s="108"/>
      <c r="O63" s="109"/>
      <c r="P63" s="109"/>
      <c r="Q63" s="109"/>
      <c r="R63" s="110"/>
      <c r="S63" s="109"/>
      <c r="T63" s="109"/>
      <c r="U63" s="109"/>
      <c r="V63" s="111"/>
    </row>
    <row r="64" ht="14.25" customHeight="1">
      <c r="A64" s="178"/>
      <c r="B64" s="12">
        <v>1609007.0</v>
      </c>
      <c r="C64" s="13">
        <v>45874.54020833333</v>
      </c>
      <c r="D64" s="179" t="s">
        <v>152</v>
      </c>
      <c r="E64" s="180" t="s">
        <v>5473</v>
      </c>
      <c r="F64" s="181"/>
      <c r="G64" s="179" t="s">
        <v>5296</v>
      </c>
      <c r="H64" s="190"/>
      <c r="I64" s="190"/>
      <c r="J64" s="187" t="s">
        <v>5195</v>
      </c>
      <c r="K64" s="187"/>
      <c r="L64" s="184" t="str">
        <f>IFERROR(__xludf.DUMMYFUNCTION("ifna(IF(and(D64=""Saída"",J64=""Sangria""),if(sum(QUERY(IMPORTRANGE(""https://docs.google.com/spreadsheets/d/1E4szPcLzsqlw4uyBAoJ61L1ChCgpz4wVP8tHfHW1g_c"",""BD M Sangrias!a:i""),""select Col6 where Col7 = 'Depositada' and Col9 = '""&amp;K64&amp;""' and Col6 = """&amp;"&amp;M64&amp;"" and Col4 = date '""&amp;YEAR(C64)&amp;""-""&amp;MONTH(C64)&amp;""-""&amp;DAY(C64)&amp;""'""))&gt;0,""Depositada"",if(sum(QUERY(IMPORTRANGE(""https://docs.google.com/spreadsheets/d/1EcLIvUgMoBC5as4ikW0wuQsGH5yVZ6cQ1y16qEfgPnk"",""BD M Sangrias!a:i""),""select Col6 where Col7"&amp;" = 'Caixa Atendimento' and Col9 = '""&amp;K64&amp;""' and Col6 = ""&amp;M64&amp;"" and Col4 = date '""&amp;YEAR(C64)&amp;""-""&amp;MONTH(C64)&amp;""-""&amp;DAY(C64)&amp;""'""))&gt;0,""Caixa Atendimento"",""Caixa Sangria"")),""""),""Caixa Sangria"")"),"")</f>
        <v/>
      </c>
      <c r="M64" s="185">
        <f>IFERROR(__xludf.DUMMYFUNCTION("ifna(VALUE(REGEXEXTRACT(E64,""[0-9.]+[,]+[0-9]+"")))"),410.0)</f>
        <v>410</v>
      </c>
      <c r="R64" s="25"/>
    </row>
    <row r="65" ht="14.25" customHeight="1">
      <c r="A65" s="178"/>
      <c r="B65" s="12">
        <v>1609008.0</v>
      </c>
      <c r="C65" s="13">
        <v>45874.54289351852</v>
      </c>
      <c r="D65" s="179" t="s">
        <v>81</v>
      </c>
      <c r="E65" s="180" t="s">
        <v>5479</v>
      </c>
      <c r="F65" s="181"/>
      <c r="G65" s="179" t="s">
        <v>5480</v>
      </c>
      <c r="H65" s="190"/>
      <c r="I65" s="190"/>
      <c r="J65" s="187" t="s">
        <v>3151</v>
      </c>
      <c r="K65" s="187"/>
      <c r="L65" s="184" t="str">
        <f>IFERROR(__xludf.DUMMYFUNCTION("ifna(IF(and(D65=""Saída"",J65=""Sangria""),if(sum(QUERY(IMPORTRANGE(""https://docs.google.com/spreadsheets/d/1E4szPcLzsqlw4uyBAoJ61L1ChCgpz4wVP8tHfHW1g_c"",""BD M Sangrias!a:i""),""select Col6 where Col7 = 'Depositada' and Col9 = '""&amp;K65&amp;""' and Col6 = """&amp;"&amp;M65&amp;"" and Col4 = date '""&amp;YEAR(C65)&amp;""-""&amp;MONTH(C65)&amp;""-""&amp;DAY(C65)&amp;""'""))&gt;0,""Depositada"",if(sum(QUERY(IMPORTRANGE(""https://docs.google.com/spreadsheets/d/1EcLIvUgMoBC5as4ikW0wuQsGH5yVZ6cQ1y16qEfgPnk"",""BD M Sangrias!a:i""),""select Col6 where Col7"&amp;" = 'Caixa Atendimento' and Col9 = '""&amp;K65&amp;""' and Col6 = ""&amp;M65&amp;"" and Col4 = date '""&amp;YEAR(C65)&amp;""-""&amp;MONTH(C65)&amp;""-""&amp;DAY(C65)&amp;""'""))&gt;0,""Caixa Atendimento"",""Caixa Sangria"")),""""),""Caixa Sangria"")"),"")</f>
        <v/>
      </c>
      <c r="M65" s="185">
        <f>IFERROR(__xludf.DUMMYFUNCTION("ifna(VALUE(REGEXEXTRACT(E65,""[0-9.]+[,]+[0-9]+"")))"),1960.6)</f>
        <v>1960.6</v>
      </c>
      <c r="R65" s="25"/>
    </row>
    <row r="66" ht="14.25" customHeight="1">
      <c r="A66" s="178"/>
      <c r="B66" s="12">
        <v>1609060.0</v>
      </c>
      <c r="C66" s="13">
        <v>45874.574907407405</v>
      </c>
      <c r="D66" s="179" t="s">
        <v>152</v>
      </c>
      <c r="E66" s="180" t="s">
        <v>416</v>
      </c>
      <c r="F66" s="181"/>
      <c r="G66" s="179" t="s">
        <v>5296</v>
      </c>
      <c r="H66" s="190"/>
      <c r="I66" s="190"/>
      <c r="J66" s="187" t="s">
        <v>5195</v>
      </c>
      <c r="K66" s="187"/>
      <c r="L66" s="184" t="str">
        <f>IFERROR(__xludf.DUMMYFUNCTION("ifna(IF(and(D66=""Saída"",J66=""Sangria""),if(sum(QUERY(IMPORTRANGE(""https://docs.google.com/spreadsheets/d/1E4szPcLzsqlw4uyBAoJ61L1ChCgpz4wVP8tHfHW1g_c"",""BD M Sangrias!a:i""),""select Col6 where Col7 = 'Depositada' and Col9 = '""&amp;K66&amp;""' and Col6 = """&amp;"&amp;M66&amp;"" and Col4 = date '""&amp;YEAR(C66)&amp;""-""&amp;MONTH(C66)&amp;""-""&amp;DAY(C66)&amp;""'""))&gt;0,""Depositada"",if(sum(QUERY(IMPORTRANGE(""https://docs.google.com/spreadsheets/d/1EcLIvUgMoBC5as4ikW0wuQsGH5yVZ6cQ1y16qEfgPnk"",""BD M Sangrias!a:i""),""select Col6 where Col7"&amp;" = 'Caixa Atendimento' and Col9 = '""&amp;K66&amp;""' and Col6 = ""&amp;M66&amp;"" and Col4 = date '""&amp;YEAR(C66)&amp;""-""&amp;MONTH(C66)&amp;""-""&amp;DAY(C66)&amp;""'""))&gt;0,""Caixa Atendimento"",""Caixa Sangria"")),""""),""Caixa Sangria"")"),"")</f>
        <v/>
      </c>
      <c r="M66" s="185">
        <f>IFERROR(__xludf.DUMMYFUNCTION("ifna(VALUE(REGEXEXTRACT(E66,""[0-9.]+[,]+[0-9]+"")))"),100.0)</f>
        <v>100</v>
      </c>
      <c r="R66" s="25"/>
    </row>
    <row r="67" ht="14.25" customHeight="1">
      <c r="A67" s="178"/>
      <c r="B67" s="12">
        <v>1609061.0</v>
      </c>
      <c r="C67" s="13">
        <v>45874.57519675926</v>
      </c>
      <c r="D67" s="179" t="s">
        <v>81</v>
      </c>
      <c r="E67" s="180" t="s">
        <v>1388</v>
      </c>
      <c r="F67" s="181"/>
      <c r="G67" s="179" t="s">
        <v>5488</v>
      </c>
      <c r="H67" s="190"/>
      <c r="I67" s="190"/>
      <c r="J67" s="187" t="s">
        <v>3151</v>
      </c>
      <c r="K67" s="187"/>
      <c r="L67" s="184" t="str">
        <f>IFERROR(__xludf.DUMMYFUNCTION("ifna(IF(and(D67=""Saída"",J67=""Sangria""),if(sum(QUERY(IMPORTRANGE(""https://docs.google.com/spreadsheets/d/1E4szPcLzsqlw4uyBAoJ61L1ChCgpz4wVP8tHfHW1g_c"",""BD M Sangrias!a:i""),""select Col6 where Col7 = 'Depositada' and Col9 = '""&amp;K67&amp;""' and Col6 = """&amp;"&amp;M67&amp;"" and Col4 = date '""&amp;YEAR(C67)&amp;""-""&amp;MONTH(C67)&amp;""-""&amp;DAY(C67)&amp;""'""))&gt;0,""Depositada"",if(sum(QUERY(IMPORTRANGE(""https://docs.google.com/spreadsheets/d/1EcLIvUgMoBC5as4ikW0wuQsGH5yVZ6cQ1y16qEfgPnk"",""BD M Sangrias!a:i""),""select Col6 where Col7"&amp;" = 'Caixa Atendimento' and Col9 = '""&amp;K67&amp;""' and Col6 = ""&amp;M67&amp;"" and Col4 = date '""&amp;YEAR(C67)&amp;""-""&amp;MONTH(C67)&amp;""-""&amp;DAY(C67)&amp;""'""))&gt;0,""Caixa Atendimento"",""Caixa Sangria"")),""""),""Caixa Sangria"")"),"")</f>
        <v/>
      </c>
      <c r="M67" s="185">
        <f>IFERROR(__xludf.DUMMYFUNCTION("ifna(VALUE(REGEXEXTRACT(E67,""[0-9.]+[,]+[0-9]+"")))"),92.0)</f>
        <v>92</v>
      </c>
      <c r="R67" s="25"/>
    </row>
    <row r="68">
      <c r="A68" s="178"/>
      <c r="B68" s="12">
        <v>1610019.0</v>
      </c>
      <c r="C68" s="13">
        <v>45874.93362268519</v>
      </c>
      <c r="D68" s="179" t="s">
        <v>81</v>
      </c>
      <c r="E68" s="180" t="s">
        <v>3486</v>
      </c>
      <c r="F68" s="188"/>
      <c r="G68" s="179" t="s">
        <v>5192</v>
      </c>
      <c r="H68" s="190"/>
      <c r="I68" s="190"/>
      <c r="J68" s="187" t="s">
        <v>5195</v>
      </c>
      <c r="K68" s="187"/>
      <c r="L68" s="184" t="str">
        <f>IFERROR(__xludf.DUMMYFUNCTION("ifna(IF(and(D68=""Saída"",J68=""Sangria""),if(sum(QUERY(IMPORTRANGE(""https://docs.google.com/spreadsheets/d/1E4szPcLzsqlw4uyBAoJ61L1ChCgpz4wVP8tHfHW1g_c"",""BD M Sangrias!a:i""),""select Col6 where Col7 = 'Depositada' and Col9 = '""&amp;K68&amp;""' and Col6 = """&amp;"&amp;M68&amp;"" and Col4 = date '""&amp;YEAR(C68)&amp;""-""&amp;MONTH(C68)&amp;""-""&amp;DAY(C68)&amp;""'""))&gt;0,""Depositada"",if(sum(QUERY(IMPORTRANGE(""https://docs.google.com/spreadsheets/d/1EcLIvUgMoBC5as4ikW0wuQsGH5yVZ6cQ1y16qEfgPnk"",""BD M Sangrias!a:i""),""select Col6 where Col7"&amp;" = 'Caixa Atendimento' and Col9 = '""&amp;K68&amp;""' and Col6 = ""&amp;M68&amp;"" and Col4 = date '""&amp;YEAR(C68)&amp;""-""&amp;MONTH(C68)&amp;""-""&amp;DAY(C68)&amp;""'""))&gt;0,""Caixa Atendimento"",""Caixa Sangria"")),""""),""Caixa Sangria"")"),"")</f>
        <v/>
      </c>
      <c r="M68" s="185">
        <f>IFERROR(__xludf.DUMMYFUNCTION("ifna(VALUE(REGEXEXTRACT(E68,""[0-9.]+[,]+[0-9]+"")))"),500.0)</f>
        <v>500</v>
      </c>
      <c r="N68" s="193" t="str">
        <f>B10</f>
        <v/>
      </c>
      <c r="O68" s="106"/>
      <c r="P68" s="106"/>
      <c r="Q68" s="106"/>
      <c r="R68" s="122"/>
      <c r="S68" s="123" t="str">
        <f>B11</f>
        <v/>
      </c>
      <c r="T68" s="106"/>
      <c r="U68" s="106"/>
      <c r="V68" s="124"/>
    </row>
    <row r="69" ht="14.25" customHeight="1">
      <c r="A69" s="178"/>
      <c r="B69" s="12">
        <v>1611252.0</v>
      </c>
      <c r="C69" s="13">
        <v>45875.92606481481</v>
      </c>
      <c r="D69" s="179" t="s">
        <v>81</v>
      </c>
      <c r="E69" s="180" t="s">
        <v>5496</v>
      </c>
      <c r="F69" s="181"/>
      <c r="G69" s="179" t="s">
        <v>193</v>
      </c>
      <c r="H69" s="190"/>
      <c r="I69" s="190"/>
      <c r="J69" s="187" t="s">
        <v>3151</v>
      </c>
      <c r="K69" s="187"/>
      <c r="L69" s="184" t="str">
        <f>IFERROR(__xludf.DUMMYFUNCTION("ifna(IF(and(D69=""Saída"",J69=""Sangria""),if(sum(QUERY(IMPORTRANGE(""https://docs.google.com/spreadsheets/d/1E4szPcLzsqlw4uyBAoJ61L1ChCgpz4wVP8tHfHW1g_c"",""BD M Sangrias!a:i""),""select Col6 where Col7 = 'Depositada' and Col9 = '""&amp;K69&amp;""' and Col6 = """&amp;"&amp;M69&amp;"" and Col4 = date '""&amp;YEAR(C69)&amp;""-""&amp;MONTH(C69)&amp;""-""&amp;DAY(C69)&amp;""'""))&gt;0,""Depositada"",if(sum(QUERY(IMPORTRANGE(""https://docs.google.com/spreadsheets/d/1EcLIvUgMoBC5as4ikW0wuQsGH5yVZ6cQ1y16qEfgPnk"",""BD M Sangrias!a:i""),""select Col6 where Col7"&amp;" = 'Caixa Atendimento' and Col9 = '""&amp;K69&amp;""' and Col6 = ""&amp;M69&amp;"" and Col4 = date '""&amp;YEAR(C69)&amp;""-""&amp;MONTH(C69)&amp;""-""&amp;DAY(C69)&amp;""'""))&gt;0,""Caixa Atendimento"",""Caixa Sangria"")),""""),""Caixa Sangria"")"),"")</f>
        <v/>
      </c>
      <c r="M69" s="185">
        <f>IFERROR(__xludf.DUMMYFUNCTION("ifna(VALUE(REGEXEXTRACT(E69,""[0-9.]+[,]+[0-9]+"")))"),24.0)</f>
        <v>24</v>
      </c>
      <c r="N69" s="46" t="str">
        <f>IFERROR(__xludf.DUMMYFUNCTION("query(C28:L504,""select Col1,Col3,Col8,Col9 where (Col8 = 'Adiantamento' or Col8 = 'Consumo') and Col9 = '""&amp;B10&amp;""'"",1)"),"Data")</f>
        <v>Data</v>
      </c>
      <c r="O69" s="47" t="str">
        <f>IFERROR(__xludf.DUMMYFUNCTION("""COMPUTED_VALUE"""),"Valor ")</f>
        <v>Valor </v>
      </c>
      <c r="P69" s="47" t="str">
        <f>IFERROR(__xludf.DUMMYFUNCTION("""COMPUTED_VALUE"""),"Tipo")</f>
        <v>Tipo</v>
      </c>
      <c r="Q69" s="47" t="str">
        <f>IFERROR(__xludf.DUMMYFUNCTION("""COMPUTED_VALUE"""),"Funcionário")</f>
        <v>Funcionário</v>
      </c>
      <c r="R69" s="49"/>
      <c r="S69" s="50" t="str">
        <f>IFERROR(__xludf.DUMMYFUNCTION("query(C28:L504,""select Col1,Col3,Col8,Col9 where (Col8 = 'Adiantamento' or Col8 = 'Consumo') and Col9 = '""&amp;B11&amp;""'"",1)"),"Data")</f>
        <v>Data</v>
      </c>
      <c r="T69" s="50" t="str">
        <f>IFERROR(__xludf.DUMMYFUNCTION("""COMPUTED_VALUE"""),"Valor ")</f>
        <v>Valor </v>
      </c>
      <c r="U69" s="50" t="str">
        <f>IFERROR(__xludf.DUMMYFUNCTION("""COMPUTED_VALUE"""),"Tipo")</f>
        <v>Tipo</v>
      </c>
      <c r="V69" s="51" t="str">
        <f>IFERROR(__xludf.DUMMYFUNCTION("""COMPUTED_VALUE"""),"Funcionário")</f>
        <v>Funcionário</v>
      </c>
    </row>
    <row r="70" ht="14.25" customHeight="1">
      <c r="A70" s="178"/>
      <c r="B70" s="12">
        <v>1611255.0</v>
      </c>
      <c r="C70" s="13">
        <v>45875.92649305556</v>
      </c>
      <c r="D70" s="179" t="s">
        <v>81</v>
      </c>
      <c r="E70" s="180" t="s">
        <v>127</v>
      </c>
      <c r="F70" s="181"/>
      <c r="G70" s="179" t="s">
        <v>3587</v>
      </c>
      <c r="H70" s="190"/>
      <c r="I70" s="190"/>
      <c r="J70" s="187" t="s">
        <v>2735</v>
      </c>
      <c r="K70" s="187" t="s">
        <v>2018</v>
      </c>
      <c r="L70" s="184" t="str">
        <f>IFERROR(__xludf.DUMMYFUNCTION("ifna(IF(and(D70=""Saída"",J70=""Sangria""),if(sum(QUERY(IMPORTRANGE(""https://docs.google.com/spreadsheets/d/1E4szPcLzsqlw4uyBAoJ61L1ChCgpz4wVP8tHfHW1g_c"",""BD M Sangrias!a:i""),""select Col6 where Col7 = 'Depositada' and Col9 = '""&amp;K70&amp;""' and Col6 = """&amp;"&amp;M70&amp;"" and Col4 = date '""&amp;YEAR(C70)&amp;""-""&amp;MONTH(C70)&amp;""-""&amp;DAY(C70)&amp;""'""))&gt;0,""Depositada"",if(sum(QUERY(IMPORTRANGE(""https://docs.google.com/spreadsheets/d/1EcLIvUgMoBC5as4ikW0wuQsGH5yVZ6cQ1y16qEfgPnk"",""BD M Sangrias!a:i""),""select Col6 where Col7"&amp;" = 'Caixa Atendimento' and Col9 = '""&amp;K70&amp;""' and Col6 = ""&amp;M70&amp;"" and Col4 = date '""&amp;YEAR(C70)&amp;""-""&amp;MONTH(C70)&amp;""-""&amp;DAY(C70)&amp;""'""))&gt;0,""Caixa Atendimento"",""Caixa Sangria"")),""""),""Caixa Sangria"")"),"#REF!")</f>
        <v>#REF!</v>
      </c>
      <c r="M70" s="185">
        <f>IFERROR(__xludf.DUMMYFUNCTION("ifna(VALUE(REGEXEXTRACT(E70,""[0-9.]+[,]+[0-9]+"")))"),250.0)</f>
        <v>250</v>
      </c>
      <c r="N70" s="52"/>
      <c r="O70" s="53"/>
      <c r="P70" s="53"/>
      <c r="Q70" s="53"/>
      <c r="R70" s="55"/>
      <c r="S70" s="53"/>
      <c r="T70" s="53"/>
      <c r="U70" s="53"/>
      <c r="V70" s="54"/>
    </row>
    <row r="71" ht="14.25" customHeight="1">
      <c r="A71" s="178"/>
      <c r="B71" s="12">
        <v>1612291.0</v>
      </c>
      <c r="C71" s="13">
        <v>45876.80364583333</v>
      </c>
      <c r="D71" s="179" t="s">
        <v>81</v>
      </c>
      <c r="E71" s="180" t="s">
        <v>5512</v>
      </c>
      <c r="F71" s="181"/>
      <c r="G71" s="179" t="s">
        <v>5514</v>
      </c>
      <c r="H71" s="190"/>
      <c r="I71" s="190"/>
      <c r="J71" s="187" t="s">
        <v>2019</v>
      </c>
      <c r="K71" s="187" t="s">
        <v>2078</v>
      </c>
      <c r="L71" s="184" t="str">
        <f>IFERROR(__xludf.DUMMYFUNCTION("ifna(IF(and(D71=""Saída"",J71=""Sangria""),if(sum(QUERY(IMPORTRANGE(""https://docs.google.com/spreadsheets/d/1E4szPcLzsqlw4uyBAoJ61L1ChCgpz4wVP8tHfHW1g_c"",""BD M Sangrias!a:i""),""select Col6 where Col7 = 'Depositada' and Col9 = '""&amp;K71&amp;""' and Col6 = """&amp;"&amp;M71&amp;"" and Col4 = date '""&amp;YEAR(C71)&amp;""-""&amp;MONTH(C71)&amp;""-""&amp;DAY(C71)&amp;""'""))&gt;0,""Depositada"",if(sum(QUERY(IMPORTRANGE(""https://docs.google.com/spreadsheets/d/1EcLIvUgMoBC5as4ikW0wuQsGH5yVZ6cQ1y16qEfgPnk"",""BD M Sangrias!a:i""),""select Col6 where Col7"&amp;" = 'Caixa Atendimento' and Col9 = '""&amp;K71&amp;""' and Col6 = ""&amp;M71&amp;"" and Col4 = date '""&amp;YEAR(C71)&amp;""-""&amp;MONTH(C71)&amp;""-""&amp;DAY(C71)&amp;""'""))&gt;0,""Caixa Atendimento"",""Caixa Sangria"")),""""),""Caixa Sangria"")"),"")</f>
        <v/>
      </c>
      <c r="M71" s="185">
        <f>IFERROR(__xludf.DUMMYFUNCTION("ifna(VALUE(REGEXEXTRACT(E71,""[0-9.]+[,]+[0-9]+"")))"),14.34)</f>
        <v>14.34</v>
      </c>
      <c r="N71" s="52"/>
      <c r="O71" s="53"/>
      <c r="P71" s="53"/>
      <c r="Q71" s="53"/>
      <c r="R71" s="55"/>
      <c r="S71" s="53"/>
      <c r="T71" s="53"/>
      <c r="U71" s="53"/>
      <c r="V71" s="54"/>
    </row>
    <row r="72" ht="14.25" customHeight="1">
      <c r="A72" s="178"/>
      <c r="B72" s="12">
        <v>1612316.0</v>
      </c>
      <c r="C72" s="13">
        <v>45876.8121875</v>
      </c>
      <c r="D72" s="179" t="s">
        <v>152</v>
      </c>
      <c r="E72" s="180" t="s">
        <v>5523</v>
      </c>
      <c r="F72" s="181"/>
      <c r="G72" s="179" t="s">
        <v>267</v>
      </c>
      <c r="H72" s="190"/>
      <c r="I72" s="190"/>
      <c r="J72" s="187" t="s">
        <v>2669</v>
      </c>
      <c r="K72" s="187"/>
      <c r="L72" s="184" t="str">
        <f>IFERROR(__xludf.DUMMYFUNCTION("ifna(IF(and(D72=""Saída"",J72=""Sangria""),if(sum(QUERY(IMPORTRANGE(""https://docs.google.com/spreadsheets/d/1E4szPcLzsqlw4uyBAoJ61L1ChCgpz4wVP8tHfHW1g_c"",""BD M Sangrias!a:i""),""select Col6 where Col7 = 'Depositada' and Col9 = '""&amp;K72&amp;""' and Col6 = """&amp;"&amp;M72&amp;"" and Col4 = date '""&amp;YEAR(C72)&amp;""-""&amp;MONTH(C72)&amp;""-""&amp;DAY(C72)&amp;""'""))&gt;0,""Depositada"",if(sum(QUERY(IMPORTRANGE(""https://docs.google.com/spreadsheets/d/1EcLIvUgMoBC5as4ikW0wuQsGH5yVZ6cQ1y16qEfgPnk"",""BD M Sangrias!a:i""),""select Col6 where Col7"&amp;" = 'Caixa Atendimento' and Col9 = '""&amp;K72&amp;""' and Col6 = ""&amp;M72&amp;"" and Col4 = date '""&amp;YEAR(C72)&amp;""-""&amp;MONTH(C72)&amp;""-""&amp;DAY(C72)&amp;""'""))&gt;0,""Caixa Atendimento"",""Caixa Sangria"")),""""),""Caixa Sangria"")"),"")</f>
        <v/>
      </c>
      <c r="M72" s="185">
        <f>IFERROR(__xludf.DUMMYFUNCTION("ifna(VALUE(REGEXEXTRACT(E72,""[0-9.]+[,]+[0-9]+"")))"),2.9)</f>
        <v>2.9</v>
      </c>
      <c r="N72" s="52"/>
      <c r="O72" s="53"/>
      <c r="P72" s="53"/>
      <c r="Q72" s="53"/>
      <c r="R72" s="55"/>
      <c r="S72" s="53"/>
      <c r="T72" s="53"/>
      <c r="U72" s="53"/>
      <c r="V72" s="54"/>
    </row>
    <row r="73" ht="14.25" customHeight="1">
      <c r="A73" s="178"/>
      <c r="B73" s="12">
        <v>1612387.0</v>
      </c>
      <c r="C73" s="13">
        <v>45876.844814814816</v>
      </c>
      <c r="D73" s="179" t="s">
        <v>81</v>
      </c>
      <c r="E73" s="180" t="s">
        <v>684</v>
      </c>
      <c r="F73" s="181"/>
      <c r="G73" s="179" t="s">
        <v>5531</v>
      </c>
      <c r="H73" s="190"/>
      <c r="I73" s="190"/>
      <c r="J73" s="187" t="s">
        <v>3151</v>
      </c>
      <c r="K73" s="187"/>
      <c r="L73" s="184" t="str">
        <f>IFERROR(__xludf.DUMMYFUNCTION("ifna(IF(and(D73=""Saída"",J73=""Sangria""),if(sum(QUERY(IMPORTRANGE(""https://docs.google.com/spreadsheets/d/1E4szPcLzsqlw4uyBAoJ61L1ChCgpz4wVP8tHfHW1g_c"",""BD M Sangrias!a:i""),""select Col6 where Col7 = 'Depositada' and Col9 = '""&amp;K73&amp;""' and Col6 = """&amp;"&amp;M73&amp;"" and Col4 = date '""&amp;YEAR(C73)&amp;""-""&amp;MONTH(C73)&amp;""-""&amp;DAY(C73)&amp;""'""))&gt;0,""Depositada"",if(sum(QUERY(IMPORTRANGE(""https://docs.google.com/spreadsheets/d/1EcLIvUgMoBC5as4ikW0wuQsGH5yVZ6cQ1y16qEfgPnk"",""BD M Sangrias!a:i""),""select Col6 where Col7"&amp;" = 'Caixa Atendimento' and Col9 = '""&amp;K73&amp;""' and Col6 = ""&amp;M73&amp;"" and Col4 = date '""&amp;YEAR(C73)&amp;""-""&amp;MONTH(C73)&amp;""-""&amp;DAY(C73)&amp;""'""))&gt;0,""Caixa Atendimento"",""Caixa Sangria"")),""""),""Caixa Sangria"")"),"")</f>
        <v/>
      </c>
      <c r="M73" s="185">
        <f>IFERROR(__xludf.DUMMYFUNCTION("ifna(VALUE(REGEXEXTRACT(E73,""[0-9.]+[,]+[0-9]+"")))"),27.0)</f>
        <v>27</v>
      </c>
      <c r="N73" s="52"/>
      <c r="O73" s="53"/>
      <c r="P73" s="53"/>
      <c r="Q73" s="53"/>
      <c r="R73" s="55"/>
      <c r="S73" s="53"/>
      <c r="T73" s="53"/>
      <c r="U73" s="53"/>
      <c r="V73" s="54"/>
    </row>
    <row r="74" ht="14.25" customHeight="1">
      <c r="A74" s="178"/>
      <c r="B74" s="12">
        <v>1612802.0</v>
      </c>
      <c r="C74" s="13">
        <v>45876.94232638889</v>
      </c>
      <c r="D74" s="179" t="s">
        <v>81</v>
      </c>
      <c r="E74" s="180" t="s">
        <v>3486</v>
      </c>
      <c r="F74" s="188"/>
      <c r="G74" s="179" t="s">
        <v>4071</v>
      </c>
      <c r="H74" s="190"/>
      <c r="I74" s="190"/>
      <c r="J74" s="187" t="s">
        <v>2735</v>
      </c>
      <c r="K74" s="187" t="s">
        <v>2018</v>
      </c>
      <c r="L74" s="184" t="str">
        <f>IFERROR(__xludf.DUMMYFUNCTION("ifna(IF(and(D74=""Saída"",J74=""Sangria""),if(sum(QUERY(IMPORTRANGE(""https://docs.google.com/spreadsheets/d/1E4szPcLzsqlw4uyBAoJ61L1ChCgpz4wVP8tHfHW1g_c"",""BD M Sangrias!a:i""),""select Col6 where Col7 = 'Depositada' and Col9 = '""&amp;K74&amp;""' and Col6 = """&amp;"&amp;M74&amp;"" and Col4 = date '""&amp;YEAR(C74)&amp;""-""&amp;MONTH(C74)&amp;""-""&amp;DAY(C74)&amp;""'""))&gt;0,""Depositada"",if(sum(QUERY(IMPORTRANGE(""https://docs.google.com/spreadsheets/d/1EcLIvUgMoBC5as4ikW0wuQsGH5yVZ6cQ1y16qEfgPnk"",""BD M Sangrias!a:i""),""select Col6 where Col7"&amp;" = 'Caixa Atendimento' and Col9 = '""&amp;K74&amp;""' and Col6 = ""&amp;M74&amp;"" and Col4 = date '""&amp;YEAR(C74)&amp;""-""&amp;MONTH(C74)&amp;""-""&amp;DAY(C74)&amp;""'""))&gt;0,""Caixa Atendimento"",""Caixa Sangria"")),""""),""Caixa Sangria"")"),"#REF!")</f>
        <v>#REF!</v>
      </c>
      <c r="M74" s="185">
        <f>IFERROR(__xludf.DUMMYFUNCTION("ifna(VALUE(REGEXEXTRACT(E74,""[0-9.]+[,]+[0-9]+"")))"),500.0)</f>
        <v>500</v>
      </c>
      <c r="N74" s="52"/>
      <c r="O74" s="53"/>
      <c r="P74" s="53"/>
      <c r="Q74" s="53"/>
      <c r="R74" s="55"/>
      <c r="S74" s="53"/>
      <c r="T74" s="53"/>
      <c r="U74" s="53"/>
      <c r="V74" s="54"/>
    </row>
    <row r="75" ht="14.25" customHeight="1">
      <c r="A75" s="178"/>
      <c r="B75" s="12">
        <v>1613516.0</v>
      </c>
      <c r="C75" s="13">
        <v>45877.71921296296</v>
      </c>
      <c r="D75" s="179" t="s">
        <v>152</v>
      </c>
      <c r="E75" s="180" t="s">
        <v>200</v>
      </c>
      <c r="F75" s="181"/>
      <c r="G75" s="179" t="s">
        <v>211</v>
      </c>
      <c r="H75" s="190"/>
      <c r="I75" s="190"/>
      <c r="J75" s="187" t="s">
        <v>3151</v>
      </c>
      <c r="K75" s="187"/>
      <c r="L75" s="184" t="str">
        <f>IFERROR(__xludf.DUMMYFUNCTION("ifna(IF(and(D75=""Saída"",J75=""Sangria""),if(sum(QUERY(IMPORTRANGE(""https://docs.google.com/spreadsheets/d/1E4szPcLzsqlw4uyBAoJ61L1ChCgpz4wVP8tHfHW1g_c"",""BD M Sangrias!a:i""),""select Col6 where Col7 = 'Depositada' and Col9 = '""&amp;K75&amp;""' and Col6 = """&amp;"&amp;M75&amp;"" and Col4 = date '""&amp;YEAR(C75)&amp;""-""&amp;MONTH(C75)&amp;""-""&amp;DAY(C75)&amp;""'""))&gt;0,""Depositada"",if(sum(QUERY(IMPORTRANGE(""https://docs.google.com/spreadsheets/d/1EcLIvUgMoBC5as4ikW0wuQsGH5yVZ6cQ1y16qEfgPnk"",""BD M Sangrias!a:i""),""select Col6 where Col7"&amp;" = 'Caixa Atendimento' and Col9 = '""&amp;K75&amp;""' and Col6 = ""&amp;M75&amp;"" and Col4 = date '""&amp;YEAR(C75)&amp;""-""&amp;MONTH(C75)&amp;""-""&amp;DAY(C75)&amp;""'""))&gt;0,""Caixa Atendimento"",""Caixa Sangria"")),""""),""Caixa Sangria"")"),"")</f>
        <v/>
      </c>
      <c r="M75" s="185">
        <f>IFERROR(__xludf.DUMMYFUNCTION("ifna(VALUE(REGEXEXTRACT(E75,""[0-9.]+[,]+[0-9]+"")))"),300.0)</f>
        <v>300</v>
      </c>
      <c r="N75" s="52"/>
      <c r="O75" s="79"/>
      <c r="P75" s="79"/>
      <c r="Q75" s="79"/>
      <c r="R75" s="81"/>
      <c r="S75" s="79"/>
      <c r="T75" s="79"/>
      <c r="U75" s="79"/>
      <c r="V75" s="80"/>
    </row>
    <row r="76" ht="14.25" customHeight="1">
      <c r="A76" s="178"/>
      <c r="B76" s="12">
        <v>1613518.0</v>
      </c>
      <c r="C76" s="13">
        <v>45877.71969907408</v>
      </c>
      <c r="D76" s="179" t="s">
        <v>81</v>
      </c>
      <c r="E76" s="180" t="s">
        <v>5546</v>
      </c>
      <c r="F76" s="181"/>
      <c r="G76" s="179" t="s">
        <v>211</v>
      </c>
      <c r="H76" s="190"/>
      <c r="I76" s="190"/>
      <c r="J76" s="187" t="s">
        <v>3151</v>
      </c>
      <c r="K76" s="187"/>
      <c r="L76" s="184" t="str">
        <f>IFERROR(__xludf.DUMMYFUNCTION("ifna(IF(and(D76=""Saída"",J76=""Sangria""),if(sum(QUERY(IMPORTRANGE(""https://docs.google.com/spreadsheets/d/1E4szPcLzsqlw4uyBAoJ61L1ChCgpz4wVP8tHfHW1g_c"",""BD M Sangrias!a:i""),""select Col6 where Col7 = 'Depositada' and Col9 = '""&amp;K76&amp;""' and Col6 = """&amp;"&amp;M76&amp;"" and Col4 = date '""&amp;YEAR(C76)&amp;""-""&amp;MONTH(C76)&amp;""-""&amp;DAY(C76)&amp;""'""))&gt;0,""Depositada"",if(sum(QUERY(IMPORTRANGE(""https://docs.google.com/spreadsheets/d/1EcLIvUgMoBC5as4ikW0wuQsGH5yVZ6cQ1y16qEfgPnk"",""BD M Sangrias!a:i""),""select Col6 where Col7"&amp;" = 'Caixa Atendimento' and Col9 = '""&amp;K76&amp;""' and Col6 = ""&amp;M76&amp;"" and Col4 = date '""&amp;YEAR(C76)&amp;""-""&amp;MONTH(C76)&amp;""-""&amp;DAY(C76)&amp;""'""))&gt;0,""Caixa Atendimento"",""Caixa Sangria"")),""""),""Caixa Sangria"")"),"")</f>
        <v/>
      </c>
      <c r="M76" s="185">
        <f>IFERROR(__xludf.DUMMYFUNCTION("ifna(VALUE(REGEXEXTRACT(E76,""[0-9.]+[,]+[0-9]+"")))"),218.01)</f>
        <v>218.01</v>
      </c>
      <c r="N76" s="88"/>
      <c r="O76" s="89"/>
      <c r="P76" s="89"/>
      <c r="Q76" s="89"/>
      <c r="R76" s="91"/>
      <c r="S76" s="89"/>
      <c r="T76" s="89"/>
      <c r="U76" s="89"/>
      <c r="V76" s="90"/>
    </row>
    <row r="77" ht="14.25" customHeight="1">
      <c r="A77" s="178"/>
      <c r="B77" s="12">
        <v>1613533.0</v>
      </c>
      <c r="C77" s="13">
        <v>45877.72163194444</v>
      </c>
      <c r="D77" s="179" t="s">
        <v>152</v>
      </c>
      <c r="E77" s="180" t="s">
        <v>5289</v>
      </c>
      <c r="F77" s="181"/>
      <c r="G77" s="179" t="s">
        <v>5550</v>
      </c>
      <c r="H77" s="190"/>
      <c r="I77" s="190"/>
      <c r="J77" s="187" t="s">
        <v>5195</v>
      </c>
      <c r="K77" s="187"/>
      <c r="L77" s="184" t="str">
        <f>IFERROR(__xludf.DUMMYFUNCTION("ifna(IF(and(D77=""Saída"",J77=""Sangria""),if(sum(QUERY(IMPORTRANGE(""https://docs.google.com/spreadsheets/d/1E4szPcLzsqlw4uyBAoJ61L1ChCgpz4wVP8tHfHW1g_c"",""BD M Sangrias!a:i""),""select Col6 where Col7 = 'Depositada' and Col9 = '""&amp;K77&amp;""' and Col6 = """&amp;"&amp;M77&amp;"" and Col4 = date '""&amp;YEAR(C77)&amp;""-""&amp;MONTH(C77)&amp;""-""&amp;DAY(C77)&amp;""'""))&gt;0,""Depositada"",if(sum(QUERY(IMPORTRANGE(""https://docs.google.com/spreadsheets/d/1EcLIvUgMoBC5as4ikW0wuQsGH5yVZ6cQ1y16qEfgPnk"",""BD M Sangrias!a:i""),""select Col6 where Col7"&amp;" = 'Caixa Atendimento' and Col9 = '""&amp;K77&amp;""' and Col6 = ""&amp;M77&amp;"" and Col4 = date '""&amp;YEAR(C77)&amp;""-""&amp;MONTH(C77)&amp;""-""&amp;DAY(C77)&amp;""'""))&gt;0,""Caixa Atendimento"",""Caixa Sangria"")),""""),""Caixa Sangria"")"),"")</f>
        <v/>
      </c>
      <c r="M77" s="185">
        <f>IFERROR(__xludf.DUMMYFUNCTION("ifna(VALUE(REGEXEXTRACT(E77,""[0-9.]+[,]+[0-9]+"")))"),0.01)</f>
        <v>0.01</v>
      </c>
      <c r="N77" s="194"/>
      <c r="O77" s="195"/>
      <c r="P77" s="196"/>
      <c r="Q77" s="197"/>
      <c r="R77" s="91"/>
      <c r="S77" s="89"/>
      <c r="T77" s="89"/>
      <c r="U77" s="89"/>
      <c r="V77" s="90"/>
    </row>
    <row r="78" ht="14.25" customHeight="1">
      <c r="A78" s="178"/>
      <c r="B78" s="12">
        <v>1613593.0</v>
      </c>
      <c r="C78" s="13">
        <v>45877.74421296296</v>
      </c>
      <c r="D78" s="179" t="s">
        <v>152</v>
      </c>
      <c r="E78" s="180" t="s">
        <v>416</v>
      </c>
      <c r="F78" s="181"/>
      <c r="G78" s="179" t="s">
        <v>5296</v>
      </c>
      <c r="H78" s="190"/>
      <c r="I78" s="190"/>
      <c r="J78" s="199" t="s">
        <v>5195</v>
      </c>
      <c r="K78" s="187"/>
      <c r="L78" s="184" t="str">
        <f>IFERROR(__xludf.DUMMYFUNCTION("ifna(IF(and(D78=""Saída"",J78=""Sangria""),if(sum(QUERY(IMPORTRANGE(""https://docs.google.com/spreadsheets/d/1E4szPcLzsqlw4uyBAoJ61L1ChCgpz4wVP8tHfHW1g_c"",""BD M Sangrias!a:i""),""select Col6 where Col7 = 'Depositada' and Col9 = '""&amp;K78&amp;""' and Col6 = """&amp;"&amp;M78&amp;"" and Col4 = date '""&amp;YEAR(C78)&amp;""-""&amp;MONTH(C78)&amp;""-""&amp;DAY(C78)&amp;""'""))&gt;0,""Depositada"",if(sum(QUERY(IMPORTRANGE(""https://docs.google.com/spreadsheets/d/1EcLIvUgMoBC5as4ikW0wuQsGH5yVZ6cQ1y16qEfgPnk"",""BD M Sangrias!a:i""),""select Col6 where Col7"&amp;" = 'Caixa Atendimento' and Col9 = '""&amp;K78&amp;""' and Col6 = ""&amp;M78&amp;"" and Col4 = date '""&amp;YEAR(C78)&amp;""-""&amp;MONTH(C78)&amp;""-""&amp;DAY(C78)&amp;""'""))&gt;0,""Caixa Atendimento"",""Caixa Sangria"")),""""),""Caixa Sangria"")"),"")</f>
        <v/>
      </c>
      <c r="M78" s="185">
        <f>IFERROR(__xludf.DUMMYFUNCTION("ifna(VALUE(REGEXEXTRACT(E78,""[0-9.]+[,]+[0-9]+"")))"),100.0)</f>
        <v>100</v>
      </c>
      <c r="N78" s="194"/>
      <c r="O78" s="195"/>
      <c r="P78" s="196"/>
      <c r="Q78" s="197"/>
      <c r="R78" s="91"/>
      <c r="S78" s="89"/>
      <c r="T78" s="89"/>
      <c r="U78" s="89"/>
      <c r="V78" s="90"/>
    </row>
    <row r="79" ht="14.25" customHeight="1">
      <c r="A79" s="178"/>
      <c r="B79" s="12">
        <v>1613594.0</v>
      </c>
      <c r="C79" s="13">
        <v>45877.74454861111</v>
      </c>
      <c r="D79" s="179" t="s">
        <v>81</v>
      </c>
      <c r="E79" s="180" t="s">
        <v>5555</v>
      </c>
      <c r="F79" s="181"/>
      <c r="G79" s="179" t="s">
        <v>5556</v>
      </c>
      <c r="H79" s="190"/>
      <c r="I79" s="190"/>
      <c r="J79" s="187" t="s">
        <v>3151</v>
      </c>
      <c r="K79" s="187"/>
      <c r="L79" s="184" t="str">
        <f>IFERROR(__xludf.DUMMYFUNCTION("ifna(IF(and(D79=""Saída"",J79=""Sangria""),if(sum(QUERY(IMPORTRANGE(""https://docs.google.com/spreadsheets/d/1E4szPcLzsqlw4uyBAoJ61L1ChCgpz4wVP8tHfHW1g_c"",""BD M Sangrias!a:i""),""select Col6 where Col7 = 'Depositada' and Col9 = '""&amp;K79&amp;""' and Col6 = """&amp;"&amp;M79&amp;"" and Col4 = date '""&amp;YEAR(C79)&amp;""-""&amp;MONTH(C79)&amp;""-""&amp;DAY(C79)&amp;""'""))&gt;0,""Depositada"",if(sum(QUERY(IMPORTRANGE(""https://docs.google.com/spreadsheets/d/1EcLIvUgMoBC5as4ikW0wuQsGH5yVZ6cQ1y16qEfgPnk"",""BD M Sangrias!a:i""),""select Col6 where Col7"&amp;" = 'Caixa Atendimento' and Col9 = '""&amp;K79&amp;""' and Col6 = ""&amp;M79&amp;"" and Col4 = date '""&amp;YEAR(C79)&amp;""-""&amp;MONTH(C79)&amp;""-""&amp;DAY(C79)&amp;""'""))&gt;0,""Caixa Atendimento"",""Caixa Sangria"")),""""),""Caixa Sangria"")"),"")</f>
        <v/>
      </c>
      <c r="M79" s="185">
        <f>IFERROR(__xludf.DUMMYFUNCTION("ifna(VALUE(REGEXEXTRACT(E79,""[0-9.]+[,]+[0-9]+"")))"),68.7)</f>
        <v>68.7</v>
      </c>
      <c r="N79" s="194"/>
      <c r="O79" s="195"/>
      <c r="P79" s="196"/>
      <c r="Q79" s="197"/>
      <c r="R79" s="91"/>
      <c r="S79" s="89"/>
      <c r="T79" s="89"/>
      <c r="U79" s="89"/>
      <c r="V79" s="90"/>
    </row>
    <row r="80" ht="14.25" customHeight="1">
      <c r="A80" s="178"/>
      <c r="B80" s="12">
        <v>1614587.0</v>
      </c>
      <c r="C80" s="13">
        <v>45878.59979166667</v>
      </c>
      <c r="D80" s="179" t="s">
        <v>152</v>
      </c>
      <c r="E80" s="180" t="s">
        <v>5564</v>
      </c>
      <c r="F80" s="181"/>
      <c r="G80" s="179" t="s">
        <v>1126</v>
      </c>
      <c r="H80" s="190"/>
      <c r="I80" s="190"/>
      <c r="J80" s="187" t="s">
        <v>2669</v>
      </c>
      <c r="K80" s="187"/>
      <c r="L80" s="184" t="str">
        <f>IFERROR(__xludf.DUMMYFUNCTION("ifna(IF(and(D80=""Saída"",J80=""Sangria""),if(sum(QUERY(IMPORTRANGE(""https://docs.google.com/spreadsheets/d/1E4szPcLzsqlw4uyBAoJ61L1ChCgpz4wVP8tHfHW1g_c"",""BD M Sangrias!a:i""),""select Col6 where Col7 = 'Depositada' and Col9 = '""&amp;K80&amp;""' and Col6 = """&amp;"&amp;M80&amp;"" and Col4 = date '""&amp;YEAR(C80)&amp;""-""&amp;MONTH(C80)&amp;""-""&amp;DAY(C80)&amp;""'""))&gt;0,""Depositada"",if(sum(QUERY(IMPORTRANGE(""https://docs.google.com/spreadsheets/d/1EcLIvUgMoBC5as4ikW0wuQsGH5yVZ6cQ1y16qEfgPnk"",""BD M Sangrias!a:i""),""select Col6 where Col7"&amp;" = 'Caixa Atendimento' and Col9 = '""&amp;K80&amp;""' and Col6 = ""&amp;M80&amp;"" and Col4 = date '""&amp;YEAR(C80)&amp;""-""&amp;MONTH(C80)&amp;""-""&amp;DAY(C80)&amp;""'""))&gt;0,""Caixa Atendimento"",""Caixa Sangria"")),""""),""Caixa Sangria"")"),"")</f>
        <v/>
      </c>
      <c r="M80" s="185">
        <f>IFERROR(__xludf.DUMMYFUNCTION("ifna(VALUE(REGEXEXTRACT(E80,""[0-9.]+[,]+[0-9]+"")))"),2.0)</f>
        <v>2</v>
      </c>
      <c r="N80" s="194"/>
      <c r="O80" s="195"/>
      <c r="P80" s="196"/>
      <c r="Q80" s="197"/>
      <c r="R80" s="91"/>
      <c r="S80" s="89"/>
      <c r="T80" s="89"/>
      <c r="U80" s="89"/>
      <c r="V80" s="90"/>
    </row>
    <row r="81" ht="14.25" customHeight="1">
      <c r="A81" s="178"/>
      <c r="B81" s="12">
        <v>1616104.0</v>
      </c>
      <c r="C81" s="13">
        <v>45879.545798611114</v>
      </c>
      <c r="D81" s="179" t="s">
        <v>152</v>
      </c>
      <c r="E81" s="180" t="s">
        <v>1181</v>
      </c>
      <c r="F81" s="181"/>
      <c r="G81" s="179" t="s">
        <v>1126</v>
      </c>
      <c r="H81" s="190"/>
      <c r="I81" s="190"/>
      <c r="J81" s="187" t="s">
        <v>2669</v>
      </c>
      <c r="K81" s="187"/>
      <c r="L81" s="184" t="str">
        <f>IFERROR(__xludf.DUMMYFUNCTION("ifna(IF(and(D81=""Saída"",J81=""Sangria""),if(sum(QUERY(IMPORTRANGE(""https://docs.google.com/spreadsheets/d/1E4szPcLzsqlw4uyBAoJ61L1ChCgpz4wVP8tHfHW1g_c"",""BD M Sangrias!a:i""),""select Col6 where Col7 = 'Depositada' and Col9 = '""&amp;K81&amp;""' and Col6 = """&amp;"&amp;M81&amp;"" and Col4 = date '""&amp;YEAR(C81)&amp;""-""&amp;MONTH(C81)&amp;""-""&amp;DAY(C81)&amp;""'""))&gt;0,""Depositada"",if(sum(QUERY(IMPORTRANGE(""https://docs.google.com/spreadsheets/d/1EcLIvUgMoBC5as4ikW0wuQsGH5yVZ6cQ1y16qEfgPnk"",""BD M Sangrias!a:i""),""select Col6 where Col7"&amp;" = 'Caixa Atendimento' and Col9 = '""&amp;K81&amp;""' and Col6 = ""&amp;M81&amp;"" and Col4 = date '""&amp;YEAR(C81)&amp;""-""&amp;MONTH(C81)&amp;""-""&amp;DAY(C81)&amp;""'""))&gt;0,""Caixa Atendimento"",""Caixa Sangria"")),""""),""Caixa Sangria"")"),"")</f>
        <v/>
      </c>
      <c r="M81" s="185">
        <f>IFERROR(__xludf.DUMMYFUNCTION("ifna(VALUE(REGEXEXTRACT(E81,""[0-9.]+[,]+[0-9]+"")))"),76.0)</f>
        <v>76</v>
      </c>
      <c r="N81" s="88"/>
      <c r="O81" s="89"/>
      <c r="P81" s="89"/>
      <c r="Q81" s="89"/>
      <c r="R81" s="91"/>
      <c r="S81" s="89"/>
      <c r="T81" s="89"/>
      <c r="U81" s="89"/>
      <c r="V81" s="90"/>
    </row>
    <row r="82" ht="14.25" customHeight="1">
      <c r="A82" s="178"/>
      <c r="B82" s="12">
        <v>1616387.0</v>
      </c>
      <c r="C82" s="13">
        <v>45879.66480324074</v>
      </c>
      <c r="D82" s="179" t="s">
        <v>81</v>
      </c>
      <c r="E82" s="180" t="s">
        <v>669</v>
      </c>
      <c r="F82" s="181"/>
      <c r="G82" s="179" t="s">
        <v>5571</v>
      </c>
      <c r="H82" s="190"/>
      <c r="I82" s="190"/>
      <c r="J82" s="187" t="s">
        <v>2438</v>
      </c>
      <c r="K82" s="187"/>
      <c r="L82" s="184" t="str">
        <f>IFERROR(__xludf.DUMMYFUNCTION("ifna(IF(and(D82=""Saída"",J82=""Sangria""),if(sum(QUERY(IMPORTRANGE(""https://docs.google.com/spreadsheets/d/1E4szPcLzsqlw4uyBAoJ61L1ChCgpz4wVP8tHfHW1g_c"",""BD M Sangrias!a:i""),""select Col6 where Col7 = 'Depositada' and Col9 = '""&amp;K82&amp;""' and Col6 = """&amp;"&amp;M82&amp;"" and Col4 = date '""&amp;YEAR(C82)&amp;""-""&amp;MONTH(C82)&amp;""-""&amp;DAY(C82)&amp;""'""))&gt;0,""Depositada"",if(sum(QUERY(IMPORTRANGE(""https://docs.google.com/spreadsheets/d/1EcLIvUgMoBC5as4ikW0wuQsGH5yVZ6cQ1y16qEfgPnk"",""BD M Sangrias!a:i""),""select Col6 where Col7"&amp;" = 'Caixa Atendimento' and Col9 = '""&amp;K82&amp;""' and Col6 = ""&amp;M82&amp;"" and Col4 = date '""&amp;YEAR(C82)&amp;""-""&amp;MONTH(C82)&amp;""-""&amp;DAY(C82)&amp;""'""))&gt;0,""Caixa Atendimento"",""Caixa Sangria"")),""""),""Caixa Sangria"")"),"")</f>
        <v/>
      </c>
      <c r="M82" s="185">
        <f>IFERROR(__xludf.DUMMYFUNCTION("ifna(VALUE(REGEXEXTRACT(E82,""[0-9.]+[,]+[0-9]+"")))"),7.0)</f>
        <v>7</v>
      </c>
      <c r="N82" s="88"/>
      <c r="O82" s="89"/>
      <c r="P82" s="89"/>
      <c r="Q82" s="89"/>
      <c r="R82" s="91"/>
      <c r="S82" s="89"/>
      <c r="T82" s="89"/>
      <c r="U82" s="89"/>
      <c r="V82" s="90"/>
    </row>
    <row r="83" ht="14.25" customHeight="1">
      <c r="A83" s="178"/>
      <c r="B83" s="12">
        <v>1616898.0</v>
      </c>
      <c r="C83" s="13">
        <v>45879.76137731481</v>
      </c>
      <c r="D83" s="179" t="s">
        <v>81</v>
      </c>
      <c r="E83" s="180" t="s">
        <v>5574</v>
      </c>
      <c r="F83" s="181"/>
      <c r="G83" s="179" t="s">
        <v>5575</v>
      </c>
      <c r="H83" s="190"/>
      <c r="I83" s="190"/>
      <c r="J83" s="187" t="s">
        <v>2438</v>
      </c>
      <c r="K83" s="187"/>
      <c r="L83" s="184" t="str">
        <f>IFERROR(__xludf.DUMMYFUNCTION("ifna(IF(and(D83=""Saída"",J83=""Sangria""),if(sum(QUERY(IMPORTRANGE(""https://docs.google.com/spreadsheets/d/1E4szPcLzsqlw4uyBAoJ61L1ChCgpz4wVP8tHfHW1g_c"",""BD M Sangrias!a:i""),""select Col6 where Col7 = 'Depositada' and Col9 = '""&amp;K83&amp;""' and Col6 = """&amp;"&amp;M83&amp;"" and Col4 = date '""&amp;YEAR(C83)&amp;""-""&amp;MONTH(C83)&amp;""-""&amp;DAY(C83)&amp;""'""))&gt;0,""Depositada"",if(sum(QUERY(IMPORTRANGE(""https://docs.google.com/spreadsheets/d/1EcLIvUgMoBC5as4ikW0wuQsGH5yVZ6cQ1y16qEfgPnk"",""BD M Sangrias!a:i""),""select Col6 where Col7"&amp;" = 'Caixa Atendimento' and Col9 = '""&amp;K83&amp;""' and Col6 = ""&amp;M83&amp;"" and Col4 = date '""&amp;YEAR(C83)&amp;""-""&amp;MONTH(C83)&amp;""-""&amp;DAY(C83)&amp;""'""))&gt;0,""Caixa Atendimento"",""Caixa Sangria"")),""""),""Caixa Sangria"")"),"")</f>
        <v/>
      </c>
      <c r="M83" s="185">
        <f>IFERROR(__xludf.DUMMYFUNCTION("ifna(VALUE(REGEXEXTRACT(E83,""[0-9.]+[,]+[0-9]+"")))"),88.81)</f>
        <v>88.81</v>
      </c>
      <c r="N83" s="108"/>
      <c r="O83" s="109"/>
      <c r="P83" s="109"/>
      <c r="Q83" s="109"/>
      <c r="R83" s="91"/>
      <c r="S83" s="109"/>
      <c r="T83" s="109"/>
      <c r="U83" s="109"/>
      <c r="V83" s="111"/>
    </row>
    <row r="84" ht="14.25" customHeight="1">
      <c r="A84" s="178"/>
      <c r="B84" s="12">
        <v>1617060.0</v>
      </c>
      <c r="C84" s="13">
        <v>45879.791875</v>
      </c>
      <c r="D84" s="179" t="s">
        <v>81</v>
      </c>
      <c r="E84" s="180" t="s">
        <v>523</v>
      </c>
      <c r="F84" s="188"/>
      <c r="G84" s="179" t="s">
        <v>5581</v>
      </c>
      <c r="H84" s="190"/>
      <c r="I84" s="190"/>
      <c r="J84" s="187" t="s">
        <v>1782</v>
      </c>
      <c r="K84" s="187"/>
      <c r="L84" s="184" t="str">
        <f>IFERROR(__xludf.DUMMYFUNCTION("ifna(IF(and(D84=""Saída"",J84=""Sangria""),if(sum(QUERY(IMPORTRANGE(""https://docs.google.com/spreadsheets/d/1E4szPcLzsqlw4uyBAoJ61L1ChCgpz4wVP8tHfHW1g_c"",""BD M Sangrias!a:i""),""select Col6 where Col7 = 'Depositada' and Col9 = '""&amp;K84&amp;""' and Col6 = """&amp;"&amp;M84&amp;"" and Col4 = date '""&amp;YEAR(C84)&amp;""-""&amp;MONTH(C84)&amp;""-""&amp;DAY(C84)&amp;""'""))&gt;0,""Depositada"",if(sum(QUERY(IMPORTRANGE(""https://docs.google.com/spreadsheets/d/1EcLIvUgMoBC5as4ikW0wuQsGH5yVZ6cQ1y16qEfgPnk"",""BD M Sangrias!a:i""),""select Col6 where Col7"&amp;" = 'Caixa Atendimento' and Col9 = '""&amp;K84&amp;""' and Col6 = ""&amp;M84&amp;"" and Col4 = date '""&amp;YEAR(C84)&amp;""-""&amp;MONTH(C84)&amp;""-""&amp;DAY(C84)&amp;""'""))&gt;0,""Caixa Atendimento"",""Caixa Sangria"")),""""),""Caixa Sangria"")"),"")</f>
        <v/>
      </c>
      <c r="M84" s="185">
        <f>IFERROR(__xludf.DUMMYFUNCTION("ifna(VALUE(REGEXEXTRACT(E84,""[0-9.]+[,]+[0-9]+"")))"),360.0)</f>
        <v>360</v>
      </c>
      <c r="N84" s="201"/>
      <c r="O84" s="202"/>
      <c r="P84" s="202"/>
      <c r="Q84" s="202"/>
      <c r="R84" s="91"/>
      <c r="S84" s="202"/>
      <c r="T84" s="202"/>
      <c r="U84" s="202"/>
      <c r="V84" s="203"/>
    </row>
    <row r="85" ht="14.25" customHeight="1">
      <c r="A85" s="178"/>
      <c r="B85" s="12">
        <v>1617744.0</v>
      </c>
      <c r="C85" s="13">
        <v>45879.9155787037</v>
      </c>
      <c r="D85" s="179" t="s">
        <v>81</v>
      </c>
      <c r="E85" s="180" t="s">
        <v>5587</v>
      </c>
      <c r="F85" s="181"/>
      <c r="G85" s="179" t="s">
        <v>5589</v>
      </c>
      <c r="H85" s="190"/>
      <c r="I85" s="190"/>
      <c r="J85" s="187" t="s">
        <v>1782</v>
      </c>
      <c r="K85" s="187"/>
      <c r="L85" s="184" t="str">
        <f>IFERROR(__xludf.DUMMYFUNCTION("ifna(IF(and(D85=""Saída"",J85=""Sangria""),if(sum(QUERY(IMPORTRANGE(""https://docs.google.com/spreadsheets/d/1E4szPcLzsqlw4uyBAoJ61L1ChCgpz4wVP8tHfHW1g_c"",""BD M Sangrias!a:i""),""select Col6 where Col7 = 'Depositada' and Col9 = '""&amp;K85&amp;""' and Col6 = """&amp;"&amp;M85&amp;"" and Col4 = date '""&amp;YEAR(C85)&amp;""-""&amp;MONTH(C85)&amp;""-""&amp;DAY(C85)&amp;""'""))&gt;0,""Depositada"",if(sum(QUERY(IMPORTRANGE(""https://docs.google.com/spreadsheets/d/1EcLIvUgMoBC5as4ikW0wuQsGH5yVZ6cQ1y16qEfgPnk"",""BD M Sangrias!a:i""),""select Col6 where Col7"&amp;" = 'Caixa Atendimento' and Col9 = '""&amp;K85&amp;""' and Col6 = ""&amp;M85&amp;"" and Col4 = date '""&amp;YEAR(C85)&amp;""-""&amp;MONTH(C85)&amp;""-""&amp;DAY(C85)&amp;""'""))&gt;0,""Caixa Atendimento"",""Caixa Sangria"")),""""),""Caixa Sangria"")"),"")</f>
        <v/>
      </c>
      <c r="M85" s="185">
        <f>IFERROR(__xludf.DUMMYFUNCTION("ifna(VALUE(REGEXEXTRACT(E85,""[0-9.]+[,]+[0-9]+"")))"),208.0)</f>
        <v>208</v>
      </c>
      <c r="N85" s="201"/>
      <c r="O85" s="202"/>
      <c r="P85" s="202"/>
      <c r="Q85" s="202"/>
      <c r="R85" s="91"/>
      <c r="S85" s="202"/>
      <c r="T85" s="202"/>
      <c r="U85" s="202"/>
      <c r="V85" s="203"/>
    </row>
    <row r="86" ht="14.25" customHeight="1">
      <c r="A86" s="178"/>
      <c r="B86" s="12">
        <v>1617748.0</v>
      </c>
      <c r="C86" s="13">
        <v>45879.91584490741</v>
      </c>
      <c r="D86" s="179" t="s">
        <v>81</v>
      </c>
      <c r="E86" s="180" t="s">
        <v>5587</v>
      </c>
      <c r="F86" s="181"/>
      <c r="G86" s="179" t="s">
        <v>5593</v>
      </c>
      <c r="H86" s="190"/>
      <c r="I86" s="190"/>
      <c r="J86" s="187" t="s">
        <v>1782</v>
      </c>
      <c r="K86" s="187"/>
      <c r="L86" s="184" t="str">
        <f>IFERROR(__xludf.DUMMYFUNCTION("ifna(IF(and(D86=""Saída"",J86=""Sangria""),if(sum(QUERY(IMPORTRANGE(""https://docs.google.com/spreadsheets/d/1E4szPcLzsqlw4uyBAoJ61L1ChCgpz4wVP8tHfHW1g_c"",""BD M Sangrias!a:i""),""select Col6 where Col7 = 'Depositada' and Col9 = '""&amp;K86&amp;""' and Col6 = """&amp;"&amp;M86&amp;"" and Col4 = date '""&amp;YEAR(C86)&amp;""-""&amp;MONTH(C86)&amp;""-""&amp;DAY(C86)&amp;""'""))&gt;0,""Depositada"",if(sum(QUERY(IMPORTRANGE(""https://docs.google.com/spreadsheets/d/1EcLIvUgMoBC5as4ikW0wuQsGH5yVZ6cQ1y16qEfgPnk"",""BD M Sangrias!a:i""),""select Col6 where Col7"&amp;" = 'Caixa Atendimento' and Col9 = '""&amp;K86&amp;""' and Col6 = ""&amp;M86&amp;"" and Col4 = date '""&amp;YEAR(C86)&amp;""-""&amp;MONTH(C86)&amp;""-""&amp;DAY(C86)&amp;""'""))&gt;0,""Caixa Atendimento"",""Caixa Sangria"")),""""),""Caixa Sangria"")"),"")</f>
        <v/>
      </c>
      <c r="M86" s="185">
        <f>IFERROR(__xludf.DUMMYFUNCTION("ifna(VALUE(REGEXEXTRACT(E86,""[0-9.]+[,]+[0-9]+"")))"),208.0)</f>
        <v>208</v>
      </c>
      <c r="N86" s="201"/>
      <c r="O86" s="202"/>
      <c r="P86" s="202"/>
      <c r="Q86" s="202"/>
      <c r="R86" s="91"/>
      <c r="S86" s="202"/>
      <c r="T86" s="202"/>
      <c r="U86" s="202"/>
      <c r="V86" s="203"/>
    </row>
    <row r="87" ht="14.25" customHeight="1">
      <c r="A87" s="178"/>
      <c r="B87" s="12">
        <v>1617779.0</v>
      </c>
      <c r="C87" s="13">
        <v>45879.918761574074</v>
      </c>
      <c r="D87" s="179" t="s">
        <v>81</v>
      </c>
      <c r="E87" s="180" t="s">
        <v>5424</v>
      </c>
      <c r="F87" s="188"/>
      <c r="G87" s="179" t="s">
        <v>3104</v>
      </c>
      <c r="H87" s="190"/>
      <c r="I87" s="190"/>
      <c r="J87" s="187" t="s">
        <v>2735</v>
      </c>
      <c r="K87" s="187" t="s">
        <v>1894</v>
      </c>
      <c r="L87" s="184" t="str">
        <f>IFERROR(__xludf.DUMMYFUNCTION("ifna(IF(and(D87=""Saída"",J87=""Sangria""),if(sum(QUERY(IMPORTRANGE(""https://docs.google.com/spreadsheets/d/1E4szPcLzsqlw4uyBAoJ61L1ChCgpz4wVP8tHfHW1g_c"",""BD M Sangrias!a:i""),""select Col6 where Col7 = 'Depositada' and Col9 = '""&amp;K87&amp;""' and Col6 = """&amp;"&amp;M87&amp;"" and Col4 = date '""&amp;YEAR(C87)&amp;""-""&amp;MONTH(C87)&amp;""-""&amp;DAY(C87)&amp;""'""))&gt;0,""Depositada"",if(sum(QUERY(IMPORTRANGE(""https://docs.google.com/spreadsheets/d/1EcLIvUgMoBC5as4ikW0wuQsGH5yVZ6cQ1y16qEfgPnk"",""BD M Sangrias!a:i""),""select Col6 where Col7"&amp;" = 'Caixa Atendimento' and Col9 = '""&amp;K87&amp;""' and Col6 = ""&amp;M87&amp;"" and Col4 = date '""&amp;YEAR(C87)&amp;""-""&amp;MONTH(C87)&amp;""-""&amp;DAY(C87)&amp;""'""))&gt;0,""Caixa Atendimento"",""Caixa Sangria"")),""""),""Caixa Sangria"")"),"#REF!")</f>
        <v>#REF!</v>
      </c>
      <c r="M87" s="185">
        <f>IFERROR(__xludf.DUMMYFUNCTION("ifna(VALUE(REGEXEXTRACT(E87,""[0-9.]+[,]+[0-9]+"")))"),1500.0)</f>
        <v>1500</v>
      </c>
      <c r="N87" s="201"/>
      <c r="O87" s="202"/>
      <c r="P87" s="202"/>
      <c r="Q87" s="202"/>
      <c r="R87" s="91"/>
      <c r="S87" s="202"/>
      <c r="T87" s="202"/>
      <c r="U87" s="202"/>
      <c r="V87" s="203"/>
    </row>
    <row r="88" ht="14.25" customHeight="1">
      <c r="A88" s="178"/>
      <c r="B88" s="12">
        <v>1618538.0</v>
      </c>
      <c r="C88" s="13">
        <v>45880.649675925924</v>
      </c>
      <c r="D88" s="179" t="s">
        <v>152</v>
      </c>
      <c r="E88" s="180" t="s">
        <v>1370</v>
      </c>
      <c r="F88" s="181"/>
      <c r="G88" s="179" t="s">
        <v>1126</v>
      </c>
      <c r="H88" s="190"/>
      <c r="I88" s="190"/>
      <c r="J88" s="187" t="s">
        <v>2669</v>
      </c>
      <c r="K88" s="187"/>
      <c r="L88" s="184" t="str">
        <f>IFERROR(__xludf.DUMMYFUNCTION("ifna(IF(and(D88=""Saída"",J88=""Sangria""),if(sum(QUERY(IMPORTRANGE(""https://docs.google.com/spreadsheets/d/1E4szPcLzsqlw4uyBAoJ61L1ChCgpz4wVP8tHfHW1g_c"",""BD M Sangrias!a:i""),""select Col6 where Col7 = 'Depositada' and Col9 = '""&amp;K88&amp;""' and Col6 = """&amp;"&amp;M88&amp;"" and Col4 = date '""&amp;YEAR(C88)&amp;""-""&amp;MONTH(C88)&amp;""-""&amp;DAY(C88)&amp;""'""))&gt;0,""Depositada"",if(sum(QUERY(IMPORTRANGE(""https://docs.google.com/spreadsheets/d/1EcLIvUgMoBC5as4ikW0wuQsGH5yVZ6cQ1y16qEfgPnk"",""BD M Sangrias!a:i""),""select Col6 where Col7"&amp;" = 'Caixa Atendimento' and Col9 = '""&amp;K88&amp;""' and Col6 = ""&amp;M88&amp;"" and Col4 = date '""&amp;YEAR(C88)&amp;""-""&amp;MONTH(C88)&amp;""-""&amp;DAY(C88)&amp;""'""))&gt;0,""Caixa Atendimento"",""Caixa Sangria"")),""""),""Caixa Sangria"")"),"")</f>
        <v/>
      </c>
      <c r="M88" s="185">
        <f>IFERROR(__xludf.DUMMYFUNCTION("ifna(VALUE(REGEXEXTRACT(E88,""[0-9.]+[,]+[0-9]+"")))"),4.0)</f>
        <v>4</v>
      </c>
      <c r="N88" s="204"/>
      <c r="O88" s="205"/>
      <c r="P88" s="205"/>
      <c r="Q88" s="205"/>
      <c r="R88" s="206"/>
      <c r="S88" s="205"/>
      <c r="T88" s="205"/>
      <c r="U88" s="205"/>
      <c r="V88" s="207"/>
    </row>
    <row r="89" ht="14.25" customHeight="1">
      <c r="A89" s="178"/>
      <c r="B89" s="12">
        <v>1618775.0</v>
      </c>
      <c r="C89" s="13">
        <v>45880.72231481481</v>
      </c>
      <c r="D89" s="179" t="s">
        <v>152</v>
      </c>
      <c r="E89" s="180" t="s">
        <v>5610</v>
      </c>
      <c r="F89" s="181"/>
      <c r="G89" s="179" t="s">
        <v>267</v>
      </c>
      <c r="H89" s="190"/>
      <c r="I89" s="190"/>
      <c r="J89" s="187" t="s">
        <v>2669</v>
      </c>
      <c r="K89" s="187"/>
      <c r="L89" s="184" t="str">
        <f>IFERROR(__xludf.DUMMYFUNCTION("ifna(IF(and(D89=""Saída"",J89=""Sangria""),if(sum(QUERY(IMPORTRANGE(""https://docs.google.com/spreadsheets/d/1E4szPcLzsqlw4uyBAoJ61L1ChCgpz4wVP8tHfHW1g_c"",""BD M Sangrias!a:i""),""select Col6 where Col7 = 'Depositada' and Col9 = '""&amp;K89&amp;""' and Col6 = """&amp;"&amp;M89&amp;"" and Col4 = date '""&amp;YEAR(C89)&amp;""-""&amp;MONTH(C89)&amp;""-""&amp;DAY(C89)&amp;""'""))&gt;0,""Depositada"",if(sum(QUERY(IMPORTRANGE(""https://docs.google.com/spreadsheets/d/1EcLIvUgMoBC5as4ikW0wuQsGH5yVZ6cQ1y16qEfgPnk"",""BD M Sangrias!a:i""),""select Col6 where Col7"&amp;" = 'Caixa Atendimento' and Col9 = '""&amp;K89&amp;""' and Col6 = ""&amp;M89&amp;"" and Col4 = date '""&amp;YEAR(C89)&amp;""-""&amp;MONTH(C89)&amp;""-""&amp;DAY(C89)&amp;""'""))&gt;0,""Caixa Atendimento"",""Caixa Sangria"")),""""),""Caixa Sangria"")"),"")</f>
        <v/>
      </c>
      <c r="M89" s="185">
        <f>IFERROR(__xludf.DUMMYFUNCTION("ifna(VALUE(REGEXEXTRACT(E89,""[0-9.]+[,]+[0-9]+"")))"),2.2)</f>
        <v>2.2</v>
      </c>
      <c r="N89" s="25"/>
      <c r="O89" s="25"/>
      <c r="P89" s="25"/>
      <c r="Q89" s="25"/>
      <c r="R89" s="25"/>
      <c r="S89" s="25"/>
      <c r="T89" s="25"/>
      <c r="U89" s="25"/>
      <c r="V89" s="25"/>
    </row>
    <row r="90" ht="14.25" customHeight="1">
      <c r="A90" s="178"/>
      <c r="B90" s="12">
        <v>1618874.0</v>
      </c>
      <c r="C90" s="13">
        <v>45880.75310185185</v>
      </c>
      <c r="D90" s="179" t="s">
        <v>152</v>
      </c>
      <c r="E90" s="180" t="s">
        <v>5616</v>
      </c>
      <c r="F90" s="181"/>
      <c r="G90" s="179" t="s">
        <v>5617</v>
      </c>
      <c r="H90" s="190"/>
      <c r="I90" s="190"/>
      <c r="J90" s="187"/>
      <c r="K90" s="187"/>
      <c r="L90" s="184" t="str">
        <f>IFERROR(__xludf.DUMMYFUNCTION("ifna(IF(and(D90=""Saída"",J90=""Sangria""),if(sum(QUERY(IMPORTRANGE(""https://docs.google.com/spreadsheets/d/1E4szPcLzsqlw4uyBAoJ61L1ChCgpz4wVP8tHfHW1g_c"",""BD M Sangrias!a:i""),""select Col6 where Col7 = 'Depositada' and Col9 = '""&amp;K90&amp;""' and Col6 = """&amp;"&amp;M90&amp;"" and Col4 = date '""&amp;YEAR(C90)&amp;""-""&amp;MONTH(C90)&amp;""-""&amp;DAY(C90)&amp;""'""))&gt;0,""Depositada"",if(sum(QUERY(IMPORTRANGE(""https://docs.google.com/spreadsheets/d/1EcLIvUgMoBC5as4ikW0wuQsGH5yVZ6cQ1y16qEfgPnk"",""BD M Sangrias!a:i""),""select Col6 where Col7"&amp;" = 'Caixa Atendimento' and Col9 = '""&amp;K90&amp;""' and Col6 = ""&amp;M90&amp;"" and Col4 = date '""&amp;YEAR(C90)&amp;""-""&amp;MONTH(C90)&amp;""-""&amp;DAY(C90)&amp;""'""))&gt;0,""Caixa Atendimento"",""Caixa Sangria"")),""""),""Caixa Sangria"")"),"")</f>
        <v/>
      </c>
      <c r="M90" s="185">
        <f>IFERROR(__xludf.DUMMYFUNCTION("ifna(VALUE(REGEXEXTRACT(E90,""[0-9.]+[,]+[0-9]+"")))"),152.0)</f>
        <v>152</v>
      </c>
      <c r="N90" s="25"/>
      <c r="O90" s="25"/>
      <c r="P90" s="25"/>
      <c r="Q90" s="25"/>
      <c r="R90" s="25"/>
      <c r="S90" s="25"/>
      <c r="T90" s="25"/>
      <c r="U90" s="25"/>
      <c r="V90" s="25"/>
    </row>
    <row r="91" ht="14.25" customHeight="1">
      <c r="A91" s="178"/>
      <c r="B91" s="12">
        <v>1619168.0</v>
      </c>
      <c r="C91" s="13">
        <v>45880.88375</v>
      </c>
      <c r="D91" s="179" t="s">
        <v>81</v>
      </c>
      <c r="E91" s="180" t="s">
        <v>200</v>
      </c>
      <c r="F91" s="181"/>
      <c r="G91" s="179" t="s">
        <v>5296</v>
      </c>
      <c r="H91" s="190"/>
      <c r="I91" s="190"/>
      <c r="J91" s="187" t="s">
        <v>5195</v>
      </c>
      <c r="K91" s="187"/>
      <c r="L91" s="184" t="str">
        <f>IFERROR(__xludf.DUMMYFUNCTION("ifna(IF(and(D91=""Saída"",J91=""Sangria""),if(sum(QUERY(IMPORTRANGE(""https://docs.google.com/spreadsheets/d/1E4szPcLzsqlw4uyBAoJ61L1ChCgpz4wVP8tHfHW1g_c"",""BD M Sangrias!a:i""),""select Col6 where Col7 = 'Depositada' and Col9 = '""&amp;K91&amp;""' and Col6 = """&amp;"&amp;M91&amp;"" and Col4 = date '""&amp;YEAR(C91)&amp;""-""&amp;MONTH(C91)&amp;""-""&amp;DAY(C91)&amp;""'""))&gt;0,""Depositada"",if(sum(QUERY(IMPORTRANGE(""https://docs.google.com/spreadsheets/d/1EcLIvUgMoBC5as4ikW0wuQsGH5yVZ6cQ1y16qEfgPnk"",""BD M Sangrias!a:i""),""select Col6 where Col7"&amp;" = 'Caixa Atendimento' and Col9 = '""&amp;K91&amp;""' and Col6 = ""&amp;M91&amp;"" and Col4 = date '""&amp;YEAR(C91)&amp;""-""&amp;MONTH(C91)&amp;""-""&amp;DAY(C91)&amp;""'""))&gt;0,""Caixa Atendimento"",""Caixa Sangria"")),""""),""Caixa Sangria"")"),"")</f>
        <v/>
      </c>
      <c r="M91" s="185">
        <f>IFERROR(__xludf.DUMMYFUNCTION("ifna(VALUE(REGEXEXTRACT(E91,""[0-9.]+[,]+[0-9]+"")))"),300.0)</f>
        <v>300</v>
      </c>
      <c r="N91" s="25"/>
      <c r="O91" s="25"/>
      <c r="P91" s="25"/>
      <c r="Q91" s="25"/>
      <c r="R91" s="25"/>
      <c r="S91" s="25"/>
      <c r="T91" s="25"/>
      <c r="U91" s="25"/>
      <c r="V91" s="25"/>
    </row>
    <row r="92" ht="14.25" customHeight="1">
      <c r="A92" s="178"/>
      <c r="B92" s="12">
        <v>1619171.0</v>
      </c>
      <c r="C92" s="13">
        <v>45880.883935185186</v>
      </c>
      <c r="D92" s="179" t="s">
        <v>81</v>
      </c>
      <c r="E92" s="180" t="s">
        <v>200</v>
      </c>
      <c r="F92" s="188"/>
      <c r="G92" s="179" t="s">
        <v>4071</v>
      </c>
      <c r="H92" s="190"/>
      <c r="I92" s="190"/>
      <c r="J92" s="187" t="s">
        <v>2735</v>
      </c>
      <c r="K92" s="187" t="s">
        <v>2018</v>
      </c>
      <c r="L92" s="184" t="str">
        <f>IFERROR(__xludf.DUMMYFUNCTION("ifna(IF(and(D92=""Saída"",J92=""Sangria""),if(sum(QUERY(IMPORTRANGE(""https://docs.google.com/spreadsheets/d/1E4szPcLzsqlw4uyBAoJ61L1ChCgpz4wVP8tHfHW1g_c"",""BD M Sangrias!a:i""),""select Col6 where Col7 = 'Depositada' and Col9 = '""&amp;K92&amp;""' and Col6 = """&amp;"&amp;M92&amp;"" and Col4 = date '""&amp;YEAR(C92)&amp;""-""&amp;MONTH(C92)&amp;""-""&amp;DAY(C92)&amp;""'""))&gt;0,""Depositada"",if(sum(QUERY(IMPORTRANGE(""https://docs.google.com/spreadsheets/d/1EcLIvUgMoBC5as4ikW0wuQsGH5yVZ6cQ1y16qEfgPnk"",""BD M Sangrias!a:i""),""select Col6 where Col7"&amp;" = 'Caixa Atendimento' and Col9 = '""&amp;K92&amp;""' and Col6 = ""&amp;M92&amp;"" and Col4 = date '""&amp;YEAR(C92)&amp;""-""&amp;MONTH(C92)&amp;""-""&amp;DAY(C92)&amp;""'""))&gt;0,""Caixa Atendimento"",""Caixa Sangria"")),""""),""Caixa Sangria"")"),"#REF!")</f>
        <v>#REF!</v>
      </c>
      <c r="M92" s="185">
        <f>IFERROR(__xludf.DUMMYFUNCTION("ifna(VALUE(REGEXEXTRACT(E92,""[0-9.]+[,]+[0-9]+"")))"),300.0)</f>
        <v>300</v>
      </c>
      <c r="N92" s="25"/>
      <c r="O92" s="25"/>
      <c r="P92" s="25"/>
      <c r="Q92" s="25"/>
      <c r="R92" s="25"/>
      <c r="S92" s="25"/>
      <c r="T92" s="185"/>
      <c r="U92" s="185"/>
      <c r="V92" s="185"/>
    </row>
    <row r="93" ht="14.25" customHeight="1">
      <c r="A93" s="178"/>
      <c r="B93" s="12">
        <v>1619848.0</v>
      </c>
      <c r="C93" s="13">
        <v>45881.61616898148</v>
      </c>
      <c r="D93" s="179" t="s">
        <v>81</v>
      </c>
      <c r="E93" s="180" t="s">
        <v>5635</v>
      </c>
      <c r="F93" s="181"/>
      <c r="G93" s="179" t="s">
        <v>5638</v>
      </c>
      <c r="H93" s="190"/>
      <c r="I93" s="190"/>
      <c r="J93" s="187" t="s">
        <v>3151</v>
      </c>
      <c r="K93" s="187"/>
      <c r="L93" s="184" t="str">
        <f>IFERROR(__xludf.DUMMYFUNCTION("ifna(IF(and(D93=""Saída"",J93=""Sangria""),if(sum(QUERY(IMPORTRANGE(""https://docs.google.com/spreadsheets/d/1E4szPcLzsqlw4uyBAoJ61L1ChCgpz4wVP8tHfHW1g_c"",""BD M Sangrias!a:i""),""select Col6 where Col7 = 'Depositada' and Col9 = '""&amp;K93&amp;""' and Col6 = """&amp;"&amp;M93&amp;"" and Col4 = date '""&amp;YEAR(C93)&amp;""-""&amp;MONTH(C93)&amp;""-""&amp;DAY(C93)&amp;""'""))&gt;0,""Depositada"",if(sum(QUERY(IMPORTRANGE(""https://docs.google.com/spreadsheets/d/1EcLIvUgMoBC5as4ikW0wuQsGH5yVZ6cQ1y16qEfgPnk"",""BD M Sangrias!a:i""),""select Col6 where Col7"&amp;" = 'Caixa Atendimento' and Col9 = '""&amp;K93&amp;""' and Col6 = ""&amp;M93&amp;"" and Col4 = date '""&amp;YEAR(C93)&amp;""-""&amp;MONTH(C93)&amp;""-""&amp;DAY(C93)&amp;""'""))&gt;0,""Caixa Atendimento"",""Caixa Sangria"")),""""),""Caixa Sangria"")"),"")</f>
        <v/>
      </c>
      <c r="M93" s="185">
        <f>IFERROR(__xludf.DUMMYFUNCTION("ifna(VALUE(REGEXEXTRACT(E93,""[0-9.]+[,]+[0-9]+"")))"),63.52)</f>
        <v>63.52</v>
      </c>
      <c r="N93" s="209" t="s">
        <v>3799</v>
      </c>
      <c r="O93" s="210"/>
      <c r="P93" s="210"/>
      <c r="Q93" s="210"/>
      <c r="R93" s="210"/>
      <c r="S93" s="59"/>
      <c r="T93" s="185"/>
      <c r="U93" s="185"/>
      <c r="V93" s="185"/>
    </row>
    <row r="94" ht="14.25" customHeight="1">
      <c r="A94" s="178"/>
      <c r="B94" s="12">
        <v>1620106.0</v>
      </c>
      <c r="C94" s="13">
        <v>45881.707453703704</v>
      </c>
      <c r="D94" s="179" t="s">
        <v>81</v>
      </c>
      <c r="E94" s="180" t="s">
        <v>443</v>
      </c>
      <c r="F94" s="181"/>
      <c r="G94" s="179" t="s">
        <v>5413</v>
      </c>
      <c r="H94" s="190"/>
      <c r="I94" s="190"/>
      <c r="J94" s="187" t="s">
        <v>2735</v>
      </c>
      <c r="K94" s="187" t="s">
        <v>2018</v>
      </c>
      <c r="L94" s="184" t="str">
        <f>IFERROR(__xludf.DUMMYFUNCTION("ifna(IF(and(D94=""Saída"",J94=""Sangria""),if(sum(QUERY(IMPORTRANGE(""https://docs.google.com/spreadsheets/d/1E4szPcLzsqlw4uyBAoJ61L1ChCgpz4wVP8tHfHW1g_c"",""BD M Sangrias!a:i""),""select Col6 where Col7 = 'Depositada' and Col9 = '""&amp;K94&amp;""' and Col6 = """&amp;"&amp;M94&amp;"" and Col4 = date '""&amp;YEAR(C94)&amp;""-""&amp;MONTH(C94)&amp;""-""&amp;DAY(C94)&amp;""'""))&gt;0,""Depositada"",if(sum(QUERY(IMPORTRANGE(""https://docs.google.com/spreadsheets/d/1EcLIvUgMoBC5as4ikW0wuQsGH5yVZ6cQ1y16qEfgPnk"",""BD M Sangrias!a:i""),""select Col6 where Col7"&amp;" = 'Caixa Atendimento' and Col9 = '""&amp;K94&amp;""' and Col6 = ""&amp;M94&amp;"" and Col4 = date '""&amp;YEAR(C94)&amp;""-""&amp;MONTH(C94)&amp;""-""&amp;DAY(C94)&amp;""'""))&gt;0,""Caixa Atendimento"",""Caixa Sangria"")),""""),""Caixa Sangria"")"),"#REF!")</f>
        <v>#REF!</v>
      </c>
      <c r="M94" s="185">
        <f>IFERROR(__xludf.DUMMYFUNCTION("ifna(VALUE(REGEXEXTRACT(E94,""[0-9.]+[,]+[0-9]+"")))"),900.0)</f>
        <v>900</v>
      </c>
      <c r="N94" s="211"/>
      <c r="S94" s="212"/>
      <c r="T94" s="185"/>
      <c r="U94" s="185"/>
      <c r="V94" s="185"/>
    </row>
    <row r="95" ht="14.25" customHeight="1">
      <c r="A95" s="178"/>
      <c r="B95" s="12">
        <v>1620169.0</v>
      </c>
      <c r="C95" s="13">
        <v>45881.7218287037</v>
      </c>
      <c r="D95" s="179" t="s">
        <v>152</v>
      </c>
      <c r="E95" s="180" t="s">
        <v>659</v>
      </c>
      <c r="F95" s="181"/>
      <c r="G95" s="179" t="s">
        <v>158</v>
      </c>
      <c r="H95" s="190"/>
      <c r="I95" s="190"/>
      <c r="J95" s="187" t="s">
        <v>2669</v>
      </c>
      <c r="K95" s="187"/>
      <c r="L95" s="184" t="str">
        <f>IFERROR(__xludf.DUMMYFUNCTION("ifna(IF(and(D95=""Saída"",J95=""Sangria""),if(sum(QUERY(IMPORTRANGE(""https://docs.google.com/spreadsheets/d/1E4szPcLzsqlw4uyBAoJ61L1ChCgpz4wVP8tHfHW1g_c"",""BD M Sangrias!a:i""),""select Col6 where Col7 = 'Depositada' and Col9 = '""&amp;K95&amp;""' and Col6 = """&amp;"&amp;M95&amp;"" and Col4 = date '""&amp;YEAR(C95)&amp;""-""&amp;MONTH(C95)&amp;""-""&amp;DAY(C95)&amp;""'""))&gt;0,""Depositada"",if(sum(QUERY(IMPORTRANGE(""https://docs.google.com/spreadsheets/d/1EcLIvUgMoBC5as4ikW0wuQsGH5yVZ6cQ1y16qEfgPnk"",""BD M Sangrias!a:i""),""select Col6 where Col7"&amp;" = 'Caixa Atendimento' and Col9 = '""&amp;K95&amp;""' and Col6 = ""&amp;M95&amp;"" and Col4 = date '""&amp;YEAR(C95)&amp;""-""&amp;MONTH(C95)&amp;""-""&amp;DAY(C95)&amp;""'""))&gt;0,""Caixa Atendimento"",""Caixa Sangria"")),""""),""Caixa Sangria"")"),"")</f>
        <v/>
      </c>
      <c r="M95" s="185">
        <f>IFERROR(__xludf.DUMMYFUNCTION("ifna(VALUE(REGEXEXTRACT(E95,""[0-9.]+[,]+[0-9]+"")))"),5.0)</f>
        <v>5</v>
      </c>
      <c r="N95" s="213" t="s">
        <v>1</v>
      </c>
      <c r="O95" s="214" t="s">
        <v>2</v>
      </c>
      <c r="P95" s="214" t="s">
        <v>3830</v>
      </c>
      <c r="Q95" s="214" t="s">
        <v>46</v>
      </c>
      <c r="R95" s="215" t="s">
        <v>33</v>
      </c>
      <c r="S95" s="212"/>
      <c r="T95" s="185"/>
      <c r="U95" s="185"/>
      <c r="V95" s="185"/>
    </row>
    <row r="96" ht="14.25" customHeight="1">
      <c r="A96" s="178"/>
      <c r="B96" s="12">
        <v>1620377.0</v>
      </c>
      <c r="C96" s="13">
        <v>45881.807337962964</v>
      </c>
      <c r="D96" s="179" t="s">
        <v>152</v>
      </c>
      <c r="E96" s="180" t="s">
        <v>443</v>
      </c>
      <c r="F96" s="181"/>
      <c r="G96" s="179" t="s">
        <v>5653</v>
      </c>
      <c r="H96" s="190"/>
      <c r="I96" s="190"/>
      <c r="J96" s="187" t="s">
        <v>2735</v>
      </c>
      <c r="K96" s="187" t="s">
        <v>2018</v>
      </c>
      <c r="L96" s="184" t="str">
        <f>IFERROR(__xludf.DUMMYFUNCTION("ifna(IF(and(D96=""Saída"",J96=""Sangria""),if(sum(QUERY(IMPORTRANGE(""https://docs.google.com/spreadsheets/d/1E4szPcLzsqlw4uyBAoJ61L1ChCgpz4wVP8tHfHW1g_c"",""BD M Sangrias!a:i""),""select Col6 where Col7 = 'Depositada' and Col9 = '""&amp;K96&amp;""' and Col6 = """&amp;"&amp;M96&amp;"" and Col4 = date '""&amp;YEAR(C96)&amp;""-""&amp;MONTH(C96)&amp;""-""&amp;DAY(C96)&amp;""'""))&gt;0,""Depositada"",if(sum(QUERY(IMPORTRANGE(""https://docs.google.com/spreadsheets/d/1EcLIvUgMoBC5as4ikW0wuQsGH5yVZ6cQ1y16qEfgPnk"",""BD M Sangrias!a:i""),""select Col6 where Col7"&amp;" = 'Caixa Atendimento' and Col9 = '""&amp;K96&amp;""' and Col6 = ""&amp;M96&amp;"" and Col4 = date '""&amp;YEAR(C96)&amp;""-""&amp;MONTH(C96)&amp;""-""&amp;DAY(C96)&amp;""'""))&gt;0,""Caixa Atendimento"",""Caixa Sangria"")),""""),""Caixa Sangria"")"),"")</f>
        <v/>
      </c>
      <c r="M96" s="185">
        <f>IFERROR(__xludf.DUMMYFUNCTION("ifna(VALUE(REGEXEXTRACT(E96,""[0-9.]+[,]+[0-9]+"")))"),900.0)</f>
        <v>900</v>
      </c>
      <c r="N96" s="216"/>
      <c r="O96" s="195"/>
      <c r="P96" s="196"/>
      <c r="Q96" s="197"/>
      <c r="R96" s="217"/>
      <c r="S96" s="218" t="str">
        <f t="shared" ref="S96:S116" si="1">IFERROR(VLOOKUP(P96, $A$4:$B$11, 2, FALSE), "")</f>
        <v/>
      </c>
      <c r="T96" s="185"/>
      <c r="U96" s="185"/>
      <c r="V96" s="185"/>
    </row>
    <row r="97" ht="14.25" customHeight="1">
      <c r="A97" s="178"/>
      <c r="B97" s="12">
        <v>1620776.0</v>
      </c>
      <c r="C97" s="13">
        <v>45881.924675925926</v>
      </c>
      <c r="D97" s="179" t="s">
        <v>81</v>
      </c>
      <c r="E97" s="180" t="s">
        <v>5660</v>
      </c>
      <c r="F97" s="181"/>
      <c r="G97" s="179" t="s">
        <v>5661</v>
      </c>
      <c r="H97" s="190"/>
      <c r="I97" s="190"/>
      <c r="J97" s="187" t="s">
        <v>3151</v>
      </c>
      <c r="K97" s="187"/>
      <c r="L97" s="184" t="str">
        <f>IFERROR(__xludf.DUMMYFUNCTION("ifna(IF(and(D97=""Saída"",J97=""Sangria""),if(sum(QUERY(IMPORTRANGE(""https://docs.google.com/spreadsheets/d/1E4szPcLzsqlw4uyBAoJ61L1ChCgpz4wVP8tHfHW1g_c"",""BD M Sangrias!a:i""),""select Col6 where Col7 = 'Depositada' and Col9 = '""&amp;K97&amp;""' and Col6 = """&amp;"&amp;M97&amp;"" and Col4 = date '""&amp;YEAR(C97)&amp;""-""&amp;MONTH(C97)&amp;""-""&amp;DAY(C97)&amp;""'""))&gt;0,""Depositada"",if(sum(QUERY(IMPORTRANGE(""https://docs.google.com/spreadsheets/d/1EcLIvUgMoBC5as4ikW0wuQsGH5yVZ6cQ1y16qEfgPnk"",""BD M Sangrias!a:i""),""select Col6 where Col7"&amp;" = 'Caixa Atendimento' and Col9 = '""&amp;K97&amp;""' and Col6 = ""&amp;M97&amp;"" and Col4 = date '""&amp;YEAR(C97)&amp;""-""&amp;MONTH(C97)&amp;""-""&amp;DAY(C97)&amp;""'""))&gt;0,""Caixa Atendimento"",""Caixa Sangria"")),""""),""Caixa Sangria"")"),"")</f>
        <v/>
      </c>
      <c r="M97" s="185">
        <f>IFERROR(__xludf.DUMMYFUNCTION("ifna(VALUE(REGEXEXTRACT(E97,""[0-9.]+[,]+[0-9]+"")))"),270.0)</f>
        <v>270</v>
      </c>
      <c r="N97" s="216"/>
      <c r="O97" s="195"/>
      <c r="P97" s="196"/>
      <c r="Q97" s="197"/>
      <c r="R97" s="219"/>
      <c r="S97" s="218" t="str">
        <f t="shared" si="1"/>
        <v/>
      </c>
      <c r="T97" s="185"/>
      <c r="U97" s="185"/>
      <c r="V97" s="185"/>
    </row>
    <row r="98" ht="14.25" customHeight="1">
      <c r="A98" s="178"/>
      <c r="B98" s="12">
        <v>1620833.0</v>
      </c>
      <c r="C98" s="13">
        <v>45881.93373842593</v>
      </c>
      <c r="D98" s="179" t="s">
        <v>81</v>
      </c>
      <c r="E98" s="180" t="s">
        <v>4106</v>
      </c>
      <c r="F98" s="188"/>
      <c r="G98" s="179" t="s">
        <v>5664</v>
      </c>
      <c r="H98" s="190"/>
      <c r="I98" s="190"/>
      <c r="J98" s="199" t="s">
        <v>2735</v>
      </c>
      <c r="K98" s="187" t="s">
        <v>2018</v>
      </c>
      <c r="L98" s="184" t="str">
        <f>IFERROR(__xludf.DUMMYFUNCTION("ifna(IF(and(D98=""Saída"",J98=""Sangria""),if(sum(QUERY(IMPORTRANGE(""https://docs.google.com/spreadsheets/d/1E4szPcLzsqlw4uyBAoJ61L1ChCgpz4wVP8tHfHW1g_c"",""BD M Sangrias!a:i""),""select Col6 where Col7 = 'Depositada' and Col9 = '""&amp;K98&amp;""' and Col6 = """&amp;"&amp;M98&amp;"" and Col4 = date '""&amp;YEAR(C98)&amp;""-""&amp;MONTH(C98)&amp;""-""&amp;DAY(C98)&amp;""'""))&gt;0,""Depositada"",if(sum(QUERY(IMPORTRANGE(""https://docs.google.com/spreadsheets/d/1EcLIvUgMoBC5as4ikW0wuQsGH5yVZ6cQ1y16qEfgPnk"",""BD M Sangrias!a:i""),""select Col6 where Col7"&amp;" = 'Caixa Atendimento' and Col9 = '""&amp;K98&amp;""' and Col6 = ""&amp;M98&amp;"" and Col4 = date '""&amp;YEAR(C98)&amp;""-""&amp;MONTH(C98)&amp;""-""&amp;DAY(C98)&amp;""'""))&gt;0,""Caixa Atendimento"",""Caixa Sangria"")),""""),""Caixa Sangria"")"),"#REF!")</f>
        <v>#REF!</v>
      </c>
      <c r="M98" s="185">
        <f>IFERROR(__xludf.DUMMYFUNCTION("ifna(VALUE(REGEXEXTRACT(E98,""[0-9.]+[,]+[0-9]+"")))"),750.0)</f>
        <v>750</v>
      </c>
      <c r="N98" s="216"/>
      <c r="O98" s="195"/>
      <c r="P98" s="196"/>
      <c r="Q98" s="197"/>
      <c r="R98" s="220"/>
      <c r="S98" s="218" t="str">
        <f t="shared" si="1"/>
        <v/>
      </c>
      <c r="T98" s="185"/>
      <c r="U98" s="185"/>
      <c r="V98" s="185"/>
    </row>
    <row r="99" ht="14.25" customHeight="1">
      <c r="A99" s="178"/>
      <c r="B99" s="12">
        <v>1621246.0</v>
      </c>
      <c r="C99" s="13">
        <v>45882.629016203704</v>
      </c>
      <c r="D99" s="179" t="s">
        <v>81</v>
      </c>
      <c r="E99" s="180" t="s">
        <v>289</v>
      </c>
      <c r="F99" s="181"/>
      <c r="G99" s="179" t="s">
        <v>577</v>
      </c>
      <c r="H99" s="190"/>
      <c r="I99" s="190"/>
      <c r="J99" s="187" t="s">
        <v>3375</v>
      </c>
      <c r="K99" s="187"/>
      <c r="L99" s="184" t="str">
        <f>IFERROR(__xludf.DUMMYFUNCTION("ifna(IF(and(D99=""Saída"",J99=""Sangria""),if(sum(QUERY(IMPORTRANGE(""https://docs.google.com/spreadsheets/d/1E4szPcLzsqlw4uyBAoJ61L1ChCgpz4wVP8tHfHW1g_c"",""BD M Sangrias!a:i""),""select Col6 where Col7 = 'Depositada' and Col9 = '""&amp;K99&amp;""' and Col6 = """&amp;"&amp;M99&amp;"" and Col4 = date '""&amp;YEAR(C99)&amp;""-""&amp;MONTH(C99)&amp;""-""&amp;DAY(C99)&amp;""'""))&gt;0,""Depositada"",if(sum(QUERY(IMPORTRANGE(""https://docs.google.com/spreadsheets/d/1EcLIvUgMoBC5as4ikW0wuQsGH5yVZ6cQ1y16qEfgPnk"",""BD M Sangrias!a:i""),""select Col6 where Col7"&amp;" = 'Caixa Atendimento' and Col9 = '""&amp;K99&amp;""' and Col6 = ""&amp;M99&amp;"" and Col4 = date '""&amp;YEAR(C99)&amp;""-""&amp;MONTH(C99)&amp;""-""&amp;DAY(C99)&amp;""'""))&gt;0,""Caixa Atendimento"",""Caixa Sangria"")),""""),""Caixa Sangria"")"),"")</f>
        <v/>
      </c>
      <c r="M99" s="185">
        <f>IFERROR(__xludf.DUMMYFUNCTION("ifna(VALUE(REGEXEXTRACT(E99,""[0-9.]+[,]+[0-9]+"")))"),32.0)</f>
        <v>32</v>
      </c>
      <c r="N99" s="216"/>
      <c r="O99" s="195"/>
      <c r="P99" s="196"/>
      <c r="Q99" s="197"/>
      <c r="R99" s="221"/>
      <c r="S99" s="218" t="str">
        <f t="shared" si="1"/>
        <v/>
      </c>
      <c r="T99" s="185"/>
      <c r="U99" s="185"/>
      <c r="V99" s="185"/>
    </row>
    <row r="100" ht="14.25" customHeight="1">
      <c r="A100" s="178"/>
      <c r="B100" s="12">
        <v>1621248.0</v>
      </c>
      <c r="C100" s="13">
        <v>45882.629479166666</v>
      </c>
      <c r="D100" s="179" t="s">
        <v>81</v>
      </c>
      <c r="E100" s="180" t="s">
        <v>5675</v>
      </c>
      <c r="F100" s="181"/>
      <c r="G100" s="179" t="s">
        <v>290</v>
      </c>
      <c r="H100" s="190"/>
      <c r="I100" s="190"/>
      <c r="J100" s="187" t="s">
        <v>3151</v>
      </c>
      <c r="K100" s="187"/>
      <c r="L100" s="184" t="str">
        <f>IFERROR(__xludf.DUMMYFUNCTION("ifna(IF(and(D100=""Saída"",J100=""Sangria""),if(sum(QUERY(IMPORTRANGE(""https://docs.google.com/spreadsheets/d/1E4szPcLzsqlw4uyBAoJ61L1ChCgpz4wVP8tHfHW1g_c"",""BD M Sangrias!a:i""),""select Col6 where Col7 = 'Depositada' and Col9 = '""&amp;K100&amp;""' and Col6 ="&amp;" ""&amp;M100&amp;"" and Col4 = date '""&amp;YEAR(C100)&amp;""-""&amp;MONTH(C100)&amp;""-""&amp;DAY(C100)&amp;""'""))&gt;0,""Depositada"",if(sum(QUERY(IMPORTRANGE(""https://docs.google.com/spreadsheets/d/1EcLIvUgMoBC5as4ikW0wuQsGH5yVZ6cQ1y16qEfgPnk"",""BD M Sangrias!a:i""),""select Col6 whe"&amp;"re Col7 = 'Caixa Atendimento' and Col9 = '""&amp;K100&amp;""' and Col6 = ""&amp;M100&amp;"" and Col4 = date '""&amp;YEAR(C100)&amp;""-""&amp;MONTH(C100)&amp;""-""&amp;DAY(C100)&amp;""'""))&gt;0,""Caixa Atendimento"",""Caixa Sangria"")),""""),""Caixa Sangria"")"),"")</f>
        <v/>
      </c>
      <c r="M100" s="185">
        <f>IFERROR(__xludf.DUMMYFUNCTION("ifna(VALUE(REGEXEXTRACT(E100,""[0-9.]+[,]+[0-9]+"")))"),63.0)</f>
        <v>63</v>
      </c>
      <c r="N100" s="216"/>
      <c r="O100" s="195"/>
      <c r="P100" s="196"/>
      <c r="Q100" s="197"/>
      <c r="R100" s="220"/>
      <c r="S100" s="218" t="str">
        <f t="shared" si="1"/>
        <v/>
      </c>
      <c r="T100" s="185"/>
      <c r="U100" s="185"/>
      <c r="V100" s="185"/>
    </row>
    <row r="101" ht="14.25" customHeight="1">
      <c r="A101" s="178"/>
      <c r="B101" s="12">
        <v>1621314.0</v>
      </c>
      <c r="C101" s="13">
        <v>45882.65331018518</v>
      </c>
      <c r="D101" s="179" t="s">
        <v>81</v>
      </c>
      <c r="E101" s="180" t="s">
        <v>5685</v>
      </c>
      <c r="F101" s="181"/>
      <c r="G101" s="179" t="s">
        <v>5687</v>
      </c>
      <c r="H101" s="190"/>
      <c r="I101" s="190"/>
      <c r="J101" s="187" t="s">
        <v>3151</v>
      </c>
      <c r="K101" s="187"/>
      <c r="L101" s="184" t="str">
        <f>IFERROR(__xludf.DUMMYFUNCTION("ifna(IF(and(D101=""Saída"",J101=""Sangria""),if(sum(QUERY(IMPORTRANGE(""https://docs.google.com/spreadsheets/d/1E4szPcLzsqlw4uyBAoJ61L1ChCgpz4wVP8tHfHW1g_c"",""BD M Sangrias!a:i""),""select Col6 where Col7 = 'Depositada' and Col9 = '""&amp;K101&amp;""' and Col6 ="&amp;" ""&amp;M101&amp;"" and Col4 = date '""&amp;YEAR(C101)&amp;""-""&amp;MONTH(C101)&amp;""-""&amp;DAY(C101)&amp;""'""))&gt;0,""Depositada"",if(sum(QUERY(IMPORTRANGE(""https://docs.google.com/spreadsheets/d/1EcLIvUgMoBC5as4ikW0wuQsGH5yVZ6cQ1y16qEfgPnk"",""BD M Sangrias!a:i""),""select Col6 whe"&amp;"re Col7 = 'Caixa Atendimento' and Col9 = '""&amp;K101&amp;""' and Col6 = ""&amp;M101&amp;"" and Col4 = date '""&amp;YEAR(C101)&amp;""-""&amp;MONTH(C101)&amp;""-""&amp;DAY(C101)&amp;""'""))&gt;0,""Caixa Atendimento"",""Caixa Sangria"")),""""),""Caixa Sangria"")"),"")</f>
        <v/>
      </c>
      <c r="M101" s="185">
        <f>IFERROR(__xludf.DUMMYFUNCTION("ifna(VALUE(REGEXEXTRACT(E101,""[0-9.]+[,]+[0-9]+"")))"),45.0)</f>
        <v>45</v>
      </c>
      <c r="N101" s="222"/>
      <c r="O101" s="223"/>
      <c r="P101" s="224"/>
      <c r="Q101" s="225"/>
      <c r="R101" s="221"/>
      <c r="S101" s="218" t="str">
        <f t="shared" si="1"/>
        <v/>
      </c>
      <c r="T101" s="185"/>
      <c r="U101" s="185"/>
      <c r="V101" s="185"/>
    </row>
    <row r="102" ht="14.25" customHeight="1">
      <c r="A102" s="178"/>
      <c r="B102" s="12">
        <v>1621514.0</v>
      </c>
      <c r="C102" s="13">
        <v>45882.70960648148</v>
      </c>
      <c r="D102" s="179" t="s">
        <v>152</v>
      </c>
      <c r="E102" s="180" t="s">
        <v>5694</v>
      </c>
      <c r="F102" s="181"/>
      <c r="G102" s="179" t="s">
        <v>267</v>
      </c>
      <c r="H102" s="190"/>
      <c r="I102" s="190"/>
      <c r="J102" s="187" t="s">
        <v>2669</v>
      </c>
      <c r="K102" s="187"/>
      <c r="L102" s="184" t="str">
        <f>IFERROR(__xludf.DUMMYFUNCTION("ifna(IF(and(D102=""Saída"",J102=""Sangria""),if(sum(QUERY(IMPORTRANGE(""https://docs.google.com/spreadsheets/d/1E4szPcLzsqlw4uyBAoJ61L1ChCgpz4wVP8tHfHW1g_c"",""BD M Sangrias!a:i""),""select Col6 where Col7 = 'Depositada' and Col9 = '""&amp;K102&amp;""' and Col6 ="&amp;" ""&amp;M102&amp;"" and Col4 = date '""&amp;YEAR(C102)&amp;""-""&amp;MONTH(C102)&amp;""-""&amp;DAY(C102)&amp;""'""))&gt;0,""Depositada"",if(sum(QUERY(IMPORTRANGE(""https://docs.google.com/spreadsheets/d/1EcLIvUgMoBC5as4ikW0wuQsGH5yVZ6cQ1y16qEfgPnk"",""BD M Sangrias!a:i""),""select Col6 whe"&amp;"re Col7 = 'Caixa Atendimento' and Col9 = '""&amp;K102&amp;""' and Col6 = ""&amp;M102&amp;"" and Col4 = date '""&amp;YEAR(C102)&amp;""-""&amp;MONTH(C102)&amp;""-""&amp;DAY(C102)&amp;""'""))&gt;0,""Caixa Atendimento"",""Caixa Sangria"")),""""),""Caixa Sangria"")"),"")</f>
        <v/>
      </c>
      <c r="M102" s="185">
        <f>IFERROR(__xludf.DUMMYFUNCTION("ifna(VALUE(REGEXEXTRACT(E102,""[0-9.]+[,]+[0-9]+"")))"),2.35)</f>
        <v>2.35</v>
      </c>
      <c r="N102" s="226"/>
      <c r="O102" s="227"/>
      <c r="P102" s="220"/>
      <c r="Q102" s="228" t="str">
        <f t="shared" ref="Q102:Q138" si="2">IFERROR(VLOOKUP(P102, $B$4:$C$18, 2, FALSE), "")</f>
        <v/>
      </c>
      <c r="R102" s="220" t="str">
        <f t="shared" ref="R102:R138" si="3">IFERROR(VLOOKUP(P102, $A$4:$B$18, 2, FALSE), "")</f>
        <v/>
      </c>
      <c r="S102" s="218" t="str">
        <f t="shared" si="1"/>
        <v/>
      </c>
      <c r="T102" s="185"/>
      <c r="U102" s="185"/>
      <c r="V102" s="185"/>
    </row>
    <row r="103" ht="14.25" customHeight="1">
      <c r="A103" s="178"/>
      <c r="B103" s="12">
        <v>1621672.0</v>
      </c>
      <c r="C103" s="13">
        <v>45882.759467592594</v>
      </c>
      <c r="D103" s="179" t="s">
        <v>81</v>
      </c>
      <c r="E103" s="180" t="s">
        <v>402</v>
      </c>
      <c r="F103" s="181"/>
      <c r="G103" s="179" t="s">
        <v>5704</v>
      </c>
      <c r="H103" s="190"/>
      <c r="I103" s="190"/>
      <c r="J103" s="187" t="s">
        <v>3151</v>
      </c>
      <c r="K103" s="187"/>
      <c r="L103" s="184" t="str">
        <f>IFERROR(__xludf.DUMMYFUNCTION("ifna(IF(and(D103=""Saída"",J103=""Sangria""),if(sum(QUERY(IMPORTRANGE(""https://docs.google.com/spreadsheets/d/1E4szPcLzsqlw4uyBAoJ61L1ChCgpz4wVP8tHfHW1g_c"",""BD M Sangrias!a:i""),""select Col6 where Col7 = 'Depositada' and Col9 = '""&amp;K103&amp;""' and Col6 ="&amp;" ""&amp;M103&amp;"" and Col4 = date '""&amp;YEAR(C103)&amp;""-""&amp;MONTH(C103)&amp;""-""&amp;DAY(C103)&amp;""'""))&gt;0,""Depositada"",if(sum(QUERY(IMPORTRANGE(""https://docs.google.com/spreadsheets/d/1EcLIvUgMoBC5as4ikW0wuQsGH5yVZ6cQ1y16qEfgPnk"",""BD M Sangrias!a:i""),""select Col6 whe"&amp;"re Col7 = 'Caixa Atendimento' and Col9 = '""&amp;K103&amp;""' and Col6 = ""&amp;M103&amp;"" and Col4 = date '""&amp;YEAR(C103)&amp;""-""&amp;MONTH(C103)&amp;""-""&amp;DAY(C103)&amp;""'""))&gt;0,""Caixa Atendimento"",""Caixa Sangria"")),""""),""Caixa Sangria"")"),"")</f>
        <v/>
      </c>
      <c r="M103" s="185">
        <f>IFERROR(__xludf.DUMMYFUNCTION("ifna(VALUE(REGEXEXTRACT(E103,""[0-9.]+[,]+[0-9]+"")))"),20.0)</f>
        <v>20</v>
      </c>
      <c r="N103" s="229"/>
      <c r="O103" s="230"/>
      <c r="P103" s="221"/>
      <c r="Q103" s="231" t="str">
        <f t="shared" si="2"/>
        <v/>
      </c>
      <c r="R103" s="221" t="str">
        <f t="shared" si="3"/>
        <v/>
      </c>
      <c r="S103" s="218" t="str">
        <f t="shared" si="1"/>
        <v/>
      </c>
      <c r="T103" s="185"/>
      <c r="U103" s="185"/>
      <c r="V103" s="185"/>
    </row>
    <row r="104" ht="14.25" customHeight="1">
      <c r="A104" s="178"/>
      <c r="B104" s="12">
        <v>1621983.0</v>
      </c>
      <c r="C104" s="13">
        <v>45882.880277777775</v>
      </c>
      <c r="D104" s="179" t="s">
        <v>81</v>
      </c>
      <c r="E104" s="180" t="s">
        <v>943</v>
      </c>
      <c r="F104" s="188"/>
      <c r="G104" s="179" t="s">
        <v>4071</v>
      </c>
      <c r="H104" s="190"/>
      <c r="I104" s="190"/>
      <c r="J104" s="187" t="s">
        <v>2735</v>
      </c>
      <c r="K104" s="187" t="s">
        <v>2018</v>
      </c>
      <c r="L104" s="184" t="str">
        <f>IFERROR(__xludf.DUMMYFUNCTION("ifna(IF(and(D104=""Saída"",J104=""Sangria""),if(sum(QUERY(IMPORTRANGE(""https://docs.google.com/spreadsheets/d/1E4szPcLzsqlw4uyBAoJ61L1ChCgpz4wVP8tHfHW1g_c"",""BD M Sangrias!a:i""),""select Col6 where Col7 = 'Depositada' and Col9 = '""&amp;K104&amp;""' and Col6 ="&amp;" ""&amp;M104&amp;"" and Col4 = date '""&amp;YEAR(C104)&amp;""-""&amp;MONTH(C104)&amp;""-""&amp;DAY(C104)&amp;""'""))&gt;0,""Depositada"",if(sum(QUERY(IMPORTRANGE(""https://docs.google.com/spreadsheets/d/1EcLIvUgMoBC5as4ikW0wuQsGH5yVZ6cQ1y16qEfgPnk"",""BD M Sangrias!a:i""),""select Col6 whe"&amp;"re Col7 = 'Caixa Atendimento' and Col9 = '""&amp;K104&amp;""' and Col6 = ""&amp;M104&amp;"" and Col4 = date '""&amp;YEAR(C104)&amp;""-""&amp;MONTH(C104)&amp;""-""&amp;DAY(C104)&amp;""'""))&gt;0,""Caixa Atendimento"",""Caixa Sangria"")),""""),""Caixa Sangria"")"),"#REF!")</f>
        <v>#REF!</v>
      </c>
      <c r="M104" s="185">
        <f>IFERROR(__xludf.DUMMYFUNCTION("ifna(VALUE(REGEXEXTRACT(E104,""[0-9.]+[,]+[0-9]+"")))"),800.0)</f>
        <v>800</v>
      </c>
      <c r="N104" s="226"/>
      <c r="O104" s="227"/>
      <c r="P104" s="220"/>
      <c r="Q104" s="228" t="str">
        <f t="shared" si="2"/>
        <v/>
      </c>
      <c r="R104" s="220" t="str">
        <f t="shared" si="3"/>
        <v/>
      </c>
      <c r="S104" s="218" t="str">
        <f t="shared" si="1"/>
        <v/>
      </c>
      <c r="T104" s="185"/>
      <c r="U104" s="185"/>
      <c r="V104" s="185"/>
    </row>
    <row r="105" ht="14.25" customHeight="1">
      <c r="A105" s="178"/>
      <c r="B105" s="12">
        <v>1622564.0</v>
      </c>
      <c r="C105" s="13">
        <v>45883.582824074074</v>
      </c>
      <c r="D105" s="179" t="s">
        <v>81</v>
      </c>
      <c r="E105" s="180" t="s">
        <v>5717</v>
      </c>
      <c r="F105" s="181"/>
      <c r="G105" s="179" t="s">
        <v>5718</v>
      </c>
      <c r="H105" s="190"/>
      <c r="I105" s="190"/>
      <c r="J105" s="187" t="s">
        <v>2436</v>
      </c>
      <c r="K105" s="187"/>
      <c r="L105" s="184" t="str">
        <f>IFERROR(__xludf.DUMMYFUNCTION("ifna(IF(and(D105=""Saída"",J105=""Sangria""),if(sum(QUERY(IMPORTRANGE(""https://docs.google.com/spreadsheets/d/1E4szPcLzsqlw4uyBAoJ61L1ChCgpz4wVP8tHfHW1g_c"",""BD M Sangrias!a:i""),""select Col6 where Col7 = 'Depositada' and Col9 = '""&amp;K105&amp;""' and Col6 ="&amp;" ""&amp;M105&amp;"" and Col4 = date '""&amp;YEAR(C105)&amp;""-""&amp;MONTH(C105)&amp;""-""&amp;DAY(C105)&amp;""'""))&gt;0,""Depositada"",if(sum(QUERY(IMPORTRANGE(""https://docs.google.com/spreadsheets/d/1EcLIvUgMoBC5as4ikW0wuQsGH5yVZ6cQ1y16qEfgPnk"",""BD M Sangrias!a:i""),""select Col6 whe"&amp;"re Col7 = 'Caixa Atendimento' and Col9 = '""&amp;K105&amp;""' and Col6 = ""&amp;M105&amp;"" and Col4 = date '""&amp;YEAR(C105)&amp;""-""&amp;MONTH(C105)&amp;""-""&amp;DAY(C105)&amp;""'""))&gt;0,""Caixa Atendimento"",""Caixa Sangria"")),""""),""Caixa Sangria"")"),"")</f>
        <v/>
      </c>
      <c r="M105" s="185">
        <f>IFERROR(__xludf.DUMMYFUNCTION("ifna(VALUE(REGEXEXTRACT(E105,""[0-9.]+[,]+[0-9]+"")))"),16.35)</f>
        <v>16.35</v>
      </c>
      <c r="N105" s="229"/>
      <c r="O105" s="230"/>
      <c r="P105" s="221"/>
      <c r="Q105" s="231" t="str">
        <f t="shared" si="2"/>
        <v/>
      </c>
      <c r="R105" s="221" t="str">
        <f t="shared" si="3"/>
        <v/>
      </c>
      <c r="S105" s="218" t="str">
        <f t="shared" si="1"/>
        <v/>
      </c>
      <c r="T105" s="185"/>
      <c r="U105" s="185"/>
      <c r="V105" s="185"/>
    </row>
    <row r="106" ht="14.25" customHeight="1">
      <c r="A106" s="178"/>
      <c r="B106" s="12">
        <v>1622566.0</v>
      </c>
      <c r="C106" s="13">
        <v>45883.583090277774</v>
      </c>
      <c r="D106" s="179" t="s">
        <v>81</v>
      </c>
      <c r="E106" s="180" t="s">
        <v>416</v>
      </c>
      <c r="F106" s="181"/>
      <c r="G106" s="179" t="s">
        <v>5727</v>
      </c>
      <c r="H106" s="190"/>
      <c r="I106" s="190"/>
      <c r="J106" s="199" t="s">
        <v>2436</v>
      </c>
      <c r="K106" s="187"/>
      <c r="L106" s="184" t="str">
        <f>IFERROR(__xludf.DUMMYFUNCTION("ifna(IF(and(D106=""Saída"",J106=""Sangria""),if(sum(QUERY(IMPORTRANGE(""https://docs.google.com/spreadsheets/d/1E4szPcLzsqlw4uyBAoJ61L1ChCgpz4wVP8tHfHW1g_c"",""BD M Sangrias!a:i""),""select Col6 where Col7 = 'Depositada' and Col9 = '""&amp;K106&amp;""' and Col6 ="&amp;" ""&amp;M106&amp;"" and Col4 = date '""&amp;YEAR(C106)&amp;""-""&amp;MONTH(C106)&amp;""-""&amp;DAY(C106)&amp;""'""))&gt;0,""Depositada"",if(sum(QUERY(IMPORTRANGE(""https://docs.google.com/spreadsheets/d/1EcLIvUgMoBC5as4ikW0wuQsGH5yVZ6cQ1y16qEfgPnk"",""BD M Sangrias!a:i""),""select Col6 whe"&amp;"re Col7 = 'Caixa Atendimento' and Col9 = '""&amp;K106&amp;""' and Col6 = ""&amp;M106&amp;"" and Col4 = date '""&amp;YEAR(C106)&amp;""-""&amp;MONTH(C106)&amp;""-""&amp;DAY(C106)&amp;""'""))&gt;0,""Caixa Atendimento"",""Caixa Sangria"")),""""),""Caixa Sangria"")"),"")</f>
        <v/>
      </c>
      <c r="M106" s="185">
        <f>IFERROR(__xludf.DUMMYFUNCTION("ifna(VALUE(REGEXEXTRACT(E106,""[0-9.]+[,]+[0-9]+"")))"),100.0)</f>
        <v>100</v>
      </c>
      <c r="N106" s="226"/>
      <c r="O106" s="227"/>
      <c r="P106" s="220"/>
      <c r="Q106" s="228" t="str">
        <f t="shared" si="2"/>
        <v/>
      </c>
      <c r="R106" s="220" t="str">
        <f t="shared" si="3"/>
        <v/>
      </c>
      <c r="S106" s="218" t="str">
        <f t="shared" si="1"/>
        <v/>
      </c>
      <c r="T106" s="185"/>
      <c r="U106" s="185"/>
      <c r="V106" s="185"/>
    </row>
    <row r="107" ht="14.25" customHeight="1">
      <c r="A107" s="178"/>
      <c r="B107" s="12">
        <v>1622573.0</v>
      </c>
      <c r="C107" s="13">
        <v>45883.58896990741</v>
      </c>
      <c r="D107" s="179" t="s">
        <v>152</v>
      </c>
      <c r="E107" s="180" t="s">
        <v>834</v>
      </c>
      <c r="F107" s="181"/>
      <c r="G107" s="179" t="s">
        <v>267</v>
      </c>
      <c r="H107" s="190"/>
      <c r="I107" s="190"/>
      <c r="J107" s="187" t="s">
        <v>2669</v>
      </c>
      <c r="K107" s="187"/>
      <c r="L107" s="184" t="str">
        <f>IFERROR(__xludf.DUMMYFUNCTION("ifna(IF(and(D107=""Saída"",J107=""Sangria""),if(sum(QUERY(IMPORTRANGE(""https://docs.google.com/spreadsheets/d/1E4szPcLzsqlw4uyBAoJ61L1ChCgpz4wVP8tHfHW1g_c"",""BD M Sangrias!a:i""),""select Col6 where Col7 = 'Depositada' and Col9 = '""&amp;K107&amp;""' and Col6 ="&amp;" ""&amp;M107&amp;"" and Col4 = date '""&amp;YEAR(C107)&amp;""-""&amp;MONTH(C107)&amp;""-""&amp;DAY(C107)&amp;""'""))&gt;0,""Depositada"",if(sum(QUERY(IMPORTRANGE(""https://docs.google.com/spreadsheets/d/1EcLIvUgMoBC5as4ikW0wuQsGH5yVZ6cQ1y16qEfgPnk"",""BD M Sangrias!a:i""),""select Col6 whe"&amp;"re Col7 = 'Caixa Atendimento' and Col9 = '""&amp;K107&amp;""' and Col6 = ""&amp;M107&amp;"" and Col4 = date '""&amp;YEAR(C107)&amp;""-""&amp;MONTH(C107)&amp;""-""&amp;DAY(C107)&amp;""'""))&gt;0,""Caixa Atendimento"",""Caixa Sangria"")),""""),""Caixa Sangria"")"),"")</f>
        <v/>
      </c>
      <c r="M107" s="185">
        <f>IFERROR(__xludf.DUMMYFUNCTION("ifna(VALUE(REGEXEXTRACT(E107,""[0-9.]+[,]+[0-9]+"")))"),15.0)</f>
        <v>15</v>
      </c>
      <c r="N107" s="229"/>
      <c r="O107" s="221"/>
      <c r="P107" s="221"/>
      <c r="Q107" s="231" t="str">
        <f t="shared" si="2"/>
        <v/>
      </c>
      <c r="R107" s="221" t="str">
        <f t="shared" si="3"/>
        <v/>
      </c>
      <c r="S107" s="218" t="str">
        <f t="shared" si="1"/>
        <v/>
      </c>
      <c r="T107" s="185"/>
      <c r="U107" s="185"/>
      <c r="V107" s="185"/>
    </row>
    <row r="108" ht="14.25" customHeight="1">
      <c r="A108" s="178"/>
      <c r="B108" s="12">
        <v>1622868.0</v>
      </c>
      <c r="C108" s="13">
        <v>45883.69237268518</v>
      </c>
      <c r="D108" s="179" t="s">
        <v>81</v>
      </c>
      <c r="E108" s="180" t="s">
        <v>5740</v>
      </c>
      <c r="F108" s="181"/>
      <c r="G108" s="179" t="s">
        <v>5741</v>
      </c>
      <c r="H108" s="190"/>
      <c r="I108" s="190"/>
      <c r="J108" s="187" t="s">
        <v>3151</v>
      </c>
      <c r="K108" s="187"/>
      <c r="L108" s="184" t="str">
        <f>IFERROR(__xludf.DUMMYFUNCTION("ifna(IF(and(D108=""Saída"",J108=""Sangria""),if(sum(QUERY(IMPORTRANGE(""https://docs.google.com/spreadsheets/d/1E4szPcLzsqlw4uyBAoJ61L1ChCgpz4wVP8tHfHW1g_c"",""BD M Sangrias!a:i""),""select Col6 where Col7 = 'Depositada' and Col9 = '""&amp;K108&amp;""' and Col6 ="&amp;" ""&amp;M108&amp;"" and Col4 = date '""&amp;YEAR(C108)&amp;""-""&amp;MONTH(C108)&amp;""-""&amp;DAY(C108)&amp;""'""))&gt;0,""Depositada"",if(sum(QUERY(IMPORTRANGE(""https://docs.google.com/spreadsheets/d/1EcLIvUgMoBC5as4ikW0wuQsGH5yVZ6cQ1y16qEfgPnk"",""BD M Sangrias!a:i""),""select Col6 whe"&amp;"re Col7 = 'Caixa Atendimento' and Col9 = '""&amp;K108&amp;""' and Col6 = ""&amp;M108&amp;"" and Col4 = date '""&amp;YEAR(C108)&amp;""-""&amp;MONTH(C108)&amp;""-""&amp;DAY(C108)&amp;""'""))&gt;0,""Caixa Atendimento"",""Caixa Sangria"")),""""),""Caixa Sangria"")"),"")</f>
        <v/>
      </c>
      <c r="M108" s="185">
        <f>IFERROR(__xludf.DUMMYFUNCTION("ifna(VALUE(REGEXEXTRACT(E108,""[0-9.]+[,]+[0-9]+"")))"),71.03)</f>
        <v>71.03</v>
      </c>
      <c r="N108" s="226"/>
      <c r="O108" s="220"/>
      <c r="P108" s="220"/>
      <c r="Q108" s="228" t="str">
        <f t="shared" si="2"/>
        <v/>
      </c>
      <c r="R108" s="220" t="str">
        <f t="shared" si="3"/>
        <v/>
      </c>
      <c r="S108" s="218" t="str">
        <f t="shared" si="1"/>
        <v/>
      </c>
      <c r="T108" s="185"/>
      <c r="U108" s="185"/>
      <c r="V108" s="185"/>
    </row>
    <row r="109" ht="14.25" customHeight="1">
      <c r="A109" s="178"/>
      <c r="B109" s="12">
        <v>1623132.0</v>
      </c>
      <c r="C109" s="13">
        <v>45883.78207175926</v>
      </c>
      <c r="D109" s="179" t="s">
        <v>81</v>
      </c>
      <c r="E109" s="180" t="s">
        <v>5748</v>
      </c>
      <c r="F109" s="181"/>
      <c r="G109" s="179" t="s">
        <v>4041</v>
      </c>
      <c r="H109" s="190"/>
      <c r="I109" s="190"/>
      <c r="J109" s="187" t="s">
        <v>3151</v>
      </c>
      <c r="K109" s="187"/>
      <c r="L109" s="184" t="str">
        <f>IFERROR(__xludf.DUMMYFUNCTION("ifna(IF(and(D109=""Saída"",J109=""Sangria""),if(sum(QUERY(IMPORTRANGE(""https://docs.google.com/spreadsheets/d/1E4szPcLzsqlw4uyBAoJ61L1ChCgpz4wVP8tHfHW1g_c"",""BD M Sangrias!a:i""),""select Col6 where Col7 = 'Depositada' and Col9 = '""&amp;K109&amp;""' and Col6 ="&amp;" ""&amp;M109&amp;"" and Col4 = date '""&amp;YEAR(C109)&amp;""-""&amp;MONTH(C109)&amp;""-""&amp;DAY(C109)&amp;""'""))&gt;0,""Depositada"",if(sum(QUERY(IMPORTRANGE(""https://docs.google.com/spreadsheets/d/1EcLIvUgMoBC5as4ikW0wuQsGH5yVZ6cQ1y16qEfgPnk"",""BD M Sangrias!a:i""),""select Col6 whe"&amp;"re Col7 = 'Caixa Atendimento' and Col9 = '""&amp;K109&amp;""' and Col6 = ""&amp;M109&amp;"" and Col4 = date '""&amp;YEAR(C109)&amp;""-""&amp;MONTH(C109)&amp;""-""&amp;DAY(C109)&amp;""'""))&gt;0,""Caixa Atendimento"",""Caixa Sangria"")),""""),""Caixa Sangria"")"),"")</f>
        <v/>
      </c>
      <c r="M109" s="185">
        <f>IFERROR(__xludf.DUMMYFUNCTION("ifna(VALUE(REGEXEXTRACT(E109,""[0-9.]+[,]+[0-9]+"")))"),28.97)</f>
        <v>28.97</v>
      </c>
      <c r="N109" s="229"/>
      <c r="O109" s="221"/>
      <c r="P109" s="221"/>
      <c r="Q109" s="231" t="str">
        <f t="shared" si="2"/>
        <v/>
      </c>
      <c r="R109" s="221" t="str">
        <f t="shared" si="3"/>
        <v/>
      </c>
      <c r="S109" s="218" t="str">
        <f t="shared" si="1"/>
        <v/>
      </c>
      <c r="T109" s="185"/>
      <c r="U109" s="185"/>
      <c r="V109" s="185"/>
    </row>
    <row r="110" ht="14.25" customHeight="1">
      <c r="A110" s="178"/>
      <c r="B110" s="12">
        <v>1623146.0</v>
      </c>
      <c r="C110" s="13">
        <v>45883.785844907405</v>
      </c>
      <c r="D110" s="179" t="s">
        <v>81</v>
      </c>
      <c r="E110" s="180" t="s">
        <v>443</v>
      </c>
      <c r="F110" s="188"/>
      <c r="G110" s="179" t="s">
        <v>388</v>
      </c>
      <c r="H110" s="190"/>
      <c r="I110" s="190"/>
      <c r="J110" s="187" t="s">
        <v>2735</v>
      </c>
      <c r="K110" s="187" t="s">
        <v>2018</v>
      </c>
      <c r="L110" s="184" t="str">
        <f>IFERROR(__xludf.DUMMYFUNCTION("ifna(IF(and(D110=""Saída"",J110=""Sangria""),if(sum(QUERY(IMPORTRANGE(""https://docs.google.com/spreadsheets/d/1E4szPcLzsqlw4uyBAoJ61L1ChCgpz4wVP8tHfHW1g_c"",""BD M Sangrias!a:i""),""select Col6 where Col7 = 'Depositada' and Col9 = '""&amp;K110&amp;""' and Col6 ="&amp;" ""&amp;M110&amp;"" and Col4 = date '""&amp;YEAR(C110)&amp;""-""&amp;MONTH(C110)&amp;""-""&amp;DAY(C110)&amp;""'""))&gt;0,""Depositada"",if(sum(QUERY(IMPORTRANGE(""https://docs.google.com/spreadsheets/d/1EcLIvUgMoBC5as4ikW0wuQsGH5yVZ6cQ1y16qEfgPnk"",""BD M Sangrias!a:i""),""select Col6 whe"&amp;"re Col7 = 'Caixa Atendimento' and Col9 = '""&amp;K110&amp;""' and Col6 = ""&amp;M110&amp;"" and Col4 = date '""&amp;YEAR(C110)&amp;""-""&amp;MONTH(C110)&amp;""-""&amp;DAY(C110)&amp;""'""))&gt;0,""Caixa Atendimento"",""Caixa Sangria"")),""""),""Caixa Sangria"")"),"#REF!")</f>
        <v>#REF!</v>
      </c>
      <c r="M110" s="185">
        <f>IFERROR(__xludf.DUMMYFUNCTION("ifna(VALUE(REGEXEXTRACT(E110,""[0-9.]+[,]+[0-9]+"")))"),900.0)</f>
        <v>900</v>
      </c>
      <c r="N110" s="226"/>
      <c r="O110" s="220"/>
      <c r="P110" s="220"/>
      <c r="Q110" s="228" t="str">
        <f t="shared" si="2"/>
        <v/>
      </c>
      <c r="R110" s="220" t="str">
        <f t="shared" si="3"/>
        <v/>
      </c>
      <c r="S110" s="218" t="str">
        <f t="shared" si="1"/>
        <v/>
      </c>
      <c r="T110" s="185"/>
      <c r="U110" s="185"/>
      <c r="V110" s="185"/>
    </row>
    <row r="111" ht="14.25" customHeight="1">
      <c r="A111" s="178"/>
      <c r="B111" s="12">
        <v>1624132.0</v>
      </c>
      <c r="C111" s="13">
        <v>45884.64800925926</v>
      </c>
      <c r="D111" s="179" t="s">
        <v>152</v>
      </c>
      <c r="E111" s="180" t="s">
        <v>2877</v>
      </c>
      <c r="F111" s="181"/>
      <c r="G111" s="179" t="s">
        <v>5765</v>
      </c>
      <c r="H111" s="190"/>
      <c r="I111" s="190"/>
      <c r="J111" s="187" t="s">
        <v>2669</v>
      </c>
      <c r="K111" s="187"/>
      <c r="L111" s="184" t="str">
        <f>IFERROR(__xludf.DUMMYFUNCTION("ifna(IF(and(D111=""Saída"",J111=""Sangria""),if(sum(QUERY(IMPORTRANGE(""https://docs.google.com/spreadsheets/d/1E4szPcLzsqlw4uyBAoJ61L1ChCgpz4wVP8tHfHW1g_c"",""BD M Sangrias!a:i""),""select Col6 where Col7 = 'Depositada' and Col9 = '""&amp;K111&amp;""' and Col6 ="&amp;" ""&amp;M111&amp;"" and Col4 = date '""&amp;YEAR(C111)&amp;""-""&amp;MONTH(C111)&amp;""-""&amp;DAY(C111)&amp;""'""))&gt;0,""Depositada"",if(sum(QUERY(IMPORTRANGE(""https://docs.google.com/spreadsheets/d/1EcLIvUgMoBC5as4ikW0wuQsGH5yVZ6cQ1y16qEfgPnk"",""BD M Sangrias!a:i""),""select Col6 whe"&amp;"re Col7 = 'Caixa Atendimento' and Col9 = '""&amp;K111&amp;""' and Col6 = ""&amp;M111&amp;"" and Col4 = date '""&amp;YEAR(C111)&amp;""-""&amp;MONTH(C111)&amp;""-""&amp;DAY(C111)&amp;""'""))&gt;0,""Caixa Atendimento"",""Caixa Sangria"")),""""),""Caixa Sangria"")"),"")</f>
        <v/>
      </c>
      <c r="M111" s="185">
        <f>IFERROR(__xludf.DUMMYFUNCTION("ifna(VALUE(REGEXEXTRACT(E111,""[0-9.]+[,]+[0-9]+"")))"),29.0)</f>
        <v>29</v>
      </c>
      <c r="N111" s="229"/>
      <c r="O111" s="221"/>
      <c r="P111" s="221"/>
      <c r="Q111" s="231" t="str">
        <f t="shared" si="2"/>
        <v/>
      </c>
      <c r="R111" s="221" t="str">
        <f t="shared" si="3"/>
        <v/>
      </c>
      <c r="S111" s="218" t="str">
        <f t="shared" si="1"/>
        <v/>
      </c>
      <c r="T111" s="185"/>
      <c r="U111" s="185"/>
      <c r="V111" s="185"/>
    </row>
    <row r="112" ht="14.25" customHeight="1">
      <c r="A112" s="178"/>
      <c r="B112" s="12">
        <v>1625204.0</v>
      </c>
      <c r="C112" s="13">
        <v>45884.92878472222</v>
      </c>
      <c r="D112" s="179" t="s">
        <v>81</v>
      </c>
      <c r="E112" s="180" t="s">
        <v>5772</v>
      </c>
      <c r="F112" s="181"/>
      <c r="G112" s="179" t="s">
        <v>313</v>
      </c>
      <c r="H112" s="190"/>
      <c r="I112" s="190"/>
      <c r="J112" s="187" t="s">
        <v>3151</v>
      </c>
      <c r="K112" s="187"/>
      <c r="L112" s="184" t="str">
        <f>IFERROR(__xludf.DUMMYFUNCTION("ifna(IF(and(D112=""Saída"",J112=""Sangria""),if(sum(QUERY(IMPORTRANGE(""https://docs.google.com/spreadsheets/d/1E4szPcLzsqlw4uyBAoJ61L1ChCgpz4wVP8tHfHW1g_c"",""BD M Sangrias!a:i""),""select Col6 where Col7 = 'Depositada' and Col9 = '""&amp;K112&amp;""' and Col6 ="&amp;" ""&amp;M112&amp;"" and Col4 = date '""&amp;YEAR(C112)&amp;""-""&amp;MONTH(C112)&amp;""-""&amp;DAY(C112)&amp;""'""))&gt;0,""Depositada"",if(sum(QUERY(IMPORTRANGE(""https://docs.google.com/spreadsheets/d/1EcLIvUgMoBC5as4ikW0wuQsGH5yVZ6cQ1y16qEfgPnk"",""BD M Sangrias!a:i""),""select Col6 whe"&amp;"re Col7 = 'Caixa Atendimento' and Col9 = '""&amp;K112&amp;""' and Col6 = ""&amp;M112&amp;"" and Col4 = date '""&amp;YEAR(C112)&amp;""-""&amp;MONTH(C112)&amp;""-""&amp;DAY(C112)&amp;""'""))&gt;0,""Caixa Atendimento"",""Caixa Sangria"")),""""),""Caixa Sangria"")"),"")</f>
        <v/>
      </c>
      <c r="M112" s="185">
        <f>IFERROR(__xludf.DUMMYFUNCTION("ifna(VALUE(REGEXEXTRACT(E112,""[0-9.]+[,]+[0-9]+"")))"),246.89)</f>
        <v>246.89</v>
      </c>
      <c r="N112" s="226"/>
      <c r="O112" s="220"/>
      <c r="P112" s="220"/>
      <c r="Q112" s="228" t="str">
        <f t="shared" si="2"/>
        <v/>
      </c>
      <c r="R112" s="220" t="str">
        <f t="shared" si="3"/>
        <v/>
      </c>
      <c r="S112" s="218" t="str">
        <f t="shared" si="1"/>
        <v/>
      </c>
      <c r="T112" s="185"/>
      <c r="U112" s="185"/>
      <c r="V112" s="185"/>
    </row>
    <row r="113" ht="14.25" customHeight="1">
      <c r="A113" s="178"/>
      <c r="B113" s="12">
        <v>1625218.0</v>
      </c>
      <c r="C113" s="13">
        <v>45884.931539351855</v>
      </c>
      <c r="D113" s="179" t="s">
        <v>152</v>
      </c>
      <c r="E113" s="180" t="s">
        <v>485</v>
      </c>
      <c r="F113" s="181"/>
      <c r="G113" s="179" t="s">
        <v>5783</v>
      </c>
      <c r="H113" s="190"/>
      <c r="I113" s="190"/>
      <c r="J113" s="187" t="s">
        <v>3151</v>
      </c>
      <c r="K113" s="187"/>
      <c r="L113" s="184" t="str">
        <f>IFERROR(__xludf.DUMMYFUNCTION("ifna(IF(and(D113=""Saída"",J113=""Sangria""),if(sum(QUERY(IMPORTRANGE(""https://docs.google.com/spreadsheets/d/1E4szPcLzsqlw4uyBAoJ61L1ChCgpz4wVP8tHfHW1g_c"",""BD M Sangrias!a:i""),""select Col6 where Col7 = 'Depositada' and Col9 = '""&amp;K113&amp;""' and Col6 ="&amp;" ""&amp;M113&amp;"" and Col4 = date '""&amp;YEAR(C113)&amp;""-""&amp;MONTH(C113)&amp;""-""&amp;DAY(C113)&amp;""'""))&gt;0,""Depositada"",if(sum(QUERY(IMPORTRANGE(""https://docs.google.com/spreadsheets/d/1EcLIvUgMoBC5as4ikW0wuQsGH5yVZ6cQ1y16qEfgPnk"",""BD M Sangrias!a:i""),""select Col6 whe"&amp;"re Col7 = 'Caixa Atendimento' and Col9 = '""&amp;K113&amp;""' and Col6 = ""&amp;M113&amp;"" and Col4 = date '""&amp;YEAR(C113)&amp;""-""&amp;MONTH(C113)&amp;""-""&amp;DAY(C113)&amp;""'""))&gt;0,""Caixa Atendimento"",""Caixa Sangria"")),""""),""Caixa Sangria"")"),"")</f>
        <v/>
      </c>
      <c r="M113" s="185">
        <f>IFERROR(__xludf.DUMMYFUNCTION("ifna(VALUE(REGEXEXTRACT(E113,""[0-9.]+[,]+[0-9]+"")))"),60.0)</f>
        <v>60</v>
      </c>
      <c r="N113" s="229"/>
      <c r="O113" s="221"/>
      <c r="P113" s="221"/>
      <c r="Q113" s="231" t="str">
        <f t="shared" si="2"/>
        <v/>
      </c>
      <c r="R113" s="221" t="str">
        <f t="shared" si="3"/>
        <v/>
      </c>
      <c r="S113" s="218" t="str">
        <f t="shared" si="1"/>
        <v/>
      </c>
      <c r="T113" s="185"/>
      <c r="U113" s="185"/>
      <c r="V113" s="185"/>
    </row>
    <row r="114" ht="14.25" customHeight="1">
      <c r="A114" s="178"/>
      <c r="B114" s="12">
        <v>1625222.0</v>
      </c>
      <c r="C114" s="13">
        <v>45884.932175925926</v>
      </c>
      <c r="D114" s="179" t="s">
        <v>81</v>
      </c>
      <c r="E114" s="180" t="s">
        <v>184</v>
      </c>
      <c r="F114" s="181"/>
      <c r="G114" s="179" t="s">
        <v>4071</v>
      </c>
      <c r="H114" s="190"/>
      <c r="I114" s="190"/>
      <c r="J114" s="187" t="s">
        <v>2735</v>
      </c>
      <c r="K114" s="187" t="s">
        <v>2018</v>
      </c>
      <c r="L114" s="184" t="str">
        <f>IFERROR(__xludf.DUMMYFUNCTION("ifna(IF(and(D114=""Saída"",J114=""Sangria""),if(sum(QUERY(IMPORTRANGE(""https://docs.google.com/spreadsheets/d/1E4szPcLzsqlw4uyBAoJ61L1ChCgpz4wVP8tHfHW1g_c"",""BD M Sangrias!a:i""),""select Col6 where Col7 = 'Depositada' and Col9 = '""&amp;K114&amp;""' and Col6 ="&amp;" ""&amp;M114&amp;"" and Col4 = date '""&amp;YEAR(C114)&amp;""-""&amp;MONTH(C114)&amp;""-""&amp;DAY(C114)&amp;""'""))&gt;0,""Depositada"",if(sum(QUERY(IMPORTRANGE(""https://docs.google.com/spreadsheets/d/1EcLIvUgMoBC5as4ikW0wuQsGH5yVZ6cQ1y16qEfgPnk"",""BD M Sangrias!a:i""),""select Col6 whe"&amp;"re Col7 = 'Caixa Atendimento' and Col9 = '""&amp;K114&amp;""' and Col6 = ""&amp;M114&amp;"" and Col4 = date '""&amp;YEAR(C114)&amp;""-""&amp;MONTH(C114)&amp;""-""&amp;DAY(C114)&amp;""'""))&gt;0,""Caixa Atendimento"",""Caixa Sangria"")),""""),""Caixa Sangria"")"),"#REF!")</f>
        <v>#REF!</v>
      </c>
      <c r="M114" s="185">
        <f>IFERROR(__xludf.DUMMYFUNCTION("ifna(VALUE(REGEXEXTRACT(E114,""[0-9.]+[,]+[0-9]+"")))"),450.0)</f>
        <v>450</v>
      </c>
      <c r="N114" s="226"/>
      <c r="O114" s="220"/>
      <c r="P114" s="220"/>
      <c r="Q114" s="228" t="str">
        <f t="shared" si="2"/>
        <v/>
      </c>
      <c r="R114" s="220" t="str">
        <f t="shared" si="3"/>
        <v/>
      </c>
      <c r="S114" s="218" t="str">
        <f t="shared" si="1"/>
        <v/>
      </c>
      <c r="T114" s="185"/>
      <c r="U114" s="185"/>
      <c r="V114" s="185"/>
    </row>
    <row r="115" ht="14.25" customHeight="1">
      <c r="A115" s="178"/>
      <c r="B115" s="12">
        <v>1626161.0</v>
      </c>
      <c r="C115" s="13">
        <v>45885.71094907408</v>
      </c>
      <c r="D115" s="179" t="s">
        <v>81</v>
      </c>
      <c r="E115" s="180" t="s">
        <v>220</v>
      </c>
      <c r="F115" s="181"/>
      <c r="G115" s="179" t="s">
        <v>4071</v>
      </c>
      <c r="H115" s="190"/>
      <c r="I115" s="190"/>
      <c r="J115" s="187" t="s">
        <v>2735</v>
      </c>
      <c r="K115" s="187" t="s">
        <v>2018</v>
      </c>
      <c r="L115" s="184" t="str">
        <f>IFERROR(__xludf.DUMMYFUNCTION("ifna(IF(and(D115=""Saída"",J115=""Sangria""),if(sum(QUERY(IMPORTRANGE(""https://docs.google.com/spreadsheets/d/1E4szPcLzsqlw4uyBAoJ61L1ChCgpz4wVP8tHfHW1g_c"",""BD M Sangrias!a:i""),""select Col6 where Col7 = 'Depositada' and Col9 = '""&amp;K115&amp;""' and Col6 ="&amp;" ""&amp;M115&amp;"" and Col4 = date '""&amp;YEAR(C115)&amp;""-""&amp;MONTH(C115)&amp;""-""&amp;DAY(C115)&amp;""'""))&gt;0,""Depositada"",if(sum(QUERY(IMPORTRANGE(""https://docs.google.com/spreadsheets/d/1EcLIvUgMoBC5as4ikW0wuQsGH5yVZ6cQ1y16qEfgPnk"",""BD M Sangrias!a:i""),""select Col6 whe"&amp;"re Col7 = 'Caixa Atendimento' and Col9 = '""&amp;K115&amp;""' and Col6 = ""&amp;M115&amp;"" and Col4 = date '""&amp;YEAR(C115)&amp;""-""&amp;MONTH(C115)&amp;""-""&amp;DAY(C115)&amp;""'""))&gt;0,""Caixa Atendimento"",""Caixa Sangria"")),""""),""Caixa Sangria"")"),"#REF!")</f>
        <v>#REF!</v>
      </c>
      <c r="M115" s="185">
        <f>IFERROR(__xludf.DUMMYFUNCTION("ifna(VALUE(REGEXEXTRACT(E115,""[0-9.]+[,]+[0-9]+"")))"),1400.0)</f>
        <v>1400</v>
      </c>
      <c r="N115" s="229"/>
      <c r="O115" s="221"/>
      <c r="P115" s="221"/>
      <c r="Q115" s="231" t="str">
        <f t="shared" si="2"/>
        <v/>
      </c>
      <c r="R115" s="221" t="str">
        <f t="shared" si="3"/>
        <v/>
      </c>
      <c r="S115" s="218" t="str">
        <f t="shared" si="1"/>
        <v/>
      </c>
      <c r="T115" s="185"/>
      <c r="U115" s="185"/>
      <c r="V115" s="185"/>
    </row>
    <row r="116" ht="14.25" customHeight="1">
      <c r="A116" s="178"/>
      <c r="B116" s="12">
        <v>1626977.0</v>
      </c>
      <c r="C116" s="13">
        <v>45885.900659722225</v>
      </c>
      <c r="D116" s="179" t="s">
        <v>81</v>
      </c>
      <c r="E116" s="180" t="s">
        <v>200</v>
      </c>
      <c r="F116" s="181"/>
      <c r="G116" s="179" t="s">
        <v>4071</v>
      </c>
      <c r="H116" s="190"/>
      <c r="I116" s="190"/>
      <c r="J116" s="187" t="s">
        <v>2735</v>
      </c>
      <c r="K116" s="187" t="s">
        <v>2018</v>
      </c>
      <c r="L116" s="184" t="str">
        <f>IFERROR(__xludf.DUMMYFUNCTION("ifna(IF(and(D116=""Saída"",J116=""Sangria""),if(sum(QUERY(IMPORTRANGE(""https://docs.google.com/spreadsheets/d/1E4szPcLzsqlw4uyBAoJ61L1ChCgpz4wVP8tHfHW1g_c"",""BD M Sangrias!a:i""),""select Col6 where Col7 = 'Depositada' and Col9 = '""&amp;K116&amp;""' and Col6 ="&amp;" ""&amp;M116&amp;"" and Col4 = date '""&amp;YEAR(C116)&amp;""-""&amp;MONTH(C116)&amp;""-""&amp;DAY(C116)&amp;""'""))&gt;0,""Depositada"",if(sum(QUERY(IMPORTRANGE(""https://docs.google.com/spreadsheets/d/1EcLIvUgMoBC5as4ikW0wuQsGH5yVZ6cQ1y16qEfgPnk"",""BD M Sangrias!a:i""),""select Col6 whe"&amp;"re Col7 = 'Caixa Atendimento' and Col9 = '""&amp;K116&amp;""' and Col6 = ""&amp;M116&amp;"" and Col4 = date '""&amp;YEAR(C116)&amp;""-""&amp;MONTH(C116)&amp;""-""&amp;DAY(C116)&amp;""'""))&gt;0,""Caixa Atendimento"",""Caixa Sangria"")),""""),""Caixa Sangria"")"),"#REF!")</f>
        <v>#REF!</v>
      </c>
      <c r="M116" s="185">
        <f>IFERROR(__xludf.DUMMYFUNCTION("ifna(VALUE(REGEXEXTRACT(E116,""[0-9.]+[,]+[0-9]+"")))"),300.0)</f>
        <v>300</v>
      </c>
      <c r="N116" s="226"/>
      <c r="O116" s="220"/>
      <c r="P116" s="220"/>
      <c r="Q116" s="228" t="str">
        <f t="shared" si="2"/>
        <v/>
      </c>
      <c r="R116" s="220" t="str">
        <f t="shared" si="3"/>
        <v/>
      </c>
      <c r="S116" s="218" t="str">
        <f t="shared" si="1"/>
        <v/>
      </c>
      <c r="T116" s="185"/>
      <c r="U116" s="185"/>
      <c r="V116" s="185"/>
    </row>
    <row r="117" ht="14.25" customHeight="1">
      <c r="A117" s="178"/>
      <c r="B117" s="12">
        <v>1628957.0</v>
      </c>
      <c r="C117" s="13">
        <v>45886.79599537037</v>
      </c>
      <c r="D117" s="179" t="s">
        <v>81</v>
      </c>
      <c r="E117" s="180" t="s">
        <v>5813</v>
      </c>
      <c r="F117" s="181"/>
      <c r="G117" s="179" t="s">
        <v>5815</v>
      </c>
      <c r="H117" s="190"/>
      <c r="I117" s="190"/>
      <c r="J117" s="187" t="s">
        <v>2438</v>
      </c>
      <c r="K117" s="187"/>
      <c r="L117" s="184" t="str">
        <f>IFERROR(__xludf.DUMMYFUNCTION("ifna(IF(and(D117=""Saída"",J117=""Sangria""),if(sum(QUERY(IMPORTRANGE(""https://docs.google.com/spreadsheets/d/1E4szPcLzsqlw4uyBAoJ61L1ChCgpz4wVP8tHfHW1g_c"",""BD M Sangrias!a:i""),""select Col6 where Col7 = 'Depositada' and Col9 = '""&amp;K117&amp;""' and Col6 ="&amp;" ""&amp;M117&amp;"" and Col4 = date '""&amp;YEAR(C117)&amp;""-""&amp;MONTH(C117)&amp;""-""&amp;DAY(C117)&amp;""'""))&gt;0,""Depositada"",if(sum(QUERY(IMPORTRANGE(""https://docs.google.com/spreadsheets/d/1EcLIvUgMoBC5as4ikW0wuQsGH5yVZ6cQ1y16qEfgPnk"",""BD M Sangrias!a:i""),""select Col6 whe"&amp;"re Col7 = 'Caixa Atendimento' and Col9 = '""&amp;K117&amp;""' and Col6 = ""&amp;M117&amp;"" and Col4 = date '""&amp;YEAR(C117)&amp;""-""&amp;MONTH(C117)&amp;""-""&amp;DAY(C117)&amp;""'""))&gt;0,""Caixa Atendimento"",""Caixa Sangria"")),""""),""Caixa Sangria"")"),"")</f>
        <v/>
      </c>
      <c r="M117" s="185">
        <f>IFERROR(__xludf.DUMMYFUNCTION("ifna(VALUE(REGEXEXTRACT(E117,""[0-9.]+[,]+[0-9]+"")))"),59.5)</f>
        <v>59.5</v>
      </c>
      <c r="N117" s="229"/>
      <c r="O117" s="221"/>
      <c r="P117" s="221"/>
      <c r="Q117" s="231" t="str">
        <f t="shared" si="2"/>
        <v/>
      </c>
      <c r="R117" s="221" t="str">
        <f t="shared" si="3"/>
        <v/>
      </c>
      <c r="S117" s="232" t="str">
        <f t="shared" ref="S117:S138" si="4">IFERROR(VLOOKUP(P117, $A$4:$B$18, 2, FALSE), "")</f>
        <v/>
      </c>
      <c r="T117" s="185"/>
      <c r="U117" s="185"/>
      <c r="V117" s="185"/>
    </row>
    <row r="118" ht="14.25" customHeight="1">
      <c r="A118" s="178"/>
      <c r="B118" s="12">
        <v>1630235.0</v>
      </c>
      <c r="C118" s="13">
        <v>45886.95579861111</v>
      </c>
      <c r="D118" s="179" t="s">
        <v>81</v>
      </c>
      <c r="E118" s="180" t="s">
        <v>5824</v>
      </c>
      <c r="F118" s="181"/>
      <c r="G118" s="179" t="s">
        <v>5825</v>
      </c>
      <c r="H118" s="190"/>
      <c r="I118" s="190"/>
      <c r="J118" s="187" t="s">
        <v>1782</v>
      </c>
      <c r="K118" s="187"/>
      <c r="L118" s="184" t="str">
        <f>IFERROR(__xludf.DUMMYFUNCTION("ifna(IF(and(D118=""Saída"",J118=""Sangria""),if(sum(QUERY(IMPORTRANGE(""https://docs.google.com/spreadsheets/d/1E4szPcLzsqlw4uyBAoJ61L1ChCgpz4wVP8tHfHW1g_c"",""BD M Sangrias!a:i""),""select Col6 where Col7 = 'Depositada' and Col9 = '""&amp;K118&amp;""' and Col6 ="&amp;" ""&amp;M118&amp;"" and Col4 = date '""&amp;YEAR(C118)&amp;""-""&amp;MONTH(C118)&amp;""-""&amp;DAY(C118)&amp;""'""))&gt;0,""Depositada"",if(sum(QUERY(IMPORTRANGE(""https://docs.google.com/spreadsheets/d/1EcLIvUgMoBC5as4ikW0wuQsGH5yVZ6cQ1y16qEfgPnk"",""BD M Sangrias!a:i""),""select Col6 whe"&amp;"re Col7 = 'Caixa Atendimento' and Col9 = '""&amp;K118&amp;""' and Col6 = ""&amp;M118&amp;"" and Col4 = date '""&amp;YEAR(C118)&amp;""-""&amp;MONTH(C118)&amp;""-""&amp;DAY(C118)&amp;""'""))&gt;0,""Caixa Atendimento"",""Caixa Sangria"")),""""),""Caixa Sangria"")"),"")</f>
        <v/>
      </c>
      <c r="M118" s="185">
        <f>IFERROR(__xludf.DUMMYFUNCTION("ifna(VALUE(REGEXEXTRACT(E118,""[0-9.]+[,]+[0-9]+"")))"),318.0)</f>
        <v>318</v>
      </c>
      <c r="N118" s="226"/>
      <c r="O118" s="220"/>
      <c r="P118" s="220"/>
      <c r="Q118" s="228" t="str">
        <f t="shared" si="2"/>
        <v/>
      </c>
      <c r="R118" s="220" t="str">
        <f t="shared" si="3"/>
        <v/>
      </c>
      <c r="S118" s="232" t="str">
        <f t="shared" si="4"/>
        <v/>
      </c>
      <c r="T118" s="185"/>
      <c r="U118" s="185"/>
      <c r="V118" s="185"/>
    </row>
    <row r="119" ht="14.25" customHeight="1">
      <c r="A119" s="178"/>
      <c r="B119" s="12">
        <v>1630237.0</v>
      </c>
      <c r="C119" s="13">
        <v>45886.95612268519</v>
      </c>
      <c r="D119" s="179" t="s">
        <v>81</v>
      </c>
      <c r="E119" s="180" t="s">
        <v>5829</v>
      </c>
      <c r="F119" s="181"/>
      <c r="G119" s="179" t="s">
        <v>5831</v>
      </c>
      <c r="H119" s="190"/>
      <c r="I119" s="190"/>
      <c r="J119" s="187" t="s">
        <v>1782</v>
      </c>
      <c r="K119" s="187"/>
      <c r="L119" s="184" t="str">
        <f>IFERROR(__xludf.DUMMYFUNCTION("ifna(IF(and(D119=""Saída"",J119=""Sangria""),if(sum(QUERY(IMPORTRANGE(""https://docs.google.com/spreadsheets/d/1E4szPcLzsqlw4uyBAoJ61L1ChCgpz4wVP8tHfHW1g_c"",""BD M Sangrias!a:i""),""select Col6 where Col7 = 'Depositada' and Col9 = '""&amp;K119&amp;""' and Col6 ="&amp;" ""&amp;M119&amp;"" and Col4 = date '""&amp;YEAR(C119)&amp;""-""&amp;MONTH(C119)&amp;""-""&amp;DAY(C119)&amp;""'""))&gt;0,""Depositada"",if(sum(QUERY(IMPORTRANGE(""https://docs.google.com/spreadsheets/d/1EcLIvUgMoBC5as4ikW0wuQsGH5yVZ6cQ1y16qEfgPnk"",""BD M Sangrias!a:i""),""select Col6 whe"&amp;"re Col7 = 'Caixa Atendimento' and Col9 = '""&amp;K119&amp;""' and Col6 = ""&amp;M119&amp;"" and Col4 = date '""&amp;YEAR(C119)&amp;""-""&amp;MONTH(C119)&amp;""-""&amp;DAY(C119)&amp;""'""))&gt;0,""Caixa Atendimento"",""Caixa Sangria"")),""""),""Caixa Sangria"")"),"")</f>
        <v/>
      </c>
      <c r="M119" s="185">
        <f>IFERROR(__xludf.DUMMYFUNCTION("ifna(VALUE(REGEXEXTRACT(E119,""[0-9.]+[,]+[0-9]+"")))"),213.0)</f>
        <v>213</v>
      </c>
      <c r="N119" s="229"/>
      <c r="O119" s="221"/>
      <c r="P119" s="221"/>
      <c r="Q119" s="231" t="str">
        <f t="shared" si="2"/>
        <v/>
      </c>
      <c r="R119" s="221" t="str">
        <f t="shared" si="3"/>
        <v/>
      </c>
      <c r="S119" s="232" t="str">
        <f t="shared" si="4"/>
        <v/>
      </c>
      <c r="T119" s="185"/>
      <c r="U119" s="185"/>
      <c r="V119" s="185"/>
    </row>
    <row r="120" ht="14.25" customHeight="1">
      <c r="A120" s="178"/>
      <c r="B120" s="12">
        <v>1630260.0</v>
      </c>
      <c r="C120" s="13">
        <v>45886.9581712963</v>
      </c>
      <c r="D120" s="179" t="s">
        <v>81</v>
      </c>
      <c r="E120" s="180" t="s">
        <v>411</v>
      </c>
      <c r="F120" s="188"/>
      <c r="G120" s="179" t="s">
        <v>381</v>
      </c>
      <c r="H120" s="190"/>
      <c r="I120" s="190"/>
      <c r="J120" s="187" t="s">
        <v>2735</v>
      </c>
      <c r="K120" s="187" t="s">
        <v>1894</v>
      </c>
      <c r="L120" s="184" t="str">
        <f>IFERROR(__xludf.DUMMYFUNCTION("ifna(IF(and(D120=""Saída"",J120=""Sangria""),if(sum(QUERY(IMPORTRANGE(""https://docs.google.com/spreadsheets/d/1E4szPcLzsqlw4uyBAoJ61L1ChCgpz4wVP8tHfHW1g_c"",""BD M Sangrias!a:i""),""select Col6 where Col7 = 'Depositada' and Col9 = '""&amp;K120&amp;""' and Col6 ="&amp;" ""&amp;M120&amp;"" and Col4 = date '""&amp;YEAR(C120)&amp;""-""&amp;MONTH(C120)&amp;""-""&amp;DAY(C120)&amp;""'""))&gt;0,""Depositada"",if(sum(QUERY(IMPORTRANGE(""https://docs.google.com/spreadsheets/d/1EcLIvUgMoBC5as4ikW0wuQsGH5yVZ6cQ1y16qEfgPnk"",""BD M Sangrias!a:i""),""select Col6 whe"&amp;"re Col7 = 'Caixa Atendimento' and Col9 = '""&amp;K120&amp;""' and Col6 = ""&amp;M120&amp;"" and Col4 = date '""&amp;YEAR(C120)&amp;""-""&amp;MONTH(C120)&amp;""-""&amp;DAY(C120)&amp;""'""))&gt;0,""Caixa Atendimento"",""Caixa Sangria"")),""""),""Caixa Sangria"")"),"#REF!")</f>
        <v>#REF!</v>
      </c>
      <c r="M120" s="185">
        <f>IFERROR(__xludf.DUMMYFUNCTION("ifna(VALUE(REGEXEXTRACT(E120,""[0-9.]+[,]+[0-9]+"")))"),1450.0)</f>
        <v>1450</v>
      </c>
      <c r="N120" s="226"/>
      <c r="O120" s="220"/>
      <c r="P120" s="220"/>
      <c r="Q120" s="228" t="str">
        <f t="shared" si="2"/>
        <v/>
      </c>
      <c r="R120" s="220" t="str">
        <f t="shared" si="3"/>
        <v/>
      </c>
      <c r="S120" s="232" t="str">
        <f t="shared" si="4"/>
        <v/>
      </c>
      <c r="T120" s="185"/>
      <c r="U120" s="185"/>
      <c r="V120" s="185"/>
    </row>
    <row r="121" ht="14.25" customHeight="1">
      <c r="A121" s="178"/>
      <c r="B121" s="12">
        <v>1630300.0</v>
      </c>
      <c r="C121" s="13">
        <v>45886.962743055556</v>
      </c>
      <c r="D121" s="179" t="s">
        <v>81</v>
      </c>
      <c r="E121" s="180" t="s">
        <v>3515</v>
      </c>
      <c r="F121" s="188"/>
      <c r="G121" s="179" t="s">
        <v>5841</v>
      </c>
      <c r="H121" s="190"/>
      <c r="I121" s="190"/>
      <c r="J121" s="187" t="s">
        <v>1782</v>
      </c>
      <c r="K121" s="187"/>
      <c r="L121" s="184" t="str">
        <f>IFERROR(__xludf.DUMMYFUNCTION("ifna(IF(and(D121=""Saída"",J121=""Sangria""),if(sum(QUERY(IMPORTRANGE(""https://docs.google.com/spreadsheets/d/1E4szPcLzsqlw4uyBAoJ61L1ChCgpz4wVP8tHfHW1g_c"",""BD M Sangrias!a:i""),""select Col6 where Col7 = 'Depositada' and Col9 = '""&amp;K121&amp;""' and Col6 ="&amp;" ""&amp;M121&amp;"" and Col4 = date '""&amp;YEAR(C121)&amp;""-""&amp;MONTH(C121)&amp;""-""&amp;DAY(C121)&amp;""'""))&gt;0,""Depositada"",if(sum(QUERY(IMPORTRANGE(""https://docs.google.com/spreadsheets/d/1EcLIvUgMoBC5as4ikW0wuQsGH5yVZ6cQ1y16qEfgPnk"",""BD M Sangrias!a:i""),""select Col6 whe"&amp;"re Col7 = 'Caixa Atendimento' and Col9 = '""&amp;K121&amp;""' and Col6 = ""&amp;M121&amp;"" and Col4 = date '""&amp;YEAR(C121)&amp;""-""&amp;MONTH(C121)&amp;""-""&amp;DAY(C121)&amp;""'""))&gt;0,""Caixa Atendimento"",""Caixa Sangria"")),""""),""Caixa Sangria"")"),"")</f>
        <v/>
      </c>
      <c r="M121" s="185">
        <f>IFERROR(__xludf.DUMMYFUNCTION("ifna(VALUE(REGEXEXTRACT(E121,""[0-9.]+[,]+[0-9]+"")))"),240.0)</f>
        <v>240</v>
      </c>
      <c r="N121" s="229"/>
      <c r="O121" s="221"/>
      <c r="P121" s="221"/>
      <c r="Q121" s="231" t="str">
        <f t="shared" si="2"/>
        <v/>
      </c>
      <c r="R121" s="221" t="str">
        <f t="shared" si="3"/>
        <v/>
      </c>
      <c r="S121" s="232" t="str">
        <f t="shared" si="4"/>
        <v/>
      </c>
      <c r="T121" s="185"/>
      <c r="U121" s="185"/>
      <c r="V121" s="185"/>
    </row>
    <row r="122" ht="14.25" customHeight="1">
      <c r="A122" s="178"/>
      <c r="B122" s="12">
        <v>1630912.0</v>
      </c>
      <c r="C122" s="13">
        <v>45887.66627314815</v>
      </c>
      <c r="D122" s="179" t="s">
        <v>81</v>
      </c>
      <c r="E122" s="180" t="s">
        <v>184</v>
      </c>
      <c r="F122" s="181"/>
      <c r="G122" s="179" t="s">
        <v>5413</v>
      </c>
      <c r="H122" s="190"/>
      <c r="I122" s="190"/>
      <c r="J122" s="187" t="s">
        <v>2735</v>
      </c>
      <c r="K122" s="187" t="s">
        <v>2018</v>
      </c>
      <c r="L122" s="184" t="str">
        <f>IFERROR(__xludf.DUMMYFUNCTION("ifna(IF(and(D122=""Saída"",J122=""Sangria""),if(sum(QUERY(IMPORTRANGE(""https://docs.google.com/spreadsheets/d/1E4szPcLzsqlw4uyBAoJ61L1ChCgpz4wVP8tHfHW1g_c"",""BD M Sangrias!a:i""),""select Col6 where Col7 = 'Depositada' and Col9 = '""&amp;K122&amp;""' and Col6 ="&amp;" ""&amp;M122&amp;"" and Col4 = date '""&amp;YEAR(C122)&amp;""-""&amp;MONTH(C122)&amp;""-""&amp;DAY(C122)&amp;""'""))&gt;0,""Depositada"",if(sum(QUERY(IMPORTRANGE(""https://docs.google.com/spreadsheets/d/1EcLIvUgMoBC5as4ikW0wuQsGH5yVZ6cQ1y16qEfgPnk"",""BD M Sangrias!a:i""),""select Col6 whe"&amp;"re Col7 = 'Caixa Atendimento' and Col9 = '""&amp;K122&amp;""' and Col6 = ""&amp;M122&amp;"" and Col4 = date '""&amp;YEAR(C122)&amp;""-""&amp;MONTH(C122)&amp;""-""&amp;DAY(C122)&amp;""'""))&gt;0,""Caixa Atendimento"",""Caixa Sangria"")),""""),""Caixa Sangria"")"),"#REF!")</f>
        <v>#REF!</v>
      </c>
      <c r="M122" s="185">
        <f>IFERROR(__xludf.DUMMYFUNCTION("ifna(VALUE(REGEXEXTRACT(E122,""[0-9.]+[,]+[0-9]+"")))"),450.0)</f>
        <v>450</v>
      </c>
      <c r="N122" s="226"/>
      <c r="O122" s="220"/>
      <c r="P122" s="220"/>
      <c r="Q122" s="228" t="str">
        <f t="shared" si="2"/>
        <v/>
      </c>
      <c r="R122" s="220" t="str">
        <f t="shared" si="3"/>
        <v/>
      </c>
      <c r="S122" s="232" t="str">
        <f t="shared" si="4"/>
        <v/>
      </c>
      <c r="T122" s="185"/>
      <c r="U122" s="185"/>
      <c r="V122" s="185"/>
    </row>
    <row r="123" ht="14.25" customHeight="1">
      <c r="A123" s="178"/>
      <c r="B123" s="12">
        <v>1631831.0</v>
      </c>
      <c r="C123" s="13">
        <v>45887.92921296296</v>
      </c>
      <c r="D123" s="179" t="s">
        <v>152</v>
      </c>
      <c r="E123" s="180" t="s">
        <v>4138</v>
      </c>
      <c r="F123" s="181"/>
      <c r="G123" s="179" t="s">
        <v>267</v>
      </c>
      <c r="H123" s="190"/>
      <c r="I123" s="190"/>
      <c r="J123" s="187" t="s">
        <v>2669</v>
      </c>
      <c r="K123" s="187"/>
      <c r="L123" s="184" t="str">
        <f>IFERROR(__xludf.DUMMYFUNCTION("ifna(IF(and(D123=""Saída"",J123=""Sangria""),if(sum(QUERY(IMPORTRANGE(""https://docs.google.com/spreadsheets/d/1E4szPcLzsqlw4uyBAoJ61L1ChCgpz4wVP8tHfHW1g_c"",""BD M Sangrias!a:i""),""select Col6 where Col7 = 'Depositada' and Col9 = '""&amp;K123&amp;""' and Col6 ="&amp;" ""&amp;M123&amp;"" and Col4 = date '""&amp;YEAR(C123)&amp;""-""&amp;MONTH(C123)&amp;""-""&amp;DAY(C123)&amp;""'""))&gt;0,""Depositada"",if(sum(QUERY(IMPORTRANGE(""https://docs.google.com/spreadsheets/d/1EcLIvUgMoBC5as4ikW0wuQsGH5yVZ6cQ1y16qEfgPnk"",""BD M Sangrias!a:i""),""select Col6 whe"&amp;"re Col7 = 'Caixa Atendimento' and Col9 = '""&amp;K123&amp;""' and Col6 = ""&amp;M123&amp;"" and Col4 = date '""&amp;YEAR(C123)&amp;""-""&amp;MONTH(C123)&amp;""-""&amp;DAY(C123)&amp;""'""))&gt;0,""Caixa Atendimento"",""Caixa Sangria"")),""""),""Caixa Sangria"")"),"")</f>
        <v/>
      </c>
      <c r="M123" s="185">
        <f>IFERROR(__xludf.DUMMYFUNCTION("ifna(VALUE(REGEXEXTRACT(E123,""[0-9.]+[,]+[0-9]+"")))"),30.0)</f>
        <v>30</v>
      </c>
      <c r="N123" s="229"/>
      <c r="O123" s="221"/>
      <c r="P123" s="221"/>
      <c r="Q123" s="231" t="str">
        <f t="shared" si="2"/>
        <v/>
      </c>
      <c r="R123" s="221" t="str">
        <f t="shared" si="3"/>
        <v/>
      </c>
      <c r="S123" s="232" t="str">
        <f t="shared" si="4"/>
        <v/>
      </c>
      <c r="T123" s="185"/>
      <c r="U123" s="185"/>
      <c r="V123" s="185"/>
    </row>
    <row r="124" ht="14.25" customHeight="1">
      <c r="A124" s="178"/>
      <c r="B124" s="12">
        <v>1631837.0</v>
      </c>
      <c r="C124" s="13">
        <v>45887.92965277778</v>
      </c>
      <c r="D124" s="179" t="s">
        <v>81</v>
      </c>
      <c r="E124" s="180" t="s">
        <v>457</v>
      </c>
      <c r="F124" s="181"/>
      <c r="G124" s="179" t="s">
        <v>381</v>
      </c>
      <c r="H124" s="190"/>
      <c r="I124" s="190"/>
      <c r="J124" s="187" t="s">
        <v>2735</v>
      </c>
      <c r="K124" s="187" t="s">
        <v>1894</v>
      </c>
      <c r="L124" s="184" t="str">
        <f>IFERROR(__xludf.DUMMYFUNCTION("ifna(IF(and(D124=""Saída"",J124=""Sangria""),if(sum(QUERY(IMPORTRANGE(""https://docs.google.com/spreadsheets/d/1E4szPcLzsqlw4uyBAoJ61L1ChCgpz4wVP8tHfHW1g_c"",""BD M Sangrias!a:i""),""select Col6 where Col7 = 'Depositada' and Col9 = '""&amp;K124&amp;""' and Col6 ="&amp;" ""&amp;M124&amp;"" and Col4 = date '""&amp;YEAR(C124)&amp;""-""&amp;MONTH(C124)&amp;""-""&amp;DAY(C124)&amp;""'""))&gt;0,""Depositada"",if(sum(QUERY(IMPORTRANGE(""https://docs.google.com/spreadsheets/d/1EcLIvUgMoBC5as4ikW0wuQsGH5yVZ6cQ1y16qEfgPnk"",""BD M Sangrias!a:i""),""select Col6 whe"&amp;"re Col7 = 'Caixa Atendimento' and Col9 = '""&amp;K124&amp;""' and Col6 = ""&amp;M124&amp;"" and Col4 = date '""&amp;YEAR(C124)&amp;""-""&amp;MONTH(C124)&amp;""-""&amp;DAY(C124)&amp;""'""))&gt;0,""Caixa Atendimento"",""Caixa Sangria"")),""""),""Caixa Sangria"")"),"#REF!")</f>
        <v>#REF!</v>
      </c>
      <c r="M124" s="185">
        <f>IFERROR(__xludf.DUMMYFUNCTION("ifna(VALUE(REGEXEXTRACT(E124,""[0-9.]+[,]+[0-9]+"")))"),200.0)</f>
        <v>200</v>
      </c>
      <c r="N124" s="226"/>
      <c r="O124" s="220"/>
      <c r="P124" s="220"/>
      <c r="Q124" s="228" t="str">
        <f t="shared" si="2"/>
        <v/>
      </c>
      <c r="R124" s="220" t="str">
        <f t="shared" si="3"/>
        <v/>
      </c>
      <c r="S124" s="232" t="str">
        <f t="shared" si="4"/>
        <v/>
      </c>
      <c r="T124" s="185"/>
      <c r="U124" s="185"/>
      <c r="V124" s="185"/>
    </row>
    <row r="125" ht="14.25" customHeight="1">
      <c r="A125" s="178"/>
      <c r="B125" s="12">
        <v>1631843.0</v>
      </c>
      <c r="C125" s="13">
        <v>45887.93194444444</v>
      </c>
      <c r="D125" s="179" t="s">
        <v>81</v>
      </c>
      <c r="E125" s="180" t="s">
        <v>5860</v>
      </c>
      <c r="F125" s="181"/>
      <c r="G125" s="179" t="s">
        <v>5861</v>
      </c>
      <c r="H125" s="190"/>
      <c r="I125" s="190"/>
      <c r="J125" s="187" t="s">
        <v>2019</v>
      </c>
      <c r="K125" s="187" t="s">
        <v>2117</v>
      </c>
      <c r="L125" s="184" t="str">
        <f>IFERROR(__xludf.DUMMYFUNCTION("ifna(IF(and(D125=""Saída"",J125=""Sangria""),if(sum(QUERY(IMPORTRANGE(""https://docs.google.com/spreadsheets/d/1E4szPcLzsqlw4uyBAoJ61L1ChCgpz4wVP8tHfHW1g_c"",""BD M Sangrias!a:i""),""select Col6 where Col7 = 'Depositada' and Col9 = '""&amp;K125&amp;""' and Col6 ="&amp;" ""&amp;M125&amp;"" and Col4 = date '""&amp;YEAR(C125)&amp;""-""&amp;MONTH(C125)&amp;""-""&amp;DAY(C125)&amp;""'""))&gt;0,""Depositada"",if(sum(QUERY(IMPORTRANGE(""https://docs.google.com/spreadsheets/d/1EcLIvUgMoBC5as4ikW0wuQsGH5yVZ6cQ1y16qEfgPnk"",""BD M Sangrias!a:i""),""select Col6 whe"&amp;"re Col7 = 'Caixa Atendimento' and Col9 = '""&amp;K125&amp;""' and Col6 = ""&amp;M125&amp;"" and Col4 = date '""&amp;YEAR(C125)&amp;""-""&amp;MONTH(C125)&amp;""-""&amp;DAY(C125)&amp;""'""))&gt;0,""Caixa Atendimento"",""Caixa Sangria"")),""""),""Caixa Sangria"")"),"")</f>
        <v/>
      </c>
      <c r="M125" s="185">
        <f>IFERROR(__xludf.DUMMYFUNCTION("ifna(VALUE(REGEXEXTRACT(E125,""[0-9.]+[,]+[0-9]+"")))"),36.23)</f>
        <v>36.23</v>
      </c>
      <c r="N125" s="229"/>
      <c r="O125" s="221"/>
      <c r="P125" s="221"/>
      <c r="Q125" s="231" t="str">
        <f t="shared" si="2"/>
        <v/>
      </c>
      <c r="R125" s="221" t="str">
        <f t="shared" si="3"/>
        <v/>
      </c>
      <c r="S125" s="232" t="str">
        <f t="shared" si="4"/>
        <v/>
      </c>
      <c r="T125" s="185"/>
      <c r="U125" s="185"/>
      <c r="V125" s="185"/>
    </row>
    <row r="126" ht="14.25" customHeight="1">
      <c r="A126" s="178"/>
      <c r="B126" s="12">
        <v>1631849.0</v>
      </c>
      <c r="C126" s="13">
        <v>45887.932534722226</v>
      </c>
      <c r="D126" s="179" t="s">
        <v>81</v>
      </c>
      <c r="E126" s="180" t="s">
        <v>5868</v>
      </c>
      <c r="F126" s="188"/>
      <c r="G126" s="179" t="s">
        <v>629</v>
      </c>
      <c r="H126" s="190"/>
      <c r="I126" s="190"/>
      <c r="J126" s="187" t="s">
        <v>2438</v>
      </c>
      <c r="K126" s="187"/>
      <c r="L126" s="184" t="str">
        <f>IFERROR(__xludf.DUMMYFUNCTION("ifna(IF(and(D126=""Saída"",J126=""Sangria""),if(sum(QUERY(IMPORTRANGE(""https://docs.google.com/spreadsheets/d/1E4szPcLzsqlw4uyBAoJ61L1ChCgpz4wVP8tHfHW1g_c"",""BD M Sangrias!a:i""),""select Col6 where Col7 = 'Depositada' and Col9 = '""&amp;K126&amp;""' and Col6 ="&amp;" ""&amp;M126&amp;"" and Col4 = date '""&amp;YEAR(C126)&amp;""-""&amp;MONTH(C126)&amp;""-""&amp;DAY(C126)&amp;""'""))&gt;0,""Depositada"",if(sum(QUERY(IMPORTRANGE(""https://docs.google.com/spreadsheets/d/1EcLIvUgMoBC5as4ikW0wuQsGH5yVZ6cQ1y16qEfgPnk"",""BD M Sangrias!a:i""),""select Col6 whe"&amp;"re Col7 = 'Caixa Atendimento' and Col9 = '""&amp;K126&amp;""' and Col6 = ""&amp;M126&amp;"" and Col4 = date '""&amp;YEAR(C126)&amp;""-""&amp;MONTH(C126)&amp;""-""&amp;DAY(C126)&amp;""'""))&gt;0,""Caixa Atendimento"",""Caixa Sangria"")),""""),""Caixa Sangria"")"),"")</f>
        <v/>
      </c>
      <c r="M126" s="185">
        <f>IFERROR(__xludf.DUMMYFUNCTION("ifna(VALUE(REGEXEXTRACT(E126,""[0-9.]+[,]+[0-9]+"")))"),11.2)</f>
        <v>11.2</v>
      </c>
      <c r="N126" s="226"/>
      <c r="O126" s="220"/>
      <c r="P126" s="220"/>
      <c r="Q126" s="228" t="str">
        <f t="shared" si="2"/>
        <v/>
      </c>
      <c r="R126" s="220" t="str">
        <f t="shared" si="3"/>
        <v/>
      </c>
      <c r="S126" s="232" t="str">
        <f t="shared" si="4"/>
        <v/>
      </c>
      <c r="T126" s="185"/>
      <c r="U126" s="185"/>
      <c r="V126" s="185"/>
    </row>
    <row r="127" ht="14.25" customHeight="1">
      <c r="A127" s="178"/>
      <c r="B127" s="12">
        <v>1632424.0</v>
      </c>
      <c r="C127" s="13">
        <v>45888.66212962963</v>
      </c>
      <c r="D127" s="179" t="s">
        <v>81</v>
      </c>
      <c r="E127" s="180" t="s">
        <v>5872</v>
      </c>
      <c r="F127" s="181"/>
      <c r="G127" s="179" t="s">
        <v>1126</v>
      </c>
      <c r="H127" s="190"/>
      <c r="I127" s="190"/>
      <c r="J127" s="187" t="s">
        <v>2669</v>
      </c>
      <c r="K127" s="187"/>
      <c r="L127" s="184" t="str">
        <f>IFERROR(__xludf.DUMMYFUNCTION("ifna(IF(and(D127=""Saída"",J127=""Sangria""),if(sum(QUERY(IMPORTRANGE(""https://docs.google.com/spreadsheets/d/1E4szPcLzsqlw4uyBAoJ61L1ChCgpz4wVP8tHfHW1g_c"",""BD M Sangrias!a:i""),""select Col6 where Col7 = 'Depositada' and Col9 = '""&amp;K127&amp;""' and Col6 ="&amp;" ""&amp;M127&amp;"" and Col4 = date '""&amp;YEAR(C127)&amp;""-""&amp;MONTH(C127)&amp;""-""&amp;DAY(C127)&amp;""'""))&gt;0,""Depositada"",if(sum(QUERY(IMPORTRANGE(""https://docs.google.com/spreadsheets/d/1EcLIvUgMoBC5as4ikW0wuQsGH5yVZ6cQ1y16qEfgPnk"",""BD M Sangrias!a:i""),""select Col6 whe"&amp;"re Col7 = 'Caixa Atendimento' and Col9 = '""&amp;K127&amp;""' and Col6 = ""&amp;M127&amp;"" and Col4 = date '""&amp;YEAR(C127)&amp;""-""&amp;MONTH(C127)&amp;""-""&amp;DAY(C127)&amp;""'""))&gt;0,""Caixa Atendimento"",""Caixa Sangria"")),""""),""Caixa Sangria"")"),"")</f>
        <v/>
      </c>
      <c r="M127" s="185">
        <f>IFERROR(__xludf.DUMMYFUNCTION("ifna(VALUE(REGEXEXTRACT(E127,""[0-9.]+[,]+[0-9]+"")))"),25.0)</f>
        <v>25</v>
      </c>
      <c r="N127" s="229"/>
      <c r="O127" s="221"/>
      <c r="P127" s="221"/>
      <c r="Q127" s="231" t="str">
        <f t="shared" si="2"/>
        <v/>
      </c>
      <c r="R127" s="221" t="str">
        <f t="shared" si="3"/>
        <v/>
      </c>
      <c r="S127" s="232" t="str">
        <f t="shared" si="4"/>
        <v/>
      </c>
      <c r="T127" s="185"/>
      <c r="U127" s="185"/>
      <c r="V127" s="185"/>
    </row>
    <row r="128" ht="14.25" customHeight="1">
      <c r="A128" s="178"/>
      <c r="B128" s="12">
        <v>1632696.0</v>
      </c>
      <c r="C128" s="13">
        <v>45888.73626157407</v>
      </c>
      <c r="D128" s="179" t="s">
        <v>81</v>
      </c>
      <c r="E128" s="180" t="s">
        <v>5878</v>
      </c>
      <c r="F128" s="181"/>
      <c r="G128" s="179" t="s">
        <v>4041</v>
      </c>
      <c r="H128" s="190"/>
      <c r="I128" s="190"/>
      <c r="J128" s="187" t="s">
        <v>3151</v>
      </c>
      <c r="K128" s="187"/>
      <c r="L128" s="184" t="str">
        <f>IFERROR(__xludf.DUMMYFUNCTION("ifna(IF(and(D128=""Saída"",J128=""Sangria""),if(sum(QUERY(IMPORTRANGE(""https://docs.google.com/spreadsheets/d/1E4szPcLzsqlw4uyBAoJ61L1ChCgpz4wVP8tHfHW1g_c"",""BD M Sangrias!a:i""),""select Col6 where Col7 = 'Depositada' and Col9 = '""&amp;K128&amp;""' and Col6 ="&amp;" ""&amp;M128&amp;"" and Col4 = date '""&amp;YEAR(C128)&amp;""-""&amp;MONTH(C128)&amp;""-""&amp;DAY(C128)&amp;""'""))&gt;0,""Depositada"",if(sum(QUERY(IMPORTRANGE(""https://docs.google.com/spreadsheets/d/1EcLIvUgMoBC5as4ikW0wuQsGH5yVZ6cQ1y16qEfgPnk"",""BD M Sangrias!a:i""),""select Col6 whe"&amp;"re Col7 = 'Caixa Atendimento' and Col9 = '""&amp;K128&amp;""' and Col6 = ""&amp;M128&amp;"" and Col4 = date '""&amp;YEAR(C128)&amp;""-""&amp;MONTH(C128)&amp;""-""&amp;DAY(C128)&amp;""'""))&gt;0,""Caixa Atendimento"",""Caixa Sangria"")),""""),""Caixa Sangria"")"),"")</f>
        <v/>
      </c>
      <c r="M128" s="185">
        <f>IFERROR(__xludf.DUMMYFUNCTION("ifna(VALUE(REGEXEXTRACT(E128,""[0-9.]+[,]+[0-9]+"")))"),186.75)</f>
        <v>186.75</v>
      </c>
      <c r="N128" s="226"/>
      <c r="O128" s="220"/>
      <c r="P128" s="220"/>
      <c r="Q128" s="228" t="str">
        <f t="shared" si="2"/>
        <v/>
      </c>
      <c r="R128" s="220" t="str">
        <f t="shared" si="3"/>
        <v/>
      </c>
      <c r="S128" s="232" t="str">
        <f t="shared" si="4"/>
        <v/>
      </c>
      <c r="T128" s="185"/>
      <c r="U128" s="185"/>
      <c r="V128" s="185"/>
    </row>
    <row r="129" ht="14.25" customHeight="1">
      <c r="A129" s="178"/>
      <c r="B129" s="12">
        <v>1632699.0</v>
      </c>
      <c r="C129" s="13">
        <v>45888.73646990741</v>
      </c>
      <c r="D129" s="179" t="s">
        <v>81</v>
      </c>
      <c r="E129" s="180" t="s">
        <v>5882</v>
      </c>
      <c r="F129" s="181"/>
      <c r="G129" s="179" t="s">
        <v>5884</v>
      </c>
      <c r="H129" s="190"/>
      <c r="I129" s="190"/>
      <c r="J129" s="187" t="s">
        <v>3151</v>
      </c>
      <c r="K129" s="187"/>
      <c r="L129" s="184" t="str">
        <f>IFERROR(__xludf.DUMMYFUNCTION("ifna(IF(and(D129=""Saída"",J129=""Sangria""),if(sum(QUERY(IMPORTRANGE(""https://docs.google.com/spreadsheets/d/1E4szPcLzsqlw4uyBAoJ61L1ChCgpz4wVP8tHfHW1g_c"",""BD M Sangrias!a:i""),""select Col6 where Col7 = 'Depositada' and Col9 = '""&amp;K129&amp;""' and Col6 ="&amp;" ""&amp;M129&amp;"" and Col4 = date '""&amp;YEAR(C129)&amp;""-""&amp;MONTH(C129)&amp;""-""&amp;DAY(C129)&amp;""'""))&gt;0,""Depositada"",if(sum(QUERY(IMPORTRANGE(""https://docs.google.com/spreadsheets/d/1EcLIvUgMoBC5as4ikW0wuQsGH5yVZ6cQ1y16qEfgPnk"",""BD M Sangrias!a:i""),""select Col6 whe"&amp;"re Col7 = 'Caixa Atendimento' and Col9 = '""&amp;K129&amp;""' and Col6 = ""&amp;M129&amp;"" and Col4 = date '""&amp;YEAR(C129)&amp;""-""&amp;MONTH(C129)&amp;""-""&amp;DAY(C129)&amp;""'""))&gt;0,""Caixa Atendimento"",""Caixa Sangria"")),""""),""Caixa Sangria"")"),"")</f>
        <v/>
      </c>
      <c r="M129" s="185">
        <f>IFERROR(__xludf.DUMMYFUNCTION("ifna(VALUE(REGEXEXTRACT(E129,""[0-9.]+[,]+[0-9]+"")))"),5.49)</f>
        <v>5.49</v>
      </c>
      <c r="N129" s="229"/>
      <c r="O129" s="221"/>
      <c r="P129" s="221"/>
      <c r="Q129" s="231" t="str">
        <f t="shared" si="2"/>
        <v/>
      </c>
      <c r="R129" s="221" t="str">
        <f t="shared" si="3"/>
        <v/>
      </c>
      <c r="S129" s="232" t="str">
        <f t="shared" si="4"/>
        <v/>
      </c>
      <c r="T129" s="185"/>
      <c r="U129" s="185"/>
      <c r="V129" s="185"/>
    </row>
    <row r="130" ht="14.25" customHeight="1">
      <c r="A130" s="178"/>
      <c r="B130" s="12">
        <v>1632729.0</v>
      </c>
      <c r="C130" s="13">
        <v>45888.746203703704</v>
      </c>
      <c r="D130" s="179" t="s">
        <v>81</v>
      </c>
      <c r="E130" s="180" t="s">
        <v>5890</v>
      </c>
      <c r="F130" s="181"/>
      <c r="G130" s="179" t="s">
        <v>544</v>
      </c>
      <c r="H130" s="190"/>
      <c r="I130" s="190"/>
      <c r="J130" s="187" t="s">
        <v>2019</v>
      </c>
      <c r="K130" s="187" t="s">
        <v>2078</v>
      </c>
      <c r="L130" s="184" t="str">
        <f>IFERROR(__xludf.DUMMYFUNCTION("ifna(IF(and(D130=""Saída"",J130=""Sangria""),if(sum(QUERY(IMPORTRANGE(""https://docs.google.com/spreadsheets/d/1E4szPcLzsqlw4uyBAoJ61L1ChCgpz4wVP8tHfHW1g_c"",""BD M Sangrias!a:i""),""select Col6 where Col7 = 'Depositada' and Col9 = '""&amp;K130&amp;""' and Col6 ="&amp;" ""&amp;M130&amp;"" and Col4 = date '""&amp;YEAR(C130)&amp;""-""&amp;MONTH(C130)&amp;""-""&amp;DAY(C130)&amp;""'""))&gt;0,""Depositada"",if(sum(QUERY(IMPORTRANGE(""https://docs.google.com/spreadsheets/d/1EcLIvUgMoBC5as4ikW0wuQsGH5yVZ6cQ1y16qEfgPnk"",""BD M Sangrias!a:i""),""select Col6 whe"&amp;"re Col7 = 'Caixa Atendimento' and Col9 = '""&amp;K130&amp;""' and Col6 = ""&amp;M130&amp;"" and Col4 = date '""&amp;YEAR(C130)&amp;""-""&amp;MONTH(C130)&amp;""-""&amp;DAY(C130)&amp;""'""))&gt;0,""Caixa Atendimento"",""Caixa Sangria"")),""""),""Caixa Sangria"")"),"")</f>
        <v/>
      </c>
      <c r="M130" s="185">
        <f>IFERROR(__xludf.DUMMYFUNCTION("ifna(VALUE(REGEXEXTRACT(E130,""[0-9.]+[,]+[0-9]+"")))"),15.1)</f>
        <v>15.1</v>
      </c>
      <c r="N130" s="226"/>
      <c r="O130" s="220"/>
      <c r="P130" s="220"/>
      <c r="Q130" s="228" t="str">
        <f t="shared" si="2"/>
        <v/>
      </c>
      <c r="R130" s="220" t="str">
        <f t="shared" si="3"/>
        <v/>
      </c>
      <c r="S130" s="232" t="str">
        <f t="shared" si="4"/>
        <v/>
      </c>
      <c r="T130" s="185"/>
      <c r="U130" s="185"/>
      <c r="V130" s="185"/>
    </row>
    <row r="131" ht="14.25" customHeight="1">
      <c r="A131" s="178"/>
      <c r="B131" s="12">
        <v>1632733.0</v>
      </c>
      <c r="C131" s="13">
        <v>45888.74730324074</v>
      </c>
      <c r="D131" s="179" t="s">
        <v>81</v>
      </c>
      <c r="E131" s="180" t="s">
        <v>5897</v>
      </c>
      <c r="F131" s="181"/>
      <c r="G131" s="179" t="s">
        <v>5899</v>
      </c>
      <c r="H131" s="190"/>
      <c r="I131" s="190"/>
      <c r="J131" s="233" t="s">
        <v>5900</v>
      </c>
      <c r="K131" s="187"/>
      <c r="L131" s="184" t="str">
        <f>IFERROR(__xludf.DUMMYFUNCTION("ifna(IF(and(D131=""Saída"",J131=""Sangria""),if(sum(QUERY(IMPORTRANGE(""https://docs.google.com/spreadsheets/d/1E4szPcLzsqlw4uyBAoJ61L1ChCgpz4wVP8tHfHW1g_c"",""BD M Sangrias!a:i""),""select Col6 where Col7 = 'Depositada' and Col9 = '""&amp;K131&amp;""' and Col6 ="&amp;" ""&amp;M131&amp;"" and Col4 = date '""&amp;YEAR(C131)&amp;""-""&amp;MONTH(C131)&amp;""-""&amp;DAY(C131)&amp;""'""))&gt;0,""Depositada"",if(sum(QUERY(IMPORTRANGE(""https://docs.google.com/spreadsheets/d/1EcLIvUgMoBC5as4ikW0wuQsGH5yVZ6cQ1y16qEfgPnk"",""BD M Sangrias!a:i""),""select Col6 whe"&amp;"re Col7 = 'Caixa Atendimento' and Col9 = '""&amp;K131&amp;""' and Col6 = ""&amp;M131&amp;"" and Col4 = date '""&amp;YEAR(C131)&amp;""-""&amp;MONTH(C131)&amp;""-""&amp;DAY(C131)&amp;""'""))&gt;0,""Caixa Atendimento"",""Caixa Sangria"")),""""),""Caixa Sangria"")"),"")</f>
        <v/>
      </c>
      <c r="M131" s="185">
        <f>IFERROR(__xludf.DUMMYFUNCTION("ifna(VALUE(REGEXEXTRACT(E131,""[0-9.]+[,]+[0-9]+"")))"),19.75)</f>
        <v>19.75</v>
      </c>
      <c r="N131" s="229"/>
      <c r="O131" s="221"/>
      <c r="P131" s="221"/>
      <c r="Q131" s="231" t="str">
        <f t="shared" si="2"/>
        <v/>
      </c>
      <c r="R131" s="221" t="str">
        <f t="shared" si="3"/>
        <v/>
      </c>
      <c r="S131" s="232" t="str">
        <f t="shared" si="4"/>
        <v/>
      </c>
      <c r="T131" s="185"/>
      <c r="U131" s="185"/>
      <c r="V131" s="185"/>
    </row>
    <row r="132" ht="14.25" customHeight="1">
      <c r="A132" s="178"/>
      <c r="B132" s="12">
        <v>1632735.0</v>
      </c>
      <c r="C132" s="13">
        <v>45888.74780092593</v>
      </c>
      <c r="D132" s="179" t="s">
        <v>81</v>
      </c>
      <c r="E132" s="180" t="s">
        <v>296</v>
      </c>
      <c r="F132" s="181"/>
      <c r="G132" s="179" t="s">
        <v>4071</v>
      </c>
      <c r="H132" s="190"/>
      <c r="I132" s="190"/>
      <c r="J132" s="187" t="s">
        <v>2735</v>
      </c>
      <c r="K132" s="187" t="s">
        <v>2018</v>
      </c>
      <c r="L132" s="184" t="str">
        <f>IFERROR(__xludf.DUMMYFUNCTION("ifna(IF(and(D132=""Saída"",J132=""Sangria""),if(sum(QUERY(IMPORTRANGE(""https://docs.google.com/spreadsheets/d/1E4szPcLzsqlw4uyBAoJ61L1ChCgpz4wVP8tHfHW1g_c"",""BD M Sangrias!a:i""),""select Col6 where Col7 = 'Depositada' and Col9 = '""&amp;K132&amp;""' and Col6 ="&amp;" ""&amp;M132&amp;"" and Col4 = date '""&amp;YEAR(C132)&amp;""-""&amp;MONTH(C132)&amp;""-""&amp;DAY(C132)&amp;""'""))&gt;0,""Depositada"",if(sum(QUERY(IMPORTRANGE(""https://docs.google.com/spreadsheets/d/1EcLIvUgMoBC5as4ikW0wuQsGH5yVZ6cQ1y16qEfgPnk"",""BD M Sangrias!a:i""),""select Col6 whe"&amp;"re Col7 = 'Caixa Atendimento' and Col9 = '""&amp;K132&amp;""' and Col6 = ""&amp;M132&amp;"" and Col4 = date '""&amp;YEAR(C132)&amp;""-""&amp;MONTH(C132)&amp;""-""&amp;DAY(C132)&amp;""'""))&gt;0,""Caixa Atendimento"",""Caixa Sangria"")),""""),""Caixa Sangria"")"),"#REF!")</f>
        <v>#REF!</v>
      </c>
      <c r="M132" s="185">
        <f>IFERROR(__xludf.DUMMYFUNCTION("ifna(VALUE(REGEXEXTRACT(E132,""[0-9.]+[,]+[0-9]+"")))"),650.0)</f>
        <v>650</v>
      </c>
      <c r="N132" s="226"/>
      <c r="O132" s="220"/>
      <c r="P132" s="220"/>
      <c r="Q132" s="228" t="str">
        <f t="shared" si="2"/>
        <v/>
      </c>
      <c r="R132" s="220" t="str">
        <f t="shared" si="3"/>
        <v/>
      </c>
      <c r="S132" s="232" t="str">
        <f t="shared" si="4"/>
        <v/>
      </c>
      <c r="T132" s="185"/>
      <c r="U132" s="185"/>
      <c r="V132" s="185"/>
    </row>
    <row r="133" ht="14.25" customHeight="1">
      <c r="A133" s="178"/>
      <c r="B133" s="12">
        <v>1632771.0</v>
      </c>
      <c r="C133" s="13">
        <v>45888.75644675926</v>
      </c>
      <c r="D133" s="179" t="s">
        <v>81</v>
      </c>
      <c r="E133" s="180" t="s">
        <v>416</v>
      </c>
      <c r="F133" s="188"/>
      <c r="G133" s="179" t="s">
        <v>5718</v>
      </c>
      <c r="H133" s="190"/>
      <c r="I133" s="190"/>
      <c r="J133" s="16" t="s">
        <v>5900</v>
      </c>
      <c r="K133" s="187"/>
      <c r="L133" s="184" t="str">
        <f>IFERROR(__xludf.DUMMYFUNCTION("ifna(IF(and(D133=""Saída"",J132=""Sangria""),if(sum(QUERY(IMPORTRANGE(""https://docs.google.com/spreadsheets/d/1E4szPcLzsqlw4uyBAoJ61L1ChCgpz4wVP8tHfHW1g_c"",""BD M Sangrias!a:i""),""select Col6 where Col7 = 'Depositada' and Col9 = '""&amp;K133&amp;""' and Col6 ="&amp;" ""&amp;M133&amp;"" and Col4 = date '""&amp;YEAR(C133)&amp;""-""&amp;MONTH(C133)&amp;""-""&amp;DAY(C133)&amp;""'""))&gt;0,""Depositada"",if(sum(QUERY(IMPORTRANGE(""https://docs.google.com/spreadsheets/d/1EcLIvUgMoBC5as4ikW0wuQsGH5yVZ6cQ1y16qEfgPnk"",""BD M Sangrias!a:i""),""select Col6 whe"&amp;"re Col7 = 'Caixa Atendimento' and Col9 = '""&amp;K133&amp;""' and Col6 = ""&amp;M133&amp;"" and Col4 = date '""&amp;YEAR(C133)&amp;""-""&amp;MONTH(C133)&amp;""-""&amp;DAY(C133)&amp;""'""))&gt;0,""Caixa Atendimento"",""Caixa Sangria"")),""""),""Caixa Sangria"")"),"#REF!")</f>
        <v>#REF!</v>
      </c>
      <c r="M133" s="185">
        <f>IFERROR(__xludf.DUMMYFUNCTION("ifna(VALUE(REGEXEXTRACT(E133,""[0-9.]+[,]+[0-9]+"")))"),100.0)</f>
        <v>100</v>
      </c>
      <c r="N133" s="235"/>
      <c r="O133" s="236"/>
      <c r="P133" s="236"/>
      <c r="Q133" s="237" t="str">
        <f t="shared" si="2"/>
        <v/>
      </c>
      <c r="R133" s="236" t="str">
        <f t="shared" si="3"/>
        <v/>
      </c>
      <c r="S133" s="232" t="str">
        <f t="shared" si="4"/>
        <v/>
      </c>
      <c r="T133" s="185"/>
      <c r="U133" s="185"/>
      <c r="V133" s="185"/>
    </row>
    <row r="134" ht="14.25" customHeight="1">
      <c r="A134" s="178"/>
      <c r="B134" s="12">
        <v>1633835.0</v>
      </c>
      <c r="C134" s="13">
        <v>45889.64766203704</v>
      </c>
      <c r="D134" s="179" t="s">
        <v>152</v>
      </c>
      <c r="E134" s="180" t="s">
        <v>335</v>
      </c>
      <c r="F134" s="181"/>
      <c r="G134" s="179" t="s">
        <v>1126</v>
      </c>
      <c r="H134" s="190"/>
      <c r="I134" s="190"/>
      <c r="J134" s="187" t="s">
        <v>2669</v>
      </c>
      <c r="K134" s="187"/>
      <c r="L134" s="184" t="str">
        <f>IFERROR(__xludf.DUMMYFUNCTION("ifna(IF(and(D134=""Saída"",J134=""Sangria""),if(sum(QUERY(IMPORTRANGE(""https://docs.google.com/spreadsheets/d/1E4szPcLzsqlw4uyBAoJ61L1ChCgpz4wVP8tHfHW1g_c"",""BD M Sangrias!a:i""),""select Col6 where Col7 = 'Depositada' and Col9 = '""&amp;K134&amp;""' and Col6 ="&amp;" ""&amp;M134&amp;"" and Col4 = date '""&amp;YEAR(C134)&amp;""-""&amp;MONTH(C134)&amp;""-""&amp;DAY(C134)&amp;""'""))&gt;0,""Depositada"",if(sum(QUERY(IMPORTRANGE(""https://docs.google.com/spreadsheets/d/1EcLIvUgMoBC5as4ikW0wuQsGH5yVZ6cQ1y16qEfgPnk"",""BD M Sangrias!a:i""),""select Col6 whe"&amp;"re Col7 = 'Caixa Atendimento' and Col9 = '""&amp;K134&amp;""' and Col6 = ""&amp;M134&amp;"" and Col4 = date '""&amp;YEAR(C134)&amp;""-""&amp;MONTH(C134)&amp;""-""&amp;DAY(C134)&amp;""'""))&gt;0,""Caixa Atendimento"",""Caixa Sangria"")),""""),""Caixa Sangria"")"),"")</f>
        <v/>
      </c>
      <c r="M134" s="185">
        <f>IFERROR(__xludf.DUMMYFUNCTION("ifna(VALUE(REGEXEXTRACT(E134,""[0-9.]+[,]+[0-9]+"")))"),10.0)</f>
        <v>10</v>
      </c>
      <c r="N134" s="235"/>
      <c r="O134" s="236"/>
      <c r="P134" s="236"/>
      <c r="Q134" s="237" t="str">
        <f t="shared" si="2"/>
        <v/>
      </c>
      <c r="R134" s="236" t="str">
        <f t="shared" si="3"/>
        <v/>
      </c>
      <c r="S134" s="232" t="str">
        <f t="shared" si="4"/>
        <v/>
      </c>
      <c r="T134" s="185"/>
      <c r="U134" s="185"/>
      <c r="V134" s="185"/>
    </row>
    <row r="135" ht="14.25" customHeight="1">
      <c r="A135" s="178"/>
      <c r="B135" s="12">
        <v>1633838.0</v>
      </c>
      <c r="C135" s="13">
        <v>45889.649502314816</v>
      </c>
      <c r="D135" s="179" t="s">
        <v>81</v>
      </c>
      <c r="E135" s="180" t="s">
        <v>3486</v>
      </c>
      <c r="F135" s="181"/>
      <c r="G135" s="179" t="s">
        <v>3907</v>
      </c>
      <c r="H135" s="190"/>
      <c r="I135" s="190"/>
      <c r="J135" s="187" t="s">
        <v>2735</v>
      </c>
      <c r="K135" s="187" t="s">
        <v>2018</v>
      </c>
      <c r="L135" s="184" t="str">
        <f>IFERROR(__xludf.DUMMYFUNCTION("ifna(IF(and(D135=""Saída"",J135=""Sangria""),if(sum(QUERY(IMPORTRANGE(""https://docs.google.com/spreadsheets/d/1E4szPcLzsqlw4uyBAoJ61L1ChCgpz4wVP8tHfHW1g_c"",""BD M Sangrias!a:i""),""select Col6 where Col7 = 'Depositada' and Col9 = '""&amp;K135&amp;""' and Col6 ="&amp;" ""&amp;M135&amp;"" and Col4 = date '""&amp;YEAR(C135)&amp;""-""&amp;MONTH(C135)&amp;""-""&amp;DAY(C135)&amp;""'""))&gt;0,""Depositada"",if(sum(QUERY(IMPORTRANGE(""https://docs.google.com/spreadsheets/d/1EcLIvUgMoBC5as4ikW0wuQsGH5yVZ6cQ1y16qEfgPnk"",""BD M Sangrias!a:i""),""select Col6 whe"&amp;"re Col7 = 'Caixa Atendimento' and Col9 = '""&amp;K135&amp;""' and Col6 = ""&amp;M135&amp;"" and Col4 = date '""&amp;YEAR(C135)&amp;""-""&amp;MONTH(C135)&amp;""-""&amp;DAY(C135)&amp;""'""))&gt;0,""Caixa Atendimento"",""Caixa Sangria"")),""""),""Caixa Sangria"")"),"#REF!")</f>
        <v>#REF!</v>
      </c>
      <c r="M135" s="185">
        <f>IFERROR(__xludf.DUMMYFUNCTION("ifna(VALUE(REGEXEXTRACT(E135,""[0-9.]+[,]+[0-9]+"")))"),500.0)</f>
        <v>500</v>
      </c>
      <c r="N135" s="235"/>
      <c r="O135" s="236"/>
      <c r="P135" s="236"/>
      <c r="Q135" s="237" t="str">
        <f t="shared" si="2"/>
        <v/>
      </c>
      <c r="R135" s="236" t="str">
        <f t="shared" si="3"/>
        <v/>
      </c>
      <c r="S135" s="232" t="str">
        <f t="shared" si="4"/>
        <v/>
      </c>
      <c r="T135" s="185"/>
      <c r="U135" s="185"/>
      <c r="V135" s="185"/>
    </row>
    <row r="136" ht="14.25" customHeight="1">
      <c r="A136" s="178"/>
      <c r="B136" s="12">
        <v>1634006.0</v>
      </c>
      <c r="C136" s="13">
        <v>45889.70638888889</v>
      </c>
      <c r="D136" s="179" t="s">
        <v>81</v>
      </c>
      <c r="E136" s="180" t="s">
        <v>184</v>
      </c>
      <c r="F136" s="181"/>
      <c r="G136" s="179" t="s">
        <v>3907</v>
      </c>
      <c r="H136" s="190"/>
      <c r="I136" s="190"/>
      <c r="J136" s="187" t="s">
        <v>2735</v>
      </c>
      <c r="K136" s="187" t="s">
        <v>2018</v>
      </c>
      <c r="L136" s="184" t="str">
        <f>IFERROR(__xludf.DUMMYFUNCTION("ifna(IF(and(D136=""Saída"",J136=""Sangria""),if(sum(QUERY(IMPORTRANGE(""https://docs.google.com/spreadsheets/d/1E4szPcLzsqlw4uyBAoJ61L1ChCgpz4wVP8tHfHW1g_c"",""BD M Sangrias!a:i""),""select Col6 where Col7 = 'Depositada' and Col9 = '""&amp;K136&amp;""' and Col6 ="&amp;" ""&amp;M136&amp;"" and Col4 = date '""&amp;YEAR(C136)&amp;""-""&amp;MONTH(C136)&amp;""-""&amp;DAY(C136)&amp;""'""))&gt;0,""Depositada"",if(sum(QUERY(IMPORTRANGE(""https://docs.google.com/spreadsheets/d/1EcLIvUgMoBC5as4ikW0wuQsGH5yVZ6cQ1y16qEfgPnk"",""BD M Sangrias!a:i""),""select Col6 whe"&amp;"re Col7 = 'Caixa Atendimento' and Col9 = '""&amp;K136&amp;""' and Col6 = ""&amp;M136&amp;"" and Col4 = date '""&amp;YEAR(C136)&amp;""-""&amp;MONTH(C136)&amp;""-""&amp;DAY(C136)&amp;""'""))&gt;0,""Caixa Atendimento"",""Caixa Sangria"")),""""),""Caixa Sangria"")"),"#REF!")</f>
        <v>#REF!</v>
      </c>
      <c r="M136" s="185">
        <f>IFERROR(__xludf.DUMMYFUNCTION("ifna(VALUE(REGEXEXTRACT(E136,""[0-9.]+[,]+[0-9]+"")))"),450.0)</f>
        <v>450</v>
      </c>
      <c r="N136" s="235"/>
      <c r="O136" s="236"/>
      <c r="P136" s="236"/>
      <c r="Q136" s="237" t="str">
        <f t="shared" si="2"/>
        <v/>
      </c>
      <c r="R136" s="236" t="str">
        <f t="shared" si="3"/>
        <v/>
      </c>
      <c r="S136" s="232" t="str">
        <f t="shared" si="4"/>
        <v/>
      </c>
      <c r="T136" s="185"/>
      <c r="U136" s="185"/>
      <c r="V136" s="185"/>
    </row>
    <row r="137" ht="14.25" customHeight="1">
      <c r="A137" s="178"/>
      <c r="B137" s="12">
        <v>1634773.0</v>
      </c>
      <c r="C137" s="13">
        <v>45889.93664351852</v>
      </c>
      <c r="D137" s="179" t="s">
        <v>81</v>
      </c>
      <c r="E137" s="180" t="s">
        <v>659</v>
      </c>
      <c r="F137" s="188"/>
      <c r="G137" s="179" t="s">
        <v>544</v>
      </c>
      <c r="H137" s="190"/>
      <c r="I137" s="190"/>
      <c r="J137" s="187" t="s">
        <v>2019</v>
      </c>
      <c r="K137" s="187" t="s">
        <v>2078</v>
      </c>
      <c r="L137" s="184" t="str">
        <f>IFERROR(__xludf.DUMMYFUNCTION("ifna(IF(and(D137=""Saída"",J137=""Sangria""),if(sum(QUERY(IMPORTRANGE(""https://docs.google.com/spreadsheets/d/1E4szPcLzsqlw4uyBAoJ61L1ChCgpz4wVP8tHfHW1g_c"",""BD M Sangrias!a:i""),""select Col6 where Col7 = 'Depositada' and Col9 = '""&amp;K137&amp;""' and Col6 ="&amp;" ""&amp;M137&amp;"" and Col4 = date '""&amp;YEAR(C137)&amp;""-""&amp;MONTH(C137)&amp;""-""&amp;DAY(C137)&amp;""'""))&gt;0,""Depositada"",if(sum(QUERY(IMPORTRANGE(""https://docs.google.com/spreadsheets/d/1EcLIvUgMoBC5as4ikW0wuQsGH5yVZ6cQ1y16qEfgPnk"",""BD M Sangrias!a:i""),""select Col6 whe"&amp;"re Col7 = 'Caixa Atendimento' and Col9 = '""&amp;K137&amp;""' and Col6 = ""&amp;M137&amp;"" and Col4 = date '""&amp;YEAR(C137)&amp;""-""&amp;MONTH(C137)&amp;""-""&amp;DAY(C137)&amp;""'""))&gt;0,""Caixa Atendimento"",""Caixa Sangria"")),""""),""Caixa Sangria"")"),"")</f>
        <v/>
      </c>
      <c r="M137" s="185">
        <f>IFERROR(__xludf.DUMMYFUNCTION("ifna(VALUE(REGEXEXTRACT(E137,""[0-9.]+[,]+[0-9]+"")))"),5.0)</f>
        <v>5</v>
      </c>
      <c r="N137" s="235"/>
      <c r="O137" s="236"/>
      <c r="P137" s="236"/>
      <c r="Q137" s="237" t="str">
        <f t="shared" si="2"/>
        <v/>
      </c>
      <c r="R137" s="236" t="str">
        <f t="shared" si="3"/>
        <v/>
      </c>
      <c r="S137" s="232" t="str">
        <f t="shared" si="4"/>
        <v/>
      </c>
      <c r="T137" s="185"/>
      <c r="U137" s="185"/>
      <c r="V137" s="185"/>
    </row>
    <row r="138" ht="14.25" customHeight="1">
      <c r="A138" s="178"/>
      <c r="B138" s="12">
        <v>1635571.0</v>
      </c>
      <c r="C138" s="13">
        <v>45890.714525462965</v>
      </c>
      <c r="D138" s="179" t="s">
        <v>81</v>
      </c>
      <c r="E138" s="180" t="s">
        <v>296</v>
      </c>
      <c r="F138" s="181"/>
      <c r="G138" s="179" t="s">
        <v>4071</v>
      </c>
      <c r="H138" s="190"/>
      <c r="I138" s="190"/>
      <c r="J138" s="187" t="s">
        <v>2735</v>
      </c>
      <c r="K138" s="187" t="s">
        <v>2018</v>
      </c>
      <c r="L138" s="184" t="str">
        <f>IFERROR(__xludf.DUMMYFUNCTION("ifna(IF(and(D138=""Saída"",J138=""Sangria""),if(sum(QUERY(IMPORTRANGE(""https://docs.google.com/spreadsheets/d/1E4szPcLzsqlw4uyBAoJ61L1ChCgpz4wVP8tHfHW1g_c"",""BD M Sangrias!a:i""),""select Col6 where Col7 = 'Depositada' and Col9 = '""&amp;K138&amp;""' and Col6 ="&amp;" ""&amp;M138&amp;"" and Col4 = date '""&amp;YEAR(C138)&amp;""-""&amp;MONTH(C138)&amp;""-""&amp;DAY(C138)&amp;""'""))&gt;0,""Depositada"",if(sum(QUERY(IMPORTRANGE(""https://docs.google.com/spreadsheets/d/1EcLIvUgMoBC5as4ikW0wuQsGH5yVZ6cQ1y16qEfgPnk"",""BD M Sangrias!a:i""),""select Col6 whe"&amp;"re Col7 = 'Caixa Atendimento' and Col9 = '""&amp;K138&amp;""' and Col6 = ""&amp;M138&amp;"" and Col4 = date '""&amp;YEAR(C138)&amp;""-""&amp;MONTH(C138)&amp;""-""&amp;DAY(C138)&amp;""'""))&gt;0,""Caixa Atendimento"",""Caixa Sangria"")),""""),""Caixa Sangria"")"),"#REF!")</f>
        <v>#REF!</v>
      </c>
      <c r="M138" s="185">
        <f>IFERROR(__xludf.DUMMYFUNCTION("ifna(VALUE(REGEXEXTRACT(E138,""[0-9.]+[,]+[0-9]+"")))"),650.0)</f>
        <v>650</v>
      </c>
      <c r="N138" s="239"/>
      <c r="O138" s="240"/>
      <c r="P138" s="240"/>
      <c r="Q138" s="241" t="str">
        <f t="shared" si="2"/>
        <v/>
      </c>
      <c r="R138" s="240" t="str">
        <f t="shared" si="3"/>
        <v/>
      </c>
      <c r="S138" s="242" t="str">
        <f t="shared" si="4"/>
        <v/>
      </c>
      <c r="T138" s="185"/>
      <c r="U138" s="185"/>
      <c r="V138" s="185"/>
    </row>
    <row r="139" ht="14.25" customHeight="1">
      <c r="A139" s="178"/>
      <c r="B139" s="12">
        <v>1635576.0</v>
      </c>
      <c r="C139" s="13">
        <v>45890.7153587963</v>
      </c>
      <c r="D139" s="179" t="s">
        <v>81</v>
      </c>
      <c r="E139" s="180" t="s">
        <v>1257</v>
      </c>
      <c r="F139" s="181"/>
      <c r="G139" s="179" t="s">
        <v>5931</v>
      </c>
      <c r="H139" s="190"/>
      <c r="I139" s="190"/>
      <c r="J139" s="187" t="s">
        <v>3151</v>
      </c>
      <c r="K139" s="187"/>
      <c r="L139" s="184" t="str">
        <f>IFERROR(__xludf.DUMMYFUNCTION("ifna(IF(and(D139=""Saída"",J139=""Sangria""),if(sum(QUERY(IMPORTRANGE(""https://docs.google.com/spreadsheets/d/1E4szPcLzsqlw4uyBAoJ61L1ChCgpz4wVP8tHfHW1g_c"",""BD M Sangrias!a:i""),""select Col6 where Col7 = 'Depositada' and Col9 = '""&amp;K139&amp;""' and Col6 ="&amp;" ""&amp;M139&amp;"" and Col4 = date '""&amp;YEAR(C139)&amp;""-""&amp;MONTH(C139)&amp;""-""&amp;DAY(C139)&amp;""'""))&gt;0,""Depositada"",if(sum(QUERY(IMPORTRANGE(""https://docs.google.com/spreadsheets/d/1EcLIvUgMoBC5as4ikW0wuQsGH5yVZ6cQ1y16qEfgPnk"",""BD M Sangrias!a:i""),""select Col6 whe"&amp;"re Col7 = 'Caixa Atendimento' and Col9 = '""&amp;K139&amp;""' and Col6 = ""&amp;M139&amp;"" and Col4 = date '""&amp;YEAR(C139)&amp;""-""&amp;MONTH(C139)&amp;""-""&amp;DAY(C139)&amp;""'""))&gt;0,""Caixa Atendimento"",""Caixa Sangria"")),""""),""Caixa Sangria"")"),"")</f>
        <v/>
      </c>
      <c r="M139" s="185">
        <f>IFERROR(__xludf.DUMMYFUNCTION("ifna(VALUE(REGEXEXTRACT(E139,""[0-9.]+[,]+[0-9]+"")))"),52.5)</f>
        <v>52.5</v>
      </c>
      <c r="N139" s="185"/>
      <c r="O139" s="185"/>
      <c r="P139" s="185"/>
      <c r="Q139" s="185"/>
      <c r="R139" s="185"/>
      <c r="S139" s="185"/>
      <c r="T139" s="185"/>
      <c r="U139" s="185"/>
      <c r="V139" s="185"/>
    </row>
    <row r="140" ht="14.25" customHeight="1">
      <c r="A140" s="178"/>
      <c r="B140" s="12">
        <v>1636473.0</v>
      </c>
      <c r="C140" s="13">
        <v>45890.94761574074</v>
      </c>
      <c r="D140" s="179" t="s">
        <v>81</v>
      </c>
      <c r="E140" s="180" t="s">
        <v>457</v>
      </c>
      <c r="F140" s="188"/>
      <c r="G140" s="179" t="s">
        <v>381</v>
      </c>
      <c r="H140" s="190"/>
      <c r="I140" s="190"/>
      <c r="J140" s="187" t="s">
        <v>2735</v>
      </c>
      <c r="K140" s="187" t="s">
        <v>1894</v>
      </c>
      <c r="L140" s="184" t="str">
        <f>IFERROR(__xludf.DUMMYFUNCTION("ifna(IF(and(D140=""Saída"",J140=""Sangria""),if(sum(QUERY(IMPORTRANGE(""https://docs.google.com/spreadsheets/d/1E4szPcLzsqlw4uyBAoJ61L1ChCgpz4wVP8tHfHW1g_c"",""BD M Sangrias!a:i""),""select Col6 where Col7 = 'Depositada' and Col9 = '""&amp;K140&amp;""' and Col6 ="&amp;" ""&amp;M140&amp;"" and Col4 = date '""&amp;YEAR(C140)&amp;""-""&amp;MONTH(C140)&amp;""-""&amp;DAY(C140)&amp;""'""))&gt;0,""Depositada"",if(sum(QUERY(IMPORTRANGE(""https://docs.google.com/spreadsheets/d/1EcLIvUgMoBC5as4ikW0wuQsGH5yVZ6cQ1y16qEfgPnk"",""BD M Sangrias!a:i""),""select Col6 whe"&amp;"re Col7 = 'Caixa Atendimento' and Col9 = '""&amp;K140&amp;""' and Col6 = ""&amp;M140&amp;"" and Col4 = date '""&amp;YEAR(C140)&amp;""-""&amp;MONTH(C140)&amp;""-""&amp;DAY(C140)&amp;""'""))&gt;0,""Caixa Atendimento"",""Caixa Sangria"")),""""),""Caixa Sangria"")"),"#REF!")</f>
        <v>#REF!</v>
      </c>
      <c r="M140" s="185">
        <f>IFERROR(__xludf.DUMMYFUNCTION("ifna(VALUE(REGEXEXTRACT(E140,""[0-9.]+[,]+[0-9]+"")))"),200.0)</f>
        <v>200</v>
      </c>
      <c r="N140" s="185"/>
      <c r="O140" s="185"/>
      <c r="P140" s="185"/>
      <c r="Q140" s="185"/>
      <c r="R140" s="185"/>
      <c r="S140" s="185"/>
      <c r="T140" s="185"/>
      <c r="U140" s="185"/>
      <c r="V140" s="185"/>
    </row>
    <row r="141" ht="14.25" customHeight="1">
      <c r="A141" s="178"/>
      <c r="B141" s="12">
        <v>1636946.0</v>
      </c>
      <c r="C141" s="13">
        <v>45891.617418981485</v>
      </c>
      <c r="D141" s="179" t="s">
        <v>81</v>
      </c>
      <c r="E141" s="180" t="s">
        <v>146</v>
      </c>
      <c r="F141" s="181"/>
      <c r="G141" s="179" t="s">
        <v>5942</v>
      </c>
      <c r="H141" s="190"/>
      <c r="I141" s="190"/>
      <c r="J141" s="187" t="s">
        <v>2735</v>
      </c>
      <c r="K141" s="187" t="s">
        <v>2018</v>
      </c>
      <c r="L141" s="184" t="str">
        <f>IFERROR(__xludf.DUMMYFUNCTION("ifna(IF(and(D141=""Saída"",J141=""Sangria""),if(sum(QUERY(IMPORTRANGE(""https://docs.google.com/spreadsheets/d/1E4szPcLzsqlw4uyBAoJ61L1ChCgpz4wVP8tHfHW1g_c"",""BD M Sangrias!a:i""),""select Col6 where Col7 = 'Depositada' and Col9 = '""&amp;K141&amp;""' and Col6 ="&amp;" ""&amp;M141&amp;"" and Col4 = date '""&amp;YEAR(C141)&amp;""-""&amp;MONTH(C141)&amp;""-""&amp;DAY(C141)&amp;""'""))&gt;0,""Depositada"",if(sum(QUERY(IMPORTRANGE(""https://docs.google.com/spreadsheets/d/1EcLIvUgMoBC5as4ikW0wuQsGH5yVZ6cQ1y16qEfgPnk"",""BD M Sangrias!a:i""),""select Col6 whe"&amp;"re Col7 = 'Caixa Atendimento' and Col9 = '""&amp;K141&amp;""' and Col6 = ""&amp;M141&amp;"" and Col4 = date '""&amp;YEAR(C141)&amp;""-""&amp;MONTH(C141)&amp;""-""&amp;DAY(C141)&amp;""'""))&gt;0,""Caixa Atendimento"",""Caixa Sangria"")),""""),""Caixa Sangria"")"),"#REF!")</f>
        <v>#REF!</v>
      </c>
      <c r="M141" s="185">
        <f>IFERROR(__xludf.DUMMYFUNCTION("ifna(VALUE(REGEXEXTRACT(E141,""[0-9.]+[,]+[0-9]+"")))"),400.0)</f>
        <v>400</v>
      </c>
      <c r="N141" s="185"/>
      <c r="O141" s="185"/>
      <c r="P141" s="185"/>
      <c r="Q141" s="185"/>
      <c r="R141" s="185"/>
      <c r="S141" s="185"/>
      <c r="T141" s="185"/>
      <c r="U141" s="185"/>
      <c r="V141" s="185"/>
    </row>
    <row r="142" ht="14.25" customHeight="1">
      <c r="A142" s="178"/>
      <c r="B142" s="12">
        <v>1637328.0</v>
      </c>
      <c r="C142" s="13">
        <v>45891.70185185185</v>
      </c>
      <c r="D142" s="179" t="s">
        <v>81</v>
      </c>
      <c r="E142" s="180" t="s">
        <v>127</v>
      </c>
      <c r="F142" s="181"/>
      <c r="G142" s="179" t="s">
        <v>4071</v>
      </c>
      <c r="H142" s="190"/>
      <c r="I142" s="190"/>
      <c r="J142" s="187" t="s">
        <v>2735</v>
      </c>
      <c r="K142" s="187" t="s">
        <v>2018</v>
      </c>
      <c r="L142" s="184" t="str">
        <f>IFERROR(__xludf.DUMMYFUNCTION("ifna(IF(and(D142=""Saída"",J142=""Sangria""),if(sum(QUERY(IMPORTRANGE(""https://docs.google.com/spreadsheets/d/1E4szPcLzsqlw4uyBAoJ61L1ChCgpz4wVP8tHfHW1g_c"",""BD M Sangrias!a:i""),""select Col6 where Col7 = 'Depositada' and Col9 = '""&amp;K142&amp;""' and Col6 ="&amp;" ""&amp;M142&amp;"" and Col4 = date '""&amp;YEAR(C142)&amp;""-""&amp;MONTH(C142)&amp;""-""&amp;DAY(C142)&amp;""'""))&gt;0,""Depositada"",if(sum(QUERY(IMPORTRANGE(""https://docs.google.com/spreadsheets/d/1EcLIvUgMoBC5as4ikW0wuQsGH5yVZ6cQ1y16qEfgPnk"",""BD M Sangrias!a:i""),""select Col6 whe"&amp;"re Col7 = 'Caixa Atendimento' and Col9 = '""&amp;K142&amp;""' and Col6 = ""&amp;M142&amp;"" and Col4 = date '""&amp;YEAR(C142)&amp;""-""&amp;MONTH(C142)&amp;""-""&amp;DAY(C142)&amp;""'""))&gt;0,""Caixa Atendimento"",""Caixa Sangria"")),""""),""Caixa Sangria"")"),"#REF!")</f>
        <v>#REF!</v>
      </c>
      <c r="M142" s="185">
        <f>IFERROR(__xludf.DUMMYFUNCTION("ifna(VALUE(REGEXEXTRACT(E142,""[0-9.]+[,]+[0-9]+"")))"),250.0)</f>
        <v>250</v>
      </c>
      <c r="N142" s="185"/>
      <c r="O142" s="185"/>
      <c r="P142" s="185"/>
      <c r="Q142" s="185"/>
      <c r="R142" s="185"/>
      <c r="S142" s="185"/>
      <c r="T142" s="185"/>
      <c r="U142" s="185"/>
      <c r="V142" s="185"/>
    </row>
    <row r="143" ht="14.25" customHeight="1">
      <c r="A143" s="178"/>
      <c r="B143" s="12">
        <v>1637965.0</v>
      </c>
      <c r="C143" s="13">
        <v>45891.85894675926</v>
      </c>
      <c r="D143" s="179" t="s">
        <v>81</v>
      </c>
      <c r="E143" s="180" t="s">
        <v>5951</v>
      </c>
      <c r="F143" s="181"/>
      <c r="G143" s="179" t="s">
        <v>5821</v>
      </c>
      <c r="H143" s="190"/>
      <c r="I143" s="190"/>
      <c r="J143" s="187" t="s">
        <v>2438</v>
      </c>
      <c r="K143" s="187"/>
      <c r="L143" s="184" t="str">
        <f>IFERROR(__xludf.DUMMYFUNCTION("ifna(IF(and(D143=""Saída"",J143=""Sangria""),if(sum(QUERY(IMPORTRANGE(""https://docs.google.com/spreadsheets/d/1E4szPcLzsqlw4uyBAoJ61L1ChCgpz4wVP8tHfHW1g_c"",""BD M Sangrias!a:i""),""select Col6 where Col7 = 'Depositada' and Col9 = '""&amp;K143&amp;""' and Col6 ="&amp;" ""&amp;M143&amp;"" and Col4 = date '""&amp;YEAR(C143)&amp;""-""&amp;MONTH(C143)&amp;""-""&amp;DAY(C143)&amp;""'""))&gt;0,""Depositada"",if(sum(QUERY(IMPORTRANGE(""https://docs.google.com/spreadsheets/d/1EcLIvUgMoBC5as4ikW0wuQsGH5yVZ6cQ1y16qEfgPnk"",""BD M Sangrias!a:i""),""select Col6 whe"&amp;"re Col7 = 'Caixa Atendimento' and Col9 = '""&amp;K143&amp;""' and Col6 = ""&amp;M143&amp;"" and Col4 = date '""&amp;YEAR(C143)&amp;""-""&amp;MONTH(C143)&amp;""-""&amp;DAY(C143)&amp;""'""))&gt;0,""Caixa Atendimento"",""Caixa Sangria"")),""""),""Caixa Sangria"")"),"")</f>
        <v/>
      </c>
      <c r="M143" s="185">
        <f>IFERROR(__xludf.DUMMYFUNCTION("ifna(VALUE(REGEXEXTRACT(E143,""[0-9.]+[,]+[0-9]+"")))"),17.11)</f>
        <v>17.11</v>
      </c>
      <c r="N143" s="185"/>
      <c r="O143" s="185"/>
      <c r="P143" s="185"/>
      <c r="Q143" s="185"/>
      <c r="R143" s="185"/>
      <c r="S143" s="185"/>
      <c r="T143" s="185"/>
      <c r="U143" s="185"/>
      <c r="V143" s="185"/>
    </row>
    <row r="144" ht="14.25" customHeight="1">
      <c r="A144" s="178"/>
      <c r="B144" s="12">
        <v>1637966.0</v>
      </c>
      <c r="C144" s="13">
        <v>45891.85921296296</v>
      </c>
      <c r="D144" s="179" t="s">
        <v>81</v>
      </c>
      <c r="E144" s="180" t="s">
        <v>5955</v>
      </c>
      <c r="F144" s="181"/>
      <c r="G144" s="179" t="s">
        <v>5575</v>
      </c>
      <c r="H144" s="190"/>
      <c r="I144" s="190"/>
      <c r="J144" s="187" t="s">
        <v>2438</v>
      </c>
      <c r="K144" s="187"/>
      <c r="L144" s="184" t="str">
        <f>IFERROR(__xludf.DUMMYFUNCTION("ifna(IF(and(D144=""Saída"",J144=""Sangria""),if(sum(QUERY(IMPORTRANGE(""https://docs.google.com/spreadsheets/d/1E4szPcLzsqlw4uyBAoJ61L1ChCgpz4wVP8tHfHW1g_c"",""BD M Sangrias!a:i""),""select Col6 where Col7 = 'Depositada' and Col9 = '""&amp;K144&amp;""' and Col6 ="&amp;" ""&amp;M144&amp;"" and Col4 = date '""&amp;YEAR(C144)&amp;""-""&amp;MONTH(C144)&amp;""-""&amp;DAY(C144)&amp;""'""))&gt;0,""Depositada"",if(sum(QUERY(IMPORTRANGE(""https://docs.google.com/spreadsheets/d/1EcLIvUgMoBC5as4ikW0wuQsGH5yVZ6cQ1y16qEfgPnk"",""BD M Sangrias!a:i""),""select Col6 whe"&amp;"re Col7 = 'Caixa Atendimento' and Col9 = '""&amp;K144&amp;""' and Col6 = ""&amp;M144&amp;"" and Col4 = date '""&amp;YEAR(C144)&amp;""-""&amp;MONTH(C144)&amp;""-""&amp;DAY(C144)&amp;""'""))&gt;0,""Caixa Atendimento"",""Caixa Sangria"")),""""),""Caixa Sangria"")"),"")</f>
        <v/>
      </c>
      <c r="M144" s="185">
        <f>IFERROR(__xludf.DUMMYFUNCTION("ifna(VALUE(REGEXEXTRACT(E144,""[0-9.]+[,]+[0-9]+"")))"),158.06)</f>
        <v>158.06</v>
      </c>
      <c r="N144" s="185"/>
      <c r="O144" s="185"/>
      <c r="P144" s="185"/>
      <c r="Q144" s="185"/>
      <c r="R144" s="185"/>
      <c r="S144" s="185"/>
      <c r="T144" s="185"/>
      <c r="U144" s="185"/>
      <c r="V144" s="185"/>
    </row>
    <row r="145" ht="14.25" customHeight="1">
      <c r="A145" s="178"/>
      <c r="B145" s="12">
        <v>1638561.0</v>
      </c>
      <c r="C145" s="13">
        <v>45891.97158564815</v>
      </c>
      <c r="D145" s="179" t="s">
        <v>81</v>
      </c>
      <c r="E145" s="180" t="s">
        <v>910</v>
      </c>
      <c r="F145" s="181"/>
      <c r="G145" s="179" t="s">
        <v>381</v>
      </c>
      <c r="H145" s="190"/>
      <c r="I145" s="190"/>
      <c r="J145" s="187" t="s">
        <v>2735</v>
      </c>
      <c r="K145" s="187" t="s">
        <v>1894</v>
      </c>
      <c r="L145" s="184" t="str">
        <f>IFERROR(__xludf.DUMMYFUNCTION("ifna(IF(and(D145=""Saída"",J145=""Sangria""),if(sum(QUERY(IMPORTRANGE(""https://docs.google.com/spreadsheets/d/1E4szPcLzsqlw4uyBAoJ61L1ChCgpz4wVP8tHfHW1g_c"",""BD M Sangrias!a:i""),""select Col6 where Col7 = 'Depositada' and Col9 = '""&amp;K145&amp;""' and Col6 ="&amp;" ""&amp;M145&amp;"" and Col4 = date '""&amp;YEAR(C145)&amp;""-""&amp;MONTH(C145)&amp;""-""&amp;DAY(C145)&amp;""'""))&gt;0,""Depositada"",if(sum(QUERY(IMPORTRANGE(""https://docs.google.com/spreadsheets/d/1EcLIvUgMoBC5as4ikW0wuQsGH5yVZ6cQ1y16qEfgPnk"",""BD M Sangrias!a:i""),""select Col6 whe"&amp;"re Col7 = 'Caixa Atendimento' and Col9 = '""&amp;K145&amp;""' and Col6 = ""&amp;M145&amp;"" and Col4 = date '""&amp;YEAR(C145)&amp;""-""&amp;MONTH(C145)&amp;""-""&amp;DAY(C145)&amp;""'""))&gt;0,""Caixa Atendimento"",""Caixa Sangria"")),""""),""Caixa Sangria"")"),"#REF!")</f>
        <v>#REF!</v>
      </c>
      <c r="M145" s="185">
        <f>IFERROR(__xludf.DUMMYFUNCTION("ifna(VALUE(REGEXEXTRACT(E145,""[0-9.]+[,]+[0-9]+"")))"),1000.0)</f>
        <v>1000</v>
      </c>
      <c r="N145" s="185"/>
      <c r="O145" s="185"/>
      <c r="P145" s="185"/>
      <c r="Q145" s="185"/>
      <c r="R145" s="185"/>
      <c r="S145" s="185"/>
      <c r="T145" s="185"/>
      <c r="U145" s="185"/>
      <c r="V145" s="185"/>
    </row>
    <row r="146" ht="14.25" customHeight="1">
      <c r="A146" s="178"/>
      <c r="B146" s="12">
        <v>1639002.0</v>
      </c>
      <c r="C146" s="13">
        <v>45892.626909722225</v>
      </c>
      <c r="D146" s="179" t="s">
        <v>152</v>
      </c>
      <c r="E146" s="180" t="s">
        <v>536</v>
      </c>
      <c r="F146" s="181"/>
      <c r="G146" s="179" t="s">
        <v>290</v>
      </c>
      <c r="H146" s="190"/>
      <c r="I146" s="190"/>
      <c r="J146" s="187" t="s">
        <v>5195</v>
      </c>
      <c r="K146" s="187"/>
      <c r="L146" s="184" t="str">
        <f>IFERROR(__xludf.DUMMYFUNCTION("ifna(IF(and(D146=""Saída"",J146=""Sangria""),if(sum(QUERY(IMPORTRANGE(""https://docs.google.com/spreadsheets/d/1E4szPcLzsqlw4uyBAoJ61L1ChCgpz4wVP8tHfHW1g_c"",""BD M Sangrias!a:i""),""select Col6 where Col7 = 'Depositada' and Col9 = '""&amp;K146&amp;""' and Col6 ="&amp;" ""&amp;M146&amp;"" and Col4 = date '""&amp;YEAR(C146)&amp;""-""&amp;MONTH(C146)&amp;""-""&amp;DAY(C146)&amp;""'""))&gt;0,""Depositada"",if(sum(QUERY(IMPORTRANGE(""https://docs.google.com/spreadsheets/d/1EcLIvUgMoBC5as4ikW0wuQsGH5yVZ6cQ1y16qEfgPnk"",""BD M Sangrias!a:i""),""select Col6 whe"&amp;"re Col7 = 'Caixa Atendimento' and Col9 = '""&amp;K146&amp;""' and Col6 = ""&amp;M146&amp;"" and Col4 = date '""&amp;YEAR(C146)&amp;""-""&amp;MONTH(C146)&amp;""-""&amp;DAY(C146)&amp;""'""))&gt;0,""Caixa Atendimento"",""Caixa Sangria"")),""""),""Caixa Sangria"")"),"")</f>
        <v/>
      </c>
      <c r="M146" s="185">
        <f>IFERROR(__xludf.DUMMYFUNCTION("ifna(VALUE(REGEXEXTRACT(E146,""[0-9.]+[,]+[0-9]+"")))"),80.0)</f>
        <v>80</v>
      </c>
      <c r="N146" s="185"/>
      <c r="O146" s="185"/>
      <c r="P146" s="185"/>
      <c r="Q146" s="185"/>
      <c r="R146" s="185"/>
      <c r="S146" s="185"/>
      <c r="T146" s="185"/>
      <c r="U146" s="185"/>
      <c r="V146" s="185"/>
    </row>
    <row r="147" ht="14.25" customHeight="1">
      <c r="A147" s="178"/>
      <c r="B147" s="12">
        <v>1639009.0</v>
      </c>
      <c r="C147" s="13">
        <v>45892.62863425926</v>
      </c>
      <c r="D147" s="179" t="s">
        <v>152</v>
      </c>
      <c r="E147" s="180" t="s">
        <v>5289</v>
      </c>
      <c r="F147" s="181"/>
      <c r="G147" s="179" t="s">
        <v>5972</v>
      </c>
      <c r="H147" s="190"/>
      <c r="I147" s="190"/>
      <c r="J147" s="187"/>
      <c r="K147" s="187"/>
      <c r="L147" s="184" t="str">
        <f>IFERROR(__xludf.DUMMYFUNCTION("ifna(IF(and(D147=""Saída"",J147=""Sangria""),if(sum(QUERY(IMPORTRANGE(""https://docs.google.com/spreadsheets/d/1E4szPcLzsqlw4uyBAoJ61L1ChCgpz4wVP8tHfHW1g_c"",""BD M Sangrias!a:i""),""select Col6 where Col7 = 'Depositada' and Col9 = '""&amp;K147&amp;""' and Col6 ="&amp;" ""&amp;M147&amp;"" and Col4 = date '""&amp;YEAR(C147)&amp;""-""&amp;MONTH(C147)&amp;""-""&amp;DAY(C147)&amp;""'""))&gt;0,""Depositada"",if(sum(QUERY(IMPORTRANGE(""https://docs.google.com/spreadsheets/d/1EcLIvUgMoBC5as4ikW0wuQsGH5yVZ6cQ1y16qEfgPnk"",""BD M Sangrias!a:i""),""select Col6 whe"&amp;"re Col7 = 'Caixa Atendimento' and Col9 = '""&amp;K147&amp;""' and Col6 = ""&amp;M147&amp;"" and Col4 = date '""&amp;YEAR(C147)&amp;""-""&amp;MONTH(C147)&amp;""-""&amp;DAY(C147)&amp;""'""))&gt;0,""Caixa Atendimento"",""Caixa Sangria"")),""""),""Caixa Sangria"")"),"")</f>
        <v/>
      </c>
      <c r="M147" s="185">
        <f>IFERROR(__xludf.DUMMYFUNCTION("ifna(VALUE(REGEXEXTRACT(E147,""[0-9.]+[,]+[0-9]+"")))"),0.01)</f>
        <v>0.01</v>
      </c>
      <c r="N147" s="185"/>
      <c r="O147" s="185"/>
      <c r="P147" s="185"/>
      <c r="Q147" s="185"/>
      <c r="R147" s="185"/>
      <c r="S147" s="185"/>
      <c r="T147" s="185"/>
      <c r="U147" s="185"/>
      <c r="V147" s="185"/>
    </row>
    <row r="148" ht="14.25" customHeight="1">
      <c r="A148" s="178"/>
      <c r="B148" s="12">
        <v>1639026.0</v>
      </c>
      <c r="C148" s="13">
        <v>45892.632569444446</v>
      </c>
      <c r="D148" s="179" t="s">
        <v>81</v>
      </c>
      <c r="E148" s="180" t="s">
        <v>536</v>
      </c>
      <c r="F148" s="181"/>
      <c r="G148" s="179" t="s">
        <v>290</v>
      </c>
      <c r="H148" s="190"/>
      <c r="I148" s="190"/>
      <c r="J148" s="187" t="s">
        <v>3151</v>
      </c>
      <c r="K148" s="187"/>
      <c r="L148" s="184" t="str">
        <f>IFERROR(__xludf.DUMMYFUNCTION("ifna(IF(and(D148=""Saída"",J148=""Sangria""),if(sum(QUERY(IMPORTRANGE(""https://docs.google.com/spreadsheets/d/1E4szPcLzsqlw4uyBAoJ61L1ChCgpz4wVP8tHfHW1g_c"",""BD M Sangrias!a:i""),""select Col6 where Col7 = 'Depositada' and Col9 = '""&amp;K148&amp;""' and Col6 ="&amp;" ""&amp;M148&amp;"" and Col4 = date '""&amp;YEAR(C148)&amp;""-""&amp;MONTH(C148)&amp;""-""&amp;DAY(C148)&amp;""'""))&gt;0,""Depositada"",if(sum(QUERY(IMPORTRANGE(""https://docs.google.com/spreadsheets/d/1EcLIvUgMoBC5as4ikW0wuQsGH5yVZ6cQ1y16qEfgPnk"",""BD M Sangrias!a:i""),""select Col6 whe"&amp;"re Col7 = 'Caixa Atendimento' and Col9 = '""&amp;K148&amp;""' and Col6 = ""&amp;M148&amp;"" and Col4 = date '""&amp;YEAR(C148)&amp;""-""&amp;MONTH(C148)&amp;""-""&amp;DAY(C148)&amp;""'""))&gt;0,""Caixa Atendimento"",""Caixa Sangria"")),""""),""Caixa Sangria"")"),"")</f>
        <v/>
      </c>
      <c r="M148" s="185">
        <f>IFERROR(__xludf.DUMMYFUNCTION("ifna(VALUE(REGEXEXTRACT(E148,""[0-9.]+[,]+[0-9]+"")))"),80.0)</f>
        <v>80</v>
      </c>
      <c r="N148" s="185"/>
      <c r="O148" s="185"/>
      <c r="P148" s="185"/>
      <c r="Q148" s="185"/>
      <c r="R148" s="185"/>
      <c r="S148" s="185"/>
      <c r="T148" s="185"/>
      <c r="U148" s="185"/>
      <c r="V148" s="185"/>
    </row>
    <row r="149" ht="14.25" customHeight="1">
      <c r="A149" s="178"/>
      <c r="B149" s="12">
        <v>1639543.0</v>
      </c>
      <c r="C149" s="13">
        <v>45892.75077546296</v>
      </c>
      <c r="D149" s="179" t="s">
        <v>81</v>
      </c>
      <c r="E149" s="180" t="s">
        <v>5980</v>
      </c>
      <c r="F149" s="181"/>
      <c r="G149" s="179" t="s">
        <v>5981</v>
      </c>
      <c r="H149" s="190"/>
      <c r="I149" s="190"/>
      <c r="J149" s="187" t="s">
        <v>3151</v>
      </c>
      <c r="K149" s="187"/>
      <c r="L149" s="184" t="str">
        <f>IFERROR(__xludf.DUMMYFUNCTION("ifna(IF(and(D149=""Saída"",J149=""Sangria""),if(sum(QUERY(IMPORTRANGE(""https://docs.google.com/spreadsheets/d/1E4szPcLzsqlw4uyBAoJ61L1ChCgpz4wVP8tHfHW1g_c"",""BD M Sangrias!a:i""),""select Col6 where Col7 = 'Depositada' and Col9 = '""&amp;K149&amp;""' and Col6 ="&amp;" ""&amp;M149&amp;"" and Col4 = date '""&amp;YEAR(C149)&amp;""-""&amp;MONTH(C149)&amp;""-""&amp;DAY(C149)&amp;""'""))&gt;0,""Depositada"",if(sum(QUERY(IMPORTRANGE(""https://docs.google.com/spreadsheets/d/1EcLIvUgMoBC5as4ikW0wuQsGH5yVZ6cQ1y16qEfgPnk"",""BD M Sangrias!a:i""),""select Col6 whe"&amp;"re Col7 = 'Caixa Atendimento' and Col9 = '""&amp;K149&amp;""' and Col6 = ""&amp;M149&amp;"" and Col4 = date '""&amp;YEAR(C149)&amp;""-""&amp;MONTH(C149)&amp;""-""&amp;DAY(C149)&amp;""'""))&gt;0,""Caixa Atendimento"",""Caixa Sangria"")),""""),""Caixa Sangria"")"),"")</f>
        <v/>
      </c>
      <c r="M149" s="185">
        <f>IFERROR(__xludf.DUMMYFUNCTION("ifna(VALUE(REGEXEXTRACT(E149,""[0-9.]+[,]+[0-9]+"")))"),60.82)</f>
        <v>60.82</v>
      </c>
      <c r="N149" s="185"/>
      <c r="O149" s="185"/>
      <c r="P149" s="185"/>
      <c r="Q149" s="185"/>
      <c r="R149" s="185"/>
      <c r="S149" s="185"/>
      <c r="T149" s="185"/>
      <c r="U149" s="185"/>
      <c r="V149" s="185"/>
    </row>
    <row r="150" ht="14.25" customHeight="1">
      <c r="A150" s="178"/>
      <c r="B150" s="12">
        <v>1639558.0</v>
      </c>
      <c r="C150" s="13">
        <v>45892.754328703704</v>
      </c>
      <c r="D150" s="179" t="s">
        <v>81</v>
      </c>
      <c r="E150" s="180" t="s">
        <v>5991</v>
      </c>
      <c r="F150" s="188"/>
      <c r="G150" s="179" t="s">
        <v>585</v>
      </c>
      <c r="H150" s="190"/>
      <c r="I150" s="190"/>
      <c r="J150" s="187" t="s">
        <v>2019</v>
      </c>
      <c r="K150" s="187" t="s">
        <v>2078</v>
      </c>
      <c r="L150" s="184" t="str">
        <f>IFERROR(__xludf.DUMMYFUNCTION("ifna(IF(and(D150=""Saída"",J150=""Sangria""),if(sum(QUERY(IMPORTRANGE(""https://docs.google.com/spreadsheets/d/1E4szPcLzsqlw4uyBAoJ61L1ChCgpz4wVP8tHfHW1g_c"",""BD M Sangrias!a:i""),""select Col6 where Col7 = 'Depositada' and Col9 = '""&amp;K150&amp;""' and Col6 ="&amp;" ""&amp;M150&amp;"" and Col4 = date '""&amp;YEAR(C150)&amp;""-""&amp;MONTH(C150)&amp;""-""&amp;DAY(C150)&amp;""'""))&gt;0,""Depositada"",if(sum(QUERY(IMPORTRANGE(""https://docs.google.com/spreadsheets/d/1EcLIvUgMoBC5as4ikW0wuQsGH5yVZ6cQ1y16qEfgPnk"",""BD M Sangrias!a:i""),""select Col6 whe"&amp;"re Col7 = 'Caixa Atendimento' and Col9 = '""&amp;K150&amp;""' and Col6 = ""&amp;M150&amp;"" and Col4 = date '""&amp;YEAR(C150)&amp;""-""&amp;MONTH(C150)&amp;""-""&amp;DAY(C150)&amp;""'""))&gt;0,""Caixa Atendimento"",""Caixa Sangria"")),""""),""Caixa Sangria"")"),"")</f>
        <v/>
      </c>
      <c r="M150" s="185">
        <f>IFERROR(__xludf.DUMMYFUNCTION("ifna(VALUE(REGEXEXTRACT(E150,""[0-9.]+[,]+[0-9]+"")))"),21.89)</f>
        <v>21.89</v>
      </c>
      <c r="N150" s="185"/>
      <c r="O150" s="185"/>
      <c r="P150" s="185"/>
      <c r="Q150" s="185"/>
      <c r="R150" s="185"/>
      <c r="S150" s="185"/>
      <c r="T150" s="185"/>
      <c r="U150" s="185"/>
      <c r="V150" s="185"/>
    </row>
    <row r="151" ht="14.25" customHeight="1">
      <c r="A151" s="178"/>
      <c r="B151" s="12">
        <v>1640387.0</v>
      </c>
      <c r="C151" s="13">
        <v>45892.923738425925</v>
      </c>
      <c r="D151" s="179" t="s">
        <v>81</v>
      </c>
      <c r="E151" s="180" t="s">
        <v>924</v>
      </c>
      <c r="F151" s="181"/>
      <c r="G151" s="179" t="s">
        <v>5192</v>
      </c>
      <c r="H151" s="190"/>
      <c r="I151" s="190"/>
      <c r="J151" s="187" t="s">
        <v>5195</v>
      </c>
      <c r="K151" s="187"/>
      <c r="L151" s="184" t="str">
        <f>IFERROR(__xludf.DUMMYFUNCTION("ifna(IF(and(D151=""Saída"",J151=""Sangria""),if(sum(QUERY(IMPORTRANGE(""https://docs.google.com/spreadsheets/d/1E4szPcLzsqlw4uyBAoJ61L1ChCgpz4wVP8tHfHW1g_c"",""BD M Sangrias!a:i""),""select Col6 where Col7 = 'Depositada' and Col9 = '""&amp;K151&amp;""' and Col6 ="&amp;" ""&amp;M151&amp;"" and Col4 = date '""&amp;YEAR(#REF!)&amp;""-""&amp;MONTH(#REF!)&amp;""-""&amp;DAY(#REF!)&amp;""'""))&gt;0,""Depositada"",if(sum(QUERY(IMPORTRANGE(""https://docs.google.com/spreadsheets/d/1EcLIvUgMoBC5as4ikW0wuQsGH5yVZ6cQ1y16qEfgPnk"",""BD M Sangrias!a:i""),""select Col6 "&amp;"where Col7 = 'Caixa Atendimento' and Col9 = '""&amp;K151&amp;""' and Col6 = ""&amp;M151&amp;"" and Col4 = date '""&amp;YEAR(#REF!)&amp;""-""&amp;MONTH(#REF!)&amp;""-""&amp;DAY(#REF!)&amp;""'""))&gt;0,""Caixa Atendimento"",""Caixa Sangria"")),""""),""Caixa Sangria"")"),"")</f>
        <v/>
      </c>
      <c r="M151" s="185">
        <f>IFERROR(__xludf.DUMMYFUNCTION("ifna(VALUE(REGEXEXTRACT(E151,""[0-9.]+[,]+[0-9]+"")))"),340.0)</f>
        <v>340</v>
      </c>
      <c r="N151" s="185"/>
      <c r="O151" s="185"/>
      <c r="P151" s="185"/>
      <c r="Q151" s="185"/>
      <c r="R151" s="185"/>
      <c r="S151" s="185"/>
      <c r="T151" s="185"/>
      <c r="U151" s="185"/>
      <c r="V151" s="185"/>
    </row>
    <row r="152" ht="14.25" customHeight="1">
      <c r="A152" s="178"/>
      <c r="B152" s="12">
        <v>1640401.0</v>
      </c>
      <c r="C152" s="13">
        <v>45892.92502314815</v>
      </c>
      <c r="D152" s="179" t="s">
        <v>81</v>
      </c>
      <c r="E152" s="180" t="s">
        <v>416</v>
      </c>
      <c r="F152" s="181"/>
      <c r="G152" s="179" t="s">
        <v>381</v>
      </c>
      <c r="H152" s="190"/>
      <c r="I152" s="190"/>
      <c r="J152" s="187" t="s">
        <v>2735</v>
      </c>
      <c r="K152" s="187" t="s">
        <v>1894</v>
      </c>
      <c r="L152" s="184" t="str">
        <f>IFERROR(__xludf.DUMMYFUNCTION("ifna(IF(and(D152=""Saída"",J152=""Sangria""),if(sum(QUERY(IMPORTRANGE(""https://docs.google.com/spreadsheets/d/1E4szPcLzsqlw4uyBAoJ61L1ChCgpz4wVP8tHfHW1g_c"",""BD M Sangrias!a:i""),""select Col6 where Col7 = 'Depositada' and Col9 = '""&amp;K152&amp;""' and Col6 ="&amp;" ""&amp;M152&amp;"" and Col4 = date '""&amp;YEAR(C151)&amp;""-""&amp;MONTH(C151)&amp;""-""&amp;DAY(C151)&amp;""'""))&gt;0,""Depositada"",if(sum(QUERY(IMPORTRANGE(""https://docs.google.com/spreadsheets/d/1EcLIvUgMoBC5as4ikW0wuQsGH5yVZ6cQ1y16qEfgPnk"",""BD M Sangrias!a:i""),""select Col6 whe"&amp;"re Col7 = 'Caixa Atendimento' and Col9 = '""&amp;K152&amp;""' and Col6 = ""&amp;M152&amp;"" and Col4 = date '""&amp;YEAR(C151)&amp;""-""&amp;MONTH(C151)&amp;""-""&amp;DAY(C151)&amp;""'""))&gt;0,""Caixa Atendimento"",""Caixa Sangria"")),""""),""Caixa Sangria"")"),"#REF!")</f>
        <v>#REF!</v>
      </c>
      <c r="M152" s="185">
        <f>IFERROR(__xludf.DUMMYFUNCTION("ifna(VALUE(REGEXEXTRACT(E152,""[0-9.]+[,]+[0-9]+"")))"),100.0)</f>
        <v>100</v>
      </c>
      <c r="N152" s="185"/>
      <c r="O152" s="185"/>
      <c r="P152" s="185"/>
      <c r="Q152" s="185"/>
      <c r="R152" s="185"/>
      <c r="S152" s="185"/>
      <c r="T152" s="185"/>
      <c r="U152" s="185"/>
      <c r="V152" s="185"/>
    </row>
    <row r="153" ht="14.25" customHeight="1">
      <c r="A153" s="178"/>
      <c r="B153" s="12">
        <v>1642141.0</v>
      </c>
      <c r="C153" s="13">
        <v>45893.88775462963</v>
      </c>
      <c r="D153" s="179" t="s">
        <v>81</v>
      </c>
      <c r="E153" s="180" t="s">
        <v>127</v>
      </c>
      <c r="F153" s="188"/>
      <c r="G153" s="179" t="s">
        <v>3907</v>
      </c>
      <c r="H153" s="190"/>
      <c r="I153" s="190"/>
      <c r="J153" s="187" t="s">
        <v>2735</v>
      </c>
      <c r="K153" s="187" t="s">
        <v>2018</v>
      </c>
      <c r="L153" s="184" t="str">
        <f>IFERROR(__xludf.DUMMYFUNCTION("ifna(IF(and(D153=""Saída"",J153=""Sangria""),if(sum(QUERY(IMPORTRANGE(""https://docs.google.com/spreadsheets/d/1E4szPcLzsqlw4uyBAoJ61L1ChCgpz4wVP8tHfHW1g_c"",""BD M Sangrias!a:i""),""select Col6 where Col7 = 'Depositada' and Col9 = '""&amp;K153&amp;""' and Col6 ="&amp;" ""&amp;M153&amp;"" and Col4 = date '""&amp;YEAR(#REF!)&amp;""-""&amp;MONTH(#REF!)&amp;""-""&amp;DAY(#REF!)&amp;""'""))&gt;0,""Depositada"",if(sum(QUERY(IMPORTRANGE(""https://docs.google.com/spreadsheets/d/1EcLIvUgMoBC5as4ikW0wuQsGH5yVZ6cQ1y16qEfgPnk"",""BD M Sangrias!a:i""),""select Col6 "&amp;"where Col7 = 'Caixa Atendimento' and Col9 = '""&amp;K153&amp;""' and Col6 = ""&amp;M153&amp;"" and Col4 = date '""&amp;YEAR(#REF!)&amp;""-""&amp;MONTH(#REF!)&amp;""-""&amp;DAY(#REF!)&amp;""'""))&gt;0,""Caixa Atendimento"",""Caixa Sangria"")),""""),""Caixa Sangria"")"),"#REF!")</f>
        <v>#REF!</v>
      </c>
      <c r="M153" s="185">
        <f>IFERROR(__xludf.DUMMYFUNCTION("ifna(VALUE(REGEXEXTRACT(E153,""[0-9.]+[,]+[0-9]+"")))"),250.0)</f>
        <v>250</v>
      </c>
      <c r="N153" s="185"/>
      <c r="O153" s="185"/>
      <c r="P153" s="185"/>
      <c r="Q153" s="185"/>
      <c r="R153" s="185"/>
      <c r="S153" s="185"/>
      <c r="T153" s="185"/>
      <c r="U153" s="185"/>
      <c r="V153" s="185"/>
    </row>
    <row r="154" ht="14.25" customHeight="1">
      <c r="A154" s="178"/>
      <c r="B154" s="12">
        <v>1643884.0</v>
      </c>
      <c r="C154" s="13">
        <v>45894.87293981481</v>
      </c>
      <c r="D154" s="179" t="s">
        <v>81</v>
      </c>
      <c r="E154" s="180" t="s">
        <v>200</v>
      </c>
      <c r="F154" s="188"/>
      <c r="G154" s="179" t="s">
        <v>3587</v>
      </c>
      <c r="H154" s="190"/>
      <c r="I154" s="190"/>
      <c r="J154" s="187" t="s">
        <v>2735</v>
      </c>
      <c r="K154" s="187" t="s">
        <v>2018</v>
      </c>
      <c r="L154" s="184" t="str">
        <f>IFERROR(__xludf.DUMMYFUNCTION("ifna(IF(and(D154=""Saída"",J154=""Sangria""),if(sum(QUERY(IMPORTRANGE(""https://docs.google.com/spreadsheets/d/1E4szPcLzsqlw4uyBAoJ61L1ChCgpz4wVP8tHfHW1g_c"",""BD M Sangrias!a:i""),""select Col6 where Col7 = 'Depositada' and Col9 = '""&amp;K154&amp;""' and Col6 ="&amp;" ""&amp;M154&amp;"" and Col4 = date '""&amp;YEAR(C153)&amp;""-""&amp;MONTH(C153)&amp;""-""&amp;DAY(C153)&amp;""'""))&gt;0,""Depositada"",if(sum(QUERY(IMPORTRANGE(""https://docs.google.com/spreadsheets/d/1EcLIvUgMoBC5as4ikW0wuQsGH5yVZ6cQ1y16qEfgPnk"",""BD M Sangrias!a:i""),""select Col6 whe"&amp;"re Col7 = 'Caixa Atendimento' and Col9 = '""&amp;K154&amp;""' and Col6 = ""&amp;M154&amp;"" and Col4 = date '""&amp;YEAR(C153)&amp;""-""&amp;MONTH(C153)&amp;""-""&amp;DAY(C153)&amp;""'""))&gt;0,""Caixa Atendimento"",""Caixa Sangria"")),""""),""Caixa Sangria"")"),"#REF!")</f>
        <v>#REF!</v>
      </c>
      <c r="M154" s="185">
        <f>IFERROR(__xludf.DUMMYFUNCTION("ifna(VALUE(REGEXEXTRACT(E154,""[0-9.]+[,]+[0-9]+"")))"),300.0)</f>
        <v>300</v>
      </c>
      <c r="N154" s="185"/>
      <c r="O154" s="185"/>
      <c r="P154" s="185"/>
      <c r="Q154" s="185"/>
      <c r="R154" s="185"/>
      <c r="S154" s="185"/>
      <c r="T154" s="185"/>
      <c r="U154" s="185"/>
      <c r="V154" s="185"/>
    </row>
    <row r="155" ht="14.25" customHeight="1">
      <c r="A155" s="178"/>
      <c r="B155" s="12"/>
      <c r="C155" s="13"/>
      <c r="D155" s="179"/>
      <c r="E155" s="180"/>
      <c r="F155" s="181"/>
      <c r="G155" s="179"/>
      <c r="H155" s="190"/>
      <c r="I155" s="190"/>
      <c r="J155" s="187"/>
      <c r="K155" s="187"/>
      <c r="L155" s="184" t="str">
        <f>IFERROR(__xludf.DUMMYFUNCTION("ifna(IF(and(D155=""Saída"",J155=""Sangria""),if(sum(QUERY(IMPORTRANGE(""https://docs.google.com/spreadsheets/d/1E4szPcLzsqlw4uyBAoJ61L1ChCgpz4wVP8tHfHW1g_c"",""BD M Sangrias!a:i""),""select Col6 where Col7 = 'Depositada' and Col9 = '""&amp;K155&amp;""' and Col6 ="&amp;" ""&amp;M155&amp;"" and Col4 = date '""&amp;YEAR(C155)&amp;""-""&amp;MONTH(C155)&amp;""-""&amp;DAY(C155)&amp;""'""))&gt;0,""Depositada"",if(sum(QUERY(IMPORTRANGE(""https://docs.google.com/spreadsheets/d/1EcLIvUgMoBC5as4ikW0wuQsGH5yVZ6cQ1y16qEfgPnk"",""BD M Sangrias!a:i""),""select Col6 whe"&amp;"re Col7 = 'Caixa Atendimento' and Col9 = '""&amp;K155&amp;""' and Col6 = ""&amp;M155&amp;"" and Col4 = date '""&amp;YEAR(C155)&amp;""-""&amp;MONTH(C155)&amp;""-""&amp;DAY(C155)&amp;""'""))&gt;0,""Caixa Atendimento"",""Caixa Sangria"")),""""),""Caixa Sangria"")"),"")</f>
        <v/>
      </c>
      <c r="M155" s="185" t="str">
        <f>IFERROR(__xludf.DUMMYFUNCTION("ifna(VALUE(REGEXEXTRACT(E155,""[0-9.]+[,]+[0-9]+"")))"),"")</f>
        <v/>
      </c>
      <c r="N155" s="185"/>
      <c r="O155" s="185"/>
      <c r="P155" s="185"/>
      <c r="Q155" s="185"/>
      <c r="R155" s="185"/>
      <c r="S155" s="185"/>
      <c r="T155" s="185"/>
      <c r="U155" s="185"/>
      <c r="V155" s="185"/>
    </row>
    <row r="156" ht="14.25" customHeight="1">
      <c r="A156" s="178"/>
      <c r="B156" s="12"/>
      <c r="C156" s="13"/>
      <c r="D156" s="179"/>
      <c r="E156" s="180"/>
      <c r="F156" s="181"/>
      <c r="G156" s="179"/>
      <c r="H156" s="190"/>
      <c r="I156" s="190"/>
      <c r="J156" s="187"/>
      <c r="K156" s="187"/>
      <c r="L156" s="184" t="str">
        <f>IFERROR(__xludf.DUMMYFUNCTION("ifna(IF(and(D156=""Saída"",J156=""Sangria""),if(sum(QUERY(IMPORTRANGE(""https://docs.google.com/spreadsheets/d/1E4szPcLzsqlw4uyBAoJ61L1ChCgpz4wVP8tHfHW1g_c"",""BD M Sangrias!a:i""),""select Col6 where Col7 = 'Depositada' and Col9 = '""&amp;K156&amp;""' and Col6 ="&amp;" ""&amp;M156&amp;"" and Col4 = date '""&amp;YEAR(C156)&amp;""-""&amp;MONTH(C156)&amp;""-""&amp;DAY(C156)&amp;""'""))&gt;0,""Depositada"",if(sum(QUERY(IMPORTRANGE(""https://docs.google.com/spreadsheets/d/1EcLIvUgMoBC5as4ikW0wuQsGH5yVZ6cQ1y16qEfgPnk"",""BD M Sangrias!a:i""),""select Col6 whe"&amp;"re Col7 = 'Caixa Atendimento' and Col9 = '""&amp;K156&amp;""' and Col6 = ""&amp;M156&amp;"" and Col4 = date '""&amp;YEAR(C156)&amp;""-""&amp;MONTH(C156)&amp;""-""&amp;DAY(C156)&amp;""'""))&gt;0,""Caixa Atendimento"",""Caixa Sangria"")),""""),""Caixa Sangria"")"),"")</f>
        <v/>
      </c>
      <c r="M156" s="185" t="str">
        <f>IFERROR(__xludf.DUMMYFUNCTION("ifna(VALUE(REGEXEXTRACT(E156,""[0-9.]+[,]+[0-9]+"")))"),"")</f>
        <v/>
      </c>
      <c r="N156" s="185"/>
      <c r="O156" s="185"/>
      <c r="P156" s="185"/>
      <c r="Q156" s="185"/>
      <c r="R156" s="185"/>
      <c r="S156" s="185"/>
      <c r="T156" s="185"/>
      <c r="U156" s="185"/>
      <c r="V156" s="185"/>
    </row>
    <row r="157" ht="14.25" customHeight="1">
      <c r="A157" s="178"/>
      <c r="B157" s="12"/>
      <c r="C157" s="13"/>
      <c r="D157" s="179"/>
      <c r="E157" s="180"/>
      <c r="F157" s="181"/>
      <c r="G157" s="179"/>
      <c r="H157" s="190"/>
      <c r="I157" s="190"/>
      <c r="J157" s="187"/>
      <c r="K157" s="187"/>
      <c r="L157" s="184" t="str">
        <f>IFERROR(__xludf.DUMMYFUNCTION("ifna(IF(and(D157=""Saída"",J157=""Sangria""),if(sum(QUERY(IMPORTRANGE(""https://docs.google.com/spreadsheets/d/1E4szPcLzsqlw4uyBAoJ61L1ChCgpz4wVP8tHfHW1g_c"",""BD M Sangrias!a:i""),""select Col6 where Col7 = 'Depositada' and Col9 = '""&amp;K157&amp;""' and Col6 ="&amp;" ""&amp;M157&amp;"" and Col4 = date '""&amp;YEAR(C157)&amp;""-""&amp;MONTH(C157)&amp;""-""&amp;DAY(C157)&amp;""'""))&gt;0,""Depositada"",if(sum(QUERY(IMPORTRANGE(""https://docs.google.com/spreadsheets/d/1EcLIvUgMoBC5as4ikW0wuQsGH5yVZ6cQ1y16qEfgPnk"",""BD M Sangrias!a:i""),""select Col6 whe"&amp;"re Col7 = 'Caixa Atendimento' and Col9 = '""&amp;K157&amp;""' and Col6 = ""&amp;M157&amp;"" and Col4 = date '""&amp;YEAR(C157)&amp;""-""&amp;MONTH(C157)&amp;""-""&amp;DAY(C157)&amp;""'""))&gt;0,""Caixa Atendimento"",""Caixa Sangria"")),""""),""Caixa Sangria"")"),"")</f>
        <v/>
      </c>
      <c r="M157" s="185" t="str">
        <f>IFERROR(__xludf.DUMMYFUNCTION("ifna(VALUE(REGEXEXTRACT(E157,""[0-9.]+[,]+[0-9]+"")))"),"")</f>
        <v/>
      </c>
      <c r="N157" s="185"/>
      <c r="O157" s="185"/>
      <c r="P157" s="185"/>
      <c r="Q157" s="185"/>
      <c r="R157" s="185"/>
      <c r="S157" s="185"/>
      <c r="T157" s="185"/>
      <c r="U157" s="185"/>
      <c r="V157" s="185"/>
    </row>
    <row r="158" ht="14.25" customHeight="1">
      <c r="A158" s="178"/>
      <c r="B158" s="12"/>
      <c r="C158" s="13"/>
      <c r="D158" s="179"/>
      <c r="E158" s="180"/>
      <c r="F158" s="188"/>
      <c r="G158" s="179"/>
      <c r="H158" s="190"/>
      <c r="I158" s="190"/>
      <c r="J158" s="187"/>
      <c r="K158" s="187"/>
      <c r="L158" s="184" t="str">
        <f>IFERROR(__xludf.DUMMYFUNCTION("ifna(IF(and(D158=""Saída"",J158=""Sangria""),if(sum(QUERY(IMPORTRANGE(""https://docs.google.com/spreadsheets/d/1E4szPcLzsqlw4uyBAoJ61L1ChCgpz4wVP8tHfHW1g_c"",""BD M Sangrias!a:i""),""select Col6 where Col7 = 'Depositada' and Col9 = '""&amp;K158&amp;""' and Col6 ="&amp;" ""&amp;M158&amp;"" and Col4 = date '""&amp;YEAR(C158)&amp;""-""&amp;MONTH(C158)&amp;""-""&amp;DAY(C158)&amp;""'""))&gt;0,""Depositada"",if(sum(QUERY(IMPORTRANGE(""https://docs.google.com/spreadsheets/d/1EcLIvUgMoBC5as4ikW0wuQsGH5yVZ6cQ1y16qEfgPnk"",""BD M Sangrias!a:i""),""select Col6 whe"&amp;"re Col7 = 'Caixa Atendimento' and Col9 = '""&amp;K158&amp;""' and Col6 = ""&amp;M158&amp;"" and Col4 = date '""&amp;YEAR(C158)&amp;""-""&amp;MONTH(C158)&amp;""-""&amp;DAY(C158)&amp;""'""))&gt;0,""Caixa Atendimento"",""Caixa Sangria"")),""""),""Caixa Sangria"")"),"")</f>
        <v/>
      </c>
      <c r="M158" s="185" t="str">
        <f>IFERROR(__xludf.DUMMYFUNCTION("ifna(VALUE(REGEXEXTRACT(E158,""[0-9.]+[,]+[0-9]+"")))"),"")</f>
        <v/>
      </c>
      <c r="N158" s="185"/>
      <c r="O158" s="185"/>
      <c r="P158" s="185"/>
      <c r="Q158" s="185"/>
      <c r="R158" s="185"/>
      <c r="S158" s="185"/>
      <c r="T158" s="185"/>
      <c r="U158" s="185"/>
      <c r="V158" s="185"/>
    </row>
    <row r="159" ht="14.25" customHeight="1">
      <c r="A159" s="178"/>
      <c r="B159" s="12"/>
      <c r="C159" s="13"/>
      <c r="D159" s="179"/>
      <c r="E159" s="180"/>
      <c r="F159" s="181"/>
      <c r="G159" s="179"/>
      <c r="H159" s="190"/>
      <c r="I159" s="190"/>
      <c r="J159" s="187"/>
      <c r="K159" s="187"/>
      <c r="L159" s="184" t="str">
        <f>IFERROR(__xludf.DUMMYFUNCTION("ifna(IF(and(D159=""Saída"",J159=""Sangria""),if(sum(QUERY(IMPORTRANGE(""https://docs.google.com/spreadsheets/d/1E4szPcLzsqlw4uyBAoJ61L1ChCgpz4wVP8tHfHW1g_c"",""BD M Sangrias!a:i""),""select Col6 where Col7 = 'Depositada' and Col9 = '""&amp;K159&amp;""' and Col6 ="&amp;" ""&amp;M159&amp;"" and Col4 = date '""&amp;YEAR(C159)&amp;""-""&amp;MONTH(C159)&amp;""-""&amp;DAY(C159)&amp;""'""))&gt;0,""Depositada"",if(sum(QUERY(IMPORTRANGE(""https://docs.google.com/spreadsheets/d/1EcLIvUgMoBC5as4ikW0wuQsGH5yVZ6cQ1y16qEfgPnk"",""BD M Sangrias!a:i""),""select Col6 whe"&amp;"re Col7 = 'Caixa Atendimento' and Col9 = '""&amp;K159&amp;""' and Col6 = ""&amp;M159&amp;"" and Col4 = date '""&amp;YEAR(C159)&amp;""-""&amp;MONTH(C159)&amp;""-""&amp;DAY(C159)&amp;""'""))&gt;0,""Caixa Atendimento"",""Caixa Sangria"")),""""),""Caixa Sangria"")"),"")</f>
        <v/>
      </c>
      <c r="M159" s="185" t="str">
        <f>IFERROR(__xludf.DUMMYFUNCTION("ifna(VALUE(REGEXEXTRACT(E159,""[0-9.]+[,]+[0-9]+"")))"),"")</f>
        <v/>
      </c>
      <c r="N159" s="185"/>
      <c r="O159" s="185"/>
      <c r="P159" s="185"/>
      <c r="Q159" s="185"/>
      <c r="R159" s="185"/>
      <c r="S159" s="185"/>
      <c r="T159" s="185"/>
      <c r="U159" s="185"/>
      <c r="V159" s="185"/>
    </row>
    <row r="160" ht="14.25" customHeight="1">
      <c r="A160" s="178"/>
      <c r="B160" s="12"/>
      <c r="C160" s="13"/>
      <c r="D160" s="179"/>
      <c r="E160" s="180"/>
      <c r="F160" s="181"/>
      <c r="G160" s="179"/>
      <c r="H160" s="190"/>
      <c r="I160" s="190"/>
      <c r="J160" s="187"/>
      <c r="K160" s="187"/>
      <c r="L160" s="184" t="str">
        <f>IFERROR(__xludf.DUMMYFUNCTION("ifna(IF(and(D160=""Saída"",J160=""Sangria""),if(sum(QUERY(IMPORTRANGE(""https://docs.google.com/spreadsheets/d/1E4szPcLzsqlw4uyBAoJ61L1ChCgpz4wVP8tHfHW1g_c"",""BD M Sangrias!a:i""),""select Col6 where Col7 = 'Depositada' and Col9 = '""&amp;K160&amp;""' and Col6 ="&amp;" ""&amp;M160&amp;"" and Col4 = date '""&amp;YEAR(C160)&amp;""-""&amp;MONTH(C160)&amp;""-""&amp;DAY(C160)&amp;""'""))&gt;0,""Depositada"",if(sum(QUERY(IMPORTRANGE(""https://docs.google.com/spreadsheets/d/1EcLIvUgMoBC5as4ikW0wuQsGH5yVZ6cQ1y16qEfgPnk"",""BD M Sangrias!a:i""),""select Col6 whe"&amp;"re Col7 = 'Caixa Atendimento' and Col9 = '""&amp;K160&amp;""' and Col6 = ""&amp;M160&amp;"" and Col4 = date '""&amp;YEAR(C160)&amp;""-""&amp;MONTH(C160)&amp;""-""&amp;DAY(C160)&amp;""'""))&gt;0,""Caixa Atendimento"",""Caixa Sangria"")),""""),""Caixa Sangria"")"),"")</f>
        <v/>
      </c>
      <c r="M160" s="185" t="str">
        <f>IFERROR(__xludf.DUMMYFUNCTION("ifna(VALUE(REGEXEXTRACT(E160,""[0-9.]+[,]+[0-9]+"")))"),"")</f>
        <v/>
      </c>
      <c r="N160" s="185"/>
      <c r="O160" s="185"/>
      <c r="P160" s="185"/>
      <c r="Q160" s="185"/>
      <c r="R160" s="185"/>
      <c r="S160" s="185"/>
      <c r="T160" s="185"/>
      <c r="U160" s="185"/>
      <c r="V160" s="185"/>
    </row>
    <row r="161" ht="14.25" customHeight="1">
      <c r="A161" s="178"/>
      <c r="B161" s="12"/>
      <c r="C161" s="13"/>
      <c r="D161" s="179"/>
      <c r="E161" s="180"/>
      <c r="F161" s="188"/>
      <c r="G161" s="179"/>
      <c r="H161" s="190"/>
      <c r="I161" s="190"/>
      <c r="J161" s="187"/>
      <c r="K161" s="187"/>
      <c r="L161" s="184" t="str">
        <f>IFERROR(__xludf.DUMMYFUNCTION("ifna(IF(and(D161=""Saída"",J161=""Sangria""),if(sum(QUERY(IMPORTRANGE(""https://docs.google.com/spreadsheets/d/1E4szPcLzsqlw4uyBAoJ61L1ChCgpz4wVP8tHfHW1g_c"",""BD M Sangrias!a:i""),""select Col6 where Col7 = 'Depositada' and Col9 = '""&amp;K161&amp;""' and Col6 ="&amp;" ""&amp;M161&amp;"" and Col4 = date '""&amp;YEAR(C161)&amp;""-""&amp;MONTH(C161)&amp;""-""&amp;DAY(C161)&amp;""'""))&gt;0,""Depositada"",if(sum(QUERY(IMPORTRANGE(""https://docs.google.com/spreadsheets/d/1EcLIvUgMoBC5as4ikW0wuQsGH5yVZ6cQ1y16qEfgPnk"",""BD M Sangrias!a:i""),""select Col6 whe"&amp;"re Col7 = 'Caixa Atendimento' and Col9 = '""&amp;K161&amp;""' and Col6 = ""&amp;M161&amp;"" and Col4 = date '""&amp;YEAR(C161)&amp;""-""&amp;MONTH(C161)&amp;""-""&amp;DAY(C161)&amp;""'""))&gt;0,""Caixa Atendimento"",""Caixa Sangria"")),""""),""Caixa Sangria"")"),"")</f>
        <v/>
      </c>
      <c r="M161" s="185" t="str">
        <f>IFERROR(__xludf.DUMMYFUNCTION("ifna(VALUE(REGEXEXTRACT(E161,""[0-9.]+[,]+[0-9]+"")))"),"")</f>
        <v/>
      </c>
      <c r="N161" s="185"/>
      <c r="O161" s="185"/>
      <c r="P161" s="185"/>
      <c r="Q161" s="185"/>
      <c r="R161" s="185"/>
      <c r="S161" s="185"/>
      <c r="T161" s="185"/>
      <c r="U161" s="185"/>
      <c r="V161" s="185"/>
    </row>
    <row r="162" ht="14.25" customHeight="1">
      <c r="A162" s="178"/>
      <c r="B162" s="12"/>
      <c r="C162" s="13"/>
      <c r="D162" s="179"/>
      <c r="E162" s="180"/>
      <c r="F162" s="181"/>
      <c r="G162" s="179"/>
      <c r="H162" s="190"/>
      <c r="I162" s="190"/>
      <c r="J162" s="187"/>
      <c r="K162" s="187"/>
      <c r="L162" s="184" t="str">
        <f>IFERROR(__xludf.DUMMYFUNCTION("ifna(IF(and(D162=""Saída"",J162=""Sangria""),if(sum(QUERY(IMPORTRANGE(""https://docs.google.com/spreadsheets/d/1E4szPcLzsqlw4uyBAoJ61L1ChCgpz4wVP8tHfHW1g_c"",""BD M Sangrias!a:i""),""select Col6 where Col7 = 'Depositada' and Col9 = '""&amp;K162&amp;""' and Col6 ="&amp;" ""&amp;M162&amp;"" and Col4 = date '""&amp;YEAR(C162)&amp;""-""&amp;MONTH(C162)&amp;""-""&amp;DAY(C162)&amp;""'""))&gt;0,""Depositada"",if(sum(QUERY(IMPORTRANGE(""https://docs.google.com/spreadsheets/d/1EcLIvUgMoBC5as4ikW0wuQsGH5yVZ6cQ1y16qEfgPnk"",""BD M Sangrias!a:i""),""select Col6 whe"&amp;"re Col7 = 'Caixa Atendimento' and Col9 = '""&amp;K162&amp;""' and Col6 = ""&amp;M162&amp;"" and Col4 = date '""&amp;YEAR(C162)&amp;""-""&amp;MONTH(C162)&amp;""-""&amp;DAY(C162)&amp;""'""))&gt;0,""Caixa Atendimento"",""Caixa Sangria"")),""""),""Caixa Sangria"")"),"")</f>
        <v/>
      </c>
      <c r="M162" s="185" t="str">
        <f>IFERROR(__xludf.DUMMYFUNCTION("ifna(VALUE(REGEXEXTRACT(E162,""[0-9.]+[,]+[0-9]+"")))"),"")</f>
        <v/>
      </c>
      <c r="N162" s="185"/>
      <c r="O162" s="185"/>
      <c r="P162" s="185"/>
      <c r="Q162" s="185"/>
      <c r="R162" s="185"/>
      <c r="S162" s="185"/>
      <c r="T162" s="185"/>
      <c r="U162" s="185"/>
      <c r="V162" s="185"/>
    </row>
    <row r="163" ht="14.25" customHeight="1">
      <c r="A163" s="178"/>
      <c r="B163" s="12"/>
      <c r="C163" s="13"/>
      <c r="D163" s="179"/>
      <c r="E163" s="180"/>
      <c r="F163" s="181"/>
      <c r="G163" s="179"/>
      <c r="H163" s="190"/>
      <c r="I163" s="190"/>
      <c r="J163" s="187"/>
      <c r="K163" s="187"/>
      <c r="L163" s="184" t="str">
        <f>IFERROR(__xludf.DUMMYFUNCTION("ifna(IF(and(D163=""Saída"",J163=""Sangria""),if(sum(QUERY(IMPORTRANGE(""https://docs.google.com/spreadsheets/d/1E4szPcLzsqlw4uyBAoJ61L1ChCgpz4wVP8tHfHW1g_c"",""BD M Sangrias!a:i""),""select Col6 where Col7 = 'Depositada' and Col9 = '""&amp;K163&amp;""' and Col6 ="&amp;" ""&amp;M163&amp;"" and Col4 = date '""&amp;YEAR(C163)&amp;""-""&amp;MONTH(C163)&amp;""-""&amp;DAY(C163)&amp;""'""))&gt;0,""Depositada"",if(sum(QUERY(IMPORTRANGE(""https://docs.google.com/spreadsheets/d/1EcLIvUgMoBC5as4ikW0wuQsGH5yVZ6cQ1y16qEfgPnk"",""BD M Sangrias!a:i""),""select Col6 whe"&amp;"re Col7 = 'Caixa Atendimento' and Col9 = '""&amp;K163&amp;""' and Col6 = ""&amp;M163&amp;"" and Col4 = date '""&amp;YEAR(C163)&amp;""-""&amp;MONTH(C163)&amp;""-""&amp;DAY(C163)&amp;""'""))&gt;0,""Caixa Atendimento"",""Caixa Sangria"")),""""),""Caixa Sangria"")"),"")</f>
        <v/>
      </c>
      <c r="M163" s="185" t="str">
        <f>IFERROR(__xludf.DUMMYFUNCTION("ifna(VALUE(REGEXEXTRACT(E163,""[0-9.]+[,]+[0-9]+"")))"),"")</f>
        <v/>
      </c>
      <c r="N163" s="185"/>
      <c r="O163" s="185"/>
      <c r="P163" s="185"/>
      <c r="Q163" s="185"/>
      <c r="R163" s="185"/>
      <c r="S163" s="185"/>
      <c r="T163" s="185"/>
      <c r="U163" s="185"/>
      <c r="V163" s="185"/>
    </row>
    <row r="164" ht="14.25" customHeight="1">
      <c r="A164" s="178"/>
      <c r="B164" s="12"/>
      <c r="C164" s="13"/>
      <c r="D164" s="179"/>
      <c r="E164" s="180"/>
      <c r="F164" s="181"/>
      <c r="G164" s="179"/>
      <c r="H164" s="190"/>
      <c r="I164" s="190"/>
      <c r="J164" s="187"/>
      <c r="K164" s="187"/>
      <c r="L164" s="184" t="str">
        <f>IFERROR(__xludf.DUMMYFUNCTION("ifna(IF(and(D164=""Saída"",J164=""Sangria""),if(sum(QUERY(IMPORTRANGE(""https://docs.google.com/spreadsheets/d/1E4szPcLzsqlw4uyBAoJ61L1ChCgpz4wVP8tHfHW1g_c"",""BD M Sangrias!a:i""),""select Col6 where Col7 = 'Depositada' and Col9 = '""&amp;K164&amp;""' and Col6 ="&amp;" ""&amp;M164&amp;"" and Col4 = date '""&amp;YEAR(C164)&amp;""-""&amp;MONTH(C164)&amp;""-""&amp;DAY(C164)&amp;""'""))&gt;0,""Depositada"",if(sum(QUERY(IMPORTRANGE(""https://docs.google.com/spreadsheets/d/1EcLIvUgMoBC5as4ikW0wuQsGH5yVZ6cQ1y16qEfgPnk"",""BD M Sangrias!a:i""),""select Col6 whe"&amp;"re Col7 = 'Caixa Atendimento' and Col9 = '""&amp;K164&amp;""' and Col6 = ""&amp;M164&amp;"" and Col4 = date '""&amp;YEAR(C164)&amp;""-""&amp;MONTH(C164)&amp;""-""&amp;DAY(C164)&amp;""'""))&gt;0,""Caixa Atendimento"",""Caixa Sangria"")),""""),""Caixa Sangria"")"),"")</f>
        <v/>
      </c>
      <c r="M164" s="185" t="str">
        <f>IFERROR(__xludf.DUMMYFUNCTION("ifna(VALUE(REGEXEXTRACT(E164,""[0-9.]+[,]+[0-9]+"")))"),"")</f>
        <v/>
      </c>
      <c r="N164" s="185"/>
      <c r="O164" s="185"/>
      <c r="P164" s="185"/>
      <c r="Q164" s="185"/>
      <c r="R164" s="185"/>
      <c r="S164" s="185"/>
      <c r="T164" s="185"/>
      <c r="U164" s="185"/>
      <c r="V164" s="185"/>
    </row>
    <row r="165" ht="14.25" customHeight="1">
      <c r="A165" s="178"/>
      <c r="B165" s="12"/>
      <c r="C165" s="13"/>
      <c r="D165" s="179"/>
      <c r="E165" s="180"/>
      <c r="F165" s="181"/>
      <c r="G165" s="179"/>
      <c r="H165" s="190"/>
      <c r="I165" s="190"/>
      <c r="J165" s="187"/>
      <c r="K165" s="187"/>
      <c r="L165" s="184" t="str">
        <f>IFERROR(__xludf.DUMMYFUNCTION("ifna(IF(and(D165=""Saída"",J165=""Sangria""),if(sum(QUERY(IMPORTRANGE(""https://docs.google.com/spreadsheets/d/1E4szPcLzsqlw4uyBAoJ61L1ChCgpz4wVP8tHfHW1g_c"",""BD M Sangrias!a:i""),""select Col6 where Col7 = 'Depositada' and Col9 = '""&amp;K165&amp;""' and Col6 ="&amp;" ""&amp;M165&amp;"" and Col4 = date '""&amp;YEAR(C165)&amp;""-""&amp;MONTH(C165)&amp;""-""&amp;DAY(C165)&amp;""'""))&gt;0,""Depositada"",if(sum(QUERY(IMPORTRANGE(""https://docs.google.com/spreadsheets/d/1EcLIvUgMoBC5as4ikW0wuQsGH5yVZ6cQ1y16qEfgPnk"",""BD M Sangrias!a:i""),""select Col6 whe"&amp;"re Col7 = 'Caixa Atendimento' and Col9 = '""&amp;K165&amp;""' and Col6 = ""&amp;M165&amp;"" and Col4 = date '""&amp;YEAR(C165)&amp;""-""&amp;MONTH(C165)&amp;""-""&amp;DAY(C165)&amp;""'""))&gt;0,""Caixa Atendimento"",""Caixa Sangria"")),""""),""Caixa Sangria"")"),"")</f>
        <v/>
      </c>
      <c r="M165" s="185" t="str">
        <f>IFERROR(__xludf.DUMMYFUNCTION("ifna(VALUE(REGEXEXTRACT(E165,""[0-9.]+[,]+[0-9]+"")))"),"")</f>
        <v/>
      </c>
      <c r="N165" s="185"/>
      <c r="O165" s="185"/>
      <c r="P165" s="185"/>
      <c r="Q165" s="185"/>
      <c r="R165" s="185"/>
      <c r="S165" s="185"/>
      <c r="T165" s="185"/>
      <c r="U165" s="185"/>
      <c r="V165" s="185"/>
    </row>
    <row r="166" ht="14.25" customHeight="1">
      <c r="A166" s="178"/>
      <c r="B166" s="12"/>
      <c r="C166" s="13"/>
      <c r="D166" s="179"/>
      <c r="E166" s="180"/>
      <c r="F166" s="188"/>
      <c r="G166" s="179"/>
      <c r="H166" s="190"/>
      <c r="I166" s="190"/>
      <c r="J166" s="187"/>
      <c r="K166" s="187"/>
      <c r="L166" s="184" t="str">
        <f>IFERROR(__xludf.DUMMYFUNCTION("ifna(IF(and(D166=""Saída"",J166=""Sangria""),if(sum(QUERY(IMPORTRANGE(""https://docs.google.com/spreadsheets/d/1E4szPcLzsqlw4uyBAoJ61L1ChCgpz4wVP8tHfHW1g_c"",""BD M Sangrias!a:i""),""select Col6 where Col7 = 'Depositada' and Col9 = '""&amp;K166&amp;""' and Col6 ="&amp;" ""&amp;M166&amp;"" and Col4 = date '""&amp;YEAR(C166)&amp;""-""&amp;MONTH(C166)&amp;""-""&amp;DAY(C166)&amp;""'""))&gt;0,""Depositada"",if(sum(QUERY(IMPORTRANGE(""https://docs.google.com/spreadsheets/d/1EcLIvUgMoBC5as4ikW0wuQsGH5yVZ6cQ1y16qEfgPnk"",""BD M Sangrias!a:i""),""select Col6 whe"&amp;"re Col7 = 'Caixa Atendimento' and Col9 = '""&amp;K166&amp;""' and Col6 = ""&amp;M166&amp;"" and Col4 = date '""&amp;YEAR(C166)&amp;""-""&amp;MONTH(C166)&amp;""-""&amp;DAY(C166)&amp;""'""))&gt;0,""Caixa Atendimento"",""Caixa Sangria"")),""""),""Caixa Sangria"")"),"")</f>
        <v/>
      </c>
      <c r="M166" s="185" t="str">
        <f>IFERROR(__xludf.DUMMYFUNCTION("ifna(VALUE(REGEXEXTRACT(E166,""[0-9.]+[,]+[0-9]+"")))"),"")</f>
        <v/>
      </c>
      <c r="N166" s="185"/>
      <c r="O166" s="185"/>
      <c r="P166" s="185"/>
      <c r="Q166" s="185"/>
      <c r="R166" s="185"/>
      <c r="S166" s="185"/>
      <c r="T166" s="185"/>
      <c r="U166" s="185"/>
      <c r="V166" s="185"/>
    </row>
    <row r="167" ht="14.25" customHeight="1">
      <c r="A167" s="178"/>
      <c r="B167" s="12"/>
      <c r="C167" s="13"/>
      <c r="D167" s="179"/>
      <c r="E167" s="180"/>
      <c r="F167" s="181"/>
      <c r="G167" s="179"/>
      <c r="H167" s="190"/>
      <c r="I167" s="190"/>
      <c r="J167" s="187"/>
      <c r="K167" s="187"/>
      <c r="L167" s="184" t="str">
        <f>IFERROR(__xludf.DUMMYFUNCTION("ifna(IF(and(D167=""Saída"",J167=""Sangria""),if(sum(QUERY(IMPORTRANGE(""https://docs.google.com/spreadsheets/d/1E4szPcLzsqlw4uyBAoJ61L1ChCgpz4wVP8tHfHW1g_c"",""BD M Sangrias!a:i""),""select Col6 where Col7 = 'Depositada' and Col9 = '""&amp;K167&amp;""' and Col6 ="&amp;" ""&amp;M167&amp;"" and Col4 = date '""&amp;YEAR(C167)&amp;""-""&amp;MONTH(C167)&amp;""-""&amp;DAY(C167)&amp;""'""))&gt;0,""Depositada"",if(sum(QUERY(IMPORTRANGE(""https://docs.google.com/spreadsheets/d/1EcLIvUgMoBC5as4ikW0wuQsGH5yVZ6cQ1y16qEfgPnk"",""BD M Sangrias!a:i""),""select Col6 whe"&amp;"re Col7 = 'Caixa Atendimento' and Col9 = '""&amp;K167&amp;""' and Col6 = ""&amp;M167&amp;"" and Col4 = date '""&amp;YEAR(C167)&amp;""-""&amp;MONTH(C167)&amp;""-""&amp;DAY(C167)&amp;""'""))&gt;0,""Caixa Atendimento"",""Caixa Sangria"")),""""),""Caixa Sangria"")"),"")</f>
        <v/>
      </c>
      <c r="M167" s="185" t="str">
        <f>IFERROR(__xludf.DUMMYFUNCTION("ifna(VALUE(REGEXEXTRACT(E167,""[0-9.]+[,]+[0-9]+"")))"),"")</f>
        <v/>
      </c>
      <c r="N167" s="185"/>
      <c r="O167" s="185"/>
      <c r="P167" s="185"/>
      <c r="Q167" s="185"/>
      <c r="R167" s="185"/>
      <c r="S167" s="185"/>
      <c r="T167" s="185"/>
      <c r="U167" s="185"/>
      <c r="V167" s="185"/>
    </row>
    <row r="168" ht="14.25" customHeight="1">
      <c r="A168" s="178"/>
      <c r="B168" s="12"/>
      <c r="C168" s="13"/>
      <c r="D168" s="179"/>
      <c r="E168" s="180"/>
      <c r="F168" s="181"/>
      <c r="G168" s="179"/>
      <c r="H168" s="190"/>
      <c r="I168" s="190"/>
      <c r="J168" s="187"/>
      <c r="K168" s="187"/>
      <c r="L168" s="184" t="str">
        <f>IFERROR(__xludf.DUMMYFUNCTION("ifna(IF(and(D168=""Saída"",J168=""Sangria""),if(sum(QUERY(IMPORTRANGE(""https://docs.google.com/spreadsheets/d/1E4szPcLzsqlw4uyBAoJ61L1ChCgpz4wVP8tHfHW1g_c"",""BD M Sangrias!a:i""),""select Col6 where Col7 = 'Depositada' and Col9 = '""&amp;K168&amp;""' and Col6 ="&amp;" ""&amp;M168&amp;"" and Col4 = date '""&amp;YEAR(C168)&amp;""-""&amp;MONTH(C168)&amp;""-""&amp;DAY(C168)&amp;""'""))&gt;0,""Depositada"",if(sum(QUERY(IMPORTRANGE(""https://docs.google.com/spreadsheets/d/1EcLIvUgMoBC5as4ikW0wuQsGH5yVZ6cQ1y16qEfgPnk"",""BD M Sangrias!a:i""),""select Col6 whe"&amp;"re Col7 = 'Caixa Atendimento' and Col9 = '""&amp;K168&amp;""' and Col6 = ""&amp;M168&amp;"" and Col4 = date '""&amp;YEAR(C168)&amp;""-""&amp;MONTH(C168)&amp;""-""&amp;DAY(C168)&amp;""'""))&gt;0,""Caixa Atendimento"",""Caixa Sangria"")),""""),""Caixa Sangria"")"),"")</f>
        <v/>
      </c>
      <c r="M168" s="185" t="str">
        <f>IFERROR(__xludf.DUMMYFUNCTION("ifna(VALUE(REGEXEXTRACT(E168,""[0-9.]+[,]+[0-9]+"")))"),"")</f>
        <v/>
      </c>
      <c r="N168" s="185"/>
      <c r="O168" s="185"/>
      <c r="P168" s="185"/>
      <c r="Q168" s="185"/>
      <c r="R168" s="185"/>
      <c r="S168" s="185"/>
      <c r="T168" s="185"/>
      <c r="U168" s="185"/>
      <c r="V168" s="185"/>
    </row>
    <row r="169" ht="14.25" customHeight="1">
      <c r="A169" s="178"/>
      <c r="B169" s="12"/>
      <c r="C169" s="13"/>
      <c r="D169" s="179"/>
      <c r="E169" s="180"/>
      <c r="F169" s="181"/>
      <c r="G169" s="179"/>
      <c r="H169" s="190"/>
      <c r="I169" s="190"/>
      <c r="J169" s="187"/>
      <c r="K169" s="187"/>
      <c r="L169" s="184" t="str">
        <f>IFERROR(__xludf.DUMMYFUNCTION("ifna(IF(and(D169=""Saída"",J169=""Sangria""),if(sum(QUERY(IMPORTRANGE(""https://docs.google.com/spreadsheets/d/1E4szPcLzsqlw4uyBAoJ61L1ChCgpz4wVP8tHfHW1g_c"",""BD M Sangrias!a:i""),""select Col6 where Col7 = 'Depositada' and Col9 = '""&amp;K169&amp;""' and Col6 ="&amp;" ""&amp;M169&amp;"" and Col4 = date '""&amp;YEAR(C169)&amp;""-""&amp;MONTH(C169)&amp;""-""&amp;DAY(C169)&amp;""'""))&gt;0,""Depositada"",if(sum(QUERY(IMPORTRANGE(""https://docs.google.com/spreadsheets/d/1EcLIvUgMoBC5as4ikW0wuQsGH5yVZ6cQ1y16qEfgPnk"",""BD M Sangrias!a:i""),""select Col6 whe"&amp;"re Col7 = 'Caixa Atendimento' and Col9 = '""&amp;K169&amp;""' and Col6 = ""&amp;M169&amp;"" and Col4 = date '""&amp;YEAR(C169)&amp;""-""&amp;MONTH(C169)&amp;""-""&amp;DAY(C169)&amp;""'""))&gt;0,""Caixa Atendimento"",""Caixa Sangria"")),""""),""Caixa Sangria"")"),"")</f>
        <v/>
      </c>
      <c r="M169" s="185" t="str">
        <f>IFERROR(__xludf.DUMMYFUNCTION("ifna(VALUE(REGEXEXTRACT(E169,""[0-9.]+[,]+[0-9]+"")))"),"")</f>
        <v/>
      </c>
      <c r="N169" s="185"/>
      <c r="O169" s="185"/>
      <c r="P169" s="185"/>
      <c r="Q169" s="185"/>
      <c r="R169" s="185"/>
      <c r="S169" s="185"/>
      <c r="T169" s="185"/>
      <c r="U169" s="185"/>
      <c r="V169" s="185"/>
    </row>
    <row r="170" ht="14.25" customHeight="1">
      <c r="A170" s="178"/>
      <c r="B170" s="12"/>
      <c r="C170" s="13"/>
      <c r="D170" s="179"/>
      <c r="E170" s="180"/>
      <c r="F170" s="181"/>
      <c r="G170" s="179"/>
      <c r="H170" s="190"/>
      <c r="I170" s="190"/>
      <c r="J170" s="187"/>
      <c r="K170" s="187"/>
      <c r="L170" s="184" t="str">
        <f>IFERROR(__xludf.DUMMYFUNCTION("ifna(IF(and(D170=""Saída"",J170=""Sangria""),if(sum(QUERY(IMPORTRANGE(""https://docs.google.com/spreadsheets/d/1E4szPcLzsqlw4uyBAoJ61L1ChCgpz4wVP8tHfHW1g_c"",""BD M Sangrias!a:i""),""select Col6 where Col7 = 'Depositada' and Col9 = '""&amp;K170&amp;""' and Col6 ="&amp;" ""&amp;M170&amp;"" and Col4 = date '""&amp;YEAR(C170)&amp;""-""&amp;MONTH(C170)&amp;""-""&amp;DAY(C170)&amp;""'""))&gt;0,""Depositada"",if(sum(QUERY(IMPORTRANGE(""https://docs.google.com/spreadsheets/d/1EcLIvUgMoBC5as4ikW0wuQsGH5yVZ6cQ1y16qEfgPnk"",""BD M Sangrias!a:i""),""select Col6 whe"&amp;"re Col7 = 'Caixa Atendimento' and Col9 = '""&amp;K170&amp;""' and Col6 = ""&amp;M170&amp;"" and Col4 = date '""&amp;YEAR(C170)&amp;""-""&amp;MONTH(C170)&amp;""-""&amp;DAY(C170)&amp;""'""))&gt;0,""Caixa Atendimento"",""Caixa Sangria"")),""""),""Caixa Sangria"")"),"")</f>
        <v/>
      </c>
      <c r="M170" s="185" t="str">
        <f>IFERROR(__xludf.DUMMYFUNCTION("ifna(VALUE(REGEXEXTRACT(E170,""[0-9.]+[,]+[0-9]+"")))"),"")</f>
        <v/>
      </c>
      <c r="N170" s="185"/>
      <c r="O170" s="185"/>
      <c r="P170" s="185"/>
      <c r="Q170" s="185"/>
      <c r="R170" s="185"/>
      <c r="S170" s="185"/>
      <c r="T170" s="185"/>
      <c r="U170" s="185"/>
      <c r="V170" s="185"/>
    </row>
    <row r="171" ht="14.25" customHeight="1">
      <c r="A171" s="178"/>
      <c r="B171" s="12"/>
      <c r="C171" s="13"/>
      <c r="D171" s="179"/>
      <c r="E171" s="180"/>
      <c r="F171" s="181"/>
      <c r="G171" s="179"/>
      <c r="H171" s="190"/>
      <c r="I171" s="190"/>
      <c r="J171" s="187"/>
      <c r="K171" s="187"/>
      <c r="L171" s="184" t="str">
        <f>IFERROR(__xludf.DUMMYFUNCTION("ifna(IF(and(D171=""Saída"",J171=""Sangria""),if(sum(QUERY(IMPORTRANGE(""https://docs.google.com/spreadsheets/d/1E4szPcLzsqlw4uyBAoJ61L1ChCgpz4wVP8tHfHW1g_c"",""BD M Sangrias!a:i""),""select Col6 where Col7 = 'Depositada' and Col9 = '""&amp;K171&amp;""' and Col6 ="&amp;" ""&amp;M171&amp;"" and Col4 = date '""&amp;YEAR(C171)&amp;""-""&amp;MONTH(C171)&amp;""-""&amp;DAY(C171)&amp;""'""))&gt;0,""Depositada"",if(sum(QUERY(IMPORTRANGE(""https://docs.google.com/spreadsheets/d/1EcLIvUgMoBC5as4ikW0wuQsGH5yVZ6cQ1y16qEfgPnk"",""BD M Sangrias!a:i""),""select Col6 whe"&amp;"re Col7 = 'Caixa Atendimento' and Col9 = '""&amp;K171&amp;""' and Col6 = ""&amp;M171&amp;"" and Col4 = date '""&amp;YEAR(C171)&amp;""-""&amp;MONTH(C171)&amp;""-""&amp;DAY(C171)&amp;""'""))&gt;0,""Caixa Atendimento"",""Caixa Sangria"")),""""),""Caixa Sangria"")"),"")</f>
        <v/>
      </c>
      <c r="M171" s="185" t="str">
        <f>IFERROR(__xludf.DUMMYFUNCTION("ifna(VALUE(REGEXEXTRACT(E171,""[0-9.]+[,]+[0-9]+"")))"),"")</f>
        <v/>
      </c>
      <c r="N171" s="185"/>
      <c r="O171" s="185"/>
      <c r="P171" s="185"/>
      <c r="Q171" s="185"/>
      <c r="R171" s="185"/>
      <c r="S171" s="185"/>
      <c r="T171" s="185"/>
      <c r="U171" s="185"/>
      <c r="V171" s="185"/>
    </row>
    <row r="172" ht="14.25" customHeight="1">
      <c r="A172" s="178"/>
      <c r="B172" s="12"/>
      <c r="C172" s="13"/>
      <c r="D172" s="179"/>
      <c r="E172" s="180"/>
      <c r="F172" s="181"/>
      <c r="G172" s="179"/>
      <c r="H172" s="190"/>
      <c r="I172" s="190"/>
      <c r="J172" s="187"/>
      <c r="K172" s="187"/>
      <c r="L172" s="184" t="str">
        <f>IFERROR(__xludf.DUMMYFUNCTION("ifna(IF(and(D172=""Saída"",J172=""Sangria""),if(sum(QUERY(IMPORTRANGE(""https://docs.google.com/spreadsheets/d/1E4szPcLzsqlw4uyBAoJ61L1ChCgpz4wVP8tHfHW1g_c"",""BD M Sangrias!a:i""),""select Col6 where Col7 = 'Depositada' and Col9 = '""&amp;K172&amp;""' and Col6 ="&amp;" ""&amp;M172&amp;"" and Col4 = date '""&amp;YEAR(C172)&amp;""-""&amp;MONTH(C172)&amp;""-""&amp;DAY(C172)&amp;""'""))&gt;0,""Depositada"",if(sum(QUERY(IMPORTRANGE(""https://docs.google.com/spreadsheets/d/1EcLIvUgMoBC5as4ikW0wuQsGH5yVZ6cQ1y16qEfgPnk"",""BD M Sangrias!a:i""),""select Col6 whe"&amp;"re Col7 = 'Caixa Atendimento' and Col9 = '""&amp;K172&amp;""' and Col6 = ""&amp;M172&amp;"" and Col4 = date '""&amp;YEAR(C172)&amp;""-""&amp;MONTH(C172)&amp;""-""&amp;DAY(C172)&amp;""'""))&gt;0,""Caixa Atendimento"",""Caixa Sangria"")),""""),""Caixa Sangria"")"),"")</f>
        <v/>
      </c>
      <c r="M172" s="185" t="str">
        <f>IFERROR(__xludf.DUMMYFUNCTION("ifna(VALUE(REGEXEXTRACT(E172,""[0-9.]+[,]+[0-9]+"")))"),"")</f>
        <v/>
      </c>
      <c r="N172" s="185"/>
      <c r="O172" s="185"/>
      <c r="P172" s="185"/>
      <c r="Q172" s="185"/>
      <c r="R172" s="185"/>
      <c r="S172" s="185"/>
      <c r="T172" s="185"/>
      <c r="U172" s="185"/>
      <c r="V172" s="185"/>
    </row>
    <row r="173" ht="14.25" customHeight="1">
      <c r="A173" s="178"/>
      <c r="B173" s="12"/>
      <c r="C173" s="13"/>
      <c r="D173" s="179"/>
      <c r="E173" s="180"/>
      <c r="F173" s="181"/>
      <c r="G173" s="179"/>
      <c r="H173" s="190"/>
      <c r="I173" s="190"/>
      <c r="J173" s="187"/>
      <c r="K173" s="187"/>
      <c r="L173" s="184" t="str">
        <f>IFERROR(__xludf.DUMMYFUNCTION("ifna(IF(and(D173=""Saída"",J173=""Sangria""),if(sum(QUERY(IMPORTRANGE(""https://docs.google.com/spreadsheets/d/1E4szPcLzsqlw4uyBAoJ61L1ChCgpz4wVP8tHfHW1g_c"",""BD M Sangrias!a:i""),""select Col6 where Col7 = 'Depositada' and Col9 = '""&amp;K173&amp;""' and Col6 ="&amp;" ""&amp;M173&amp;"" and Col4 = date '""&amp;YEAR(C173)&amp;""-""&amp;MONTH(C173)&amp;""-""&amp;DAY(C173)&amp;""'""))&gt;0,""Depositada"",if(sum(QUERY(IMPORTRANGE(""https://docs.google.com/spreadsheets/d/1EcLIvUgMoBC5as4ikW0wuQsGH5yVZ6cQ1y16qEfgPnk"",""BD M Sangrias!a:i""),""select Col6 whe"&amp;"re Col7 = 'Caixa Atendimento' and Col9 = '""&amp;K173&amp;""' and Col6 = ""&amp;M173&amp;"" and Col4 = date '""&amp;YEAR(C173)&amp;""-""&amp;MONTH(C173)&amp;""-""&amp;DAY(C173)&amp;""'""))&gt;0,""Caixa Atendimento"",""Caixa Sangria"")),""""),""Caixa Sangria"")"),"")</f>
        <v/>
      </c>
      <c r="M173" s="185" t="str">
        <f>IFERROR(__xludf.DUMMYFUNCTION("ifna(VALUE(REGEXEXTRACT(E173,""[0-9.]+[,]+[0-9]+"")))"),"")</f>
        <v/>
      </c>
      <c r="N173" s="185"/>
      <c r="O173" s="185"/>
      <c r="P173" s="185"/>
      <c r="Q173" s="185"/>
      <c r="R173" s="185"/>
      <c r="S173" s="185"/>
      <c r="T173" s="185"/>
      <c r="U173" s="185"/>
      <c r="V173" s="185"/>
    </row>
    <row r="174" ht="14.25" customHeight="1">
      <c r="A174" s="178"/>
      <c r="B174" s="12"/>
      <c r="C174" s="13"/>
      <c r="D174" s="179"/>
      <c r="E174" s="180"/>
      <c r="F174" s="181"/>
      <c r="G174" s="179"/>
      <c r="H174" s="190"/>
      <c r="I174" s="190"/>
      <c r="J174" s="187"/>
      <c r="K174" s="187"/>
      <c r="L174" s="184" t="str">
        <f>IFERROR(__xludf.DUMMYFUNCTION("ifna(IF(and(D174=""Saída"",J174=""Sangria""),if(sum(QUERY(IMPORTRANGE(""https://docs.google.com/spreadsheets/d/1E4szPcLzsqlw4uyBAoJ61L1ChCgpz4wVP8tHfHW1g_c"",""BD M Sangrias!a:i""),""select Col6 where Col7 = 'Depositada' and Col9 = '""&amp;K174&amp;""' and Col6 ="&amp;" ""&amp;M174&amp;"" and Col4 = date '""&amp;YEAR(C174)&amp;""-""&amp;MONTH(C174)&amp;""-""&amp;DAY(C174)&amp;""'""))&gt;0,""Depositada"",if(sum(QUERY(IMPORTRANGE(""https://docs.google.com/spreadsheets/d/1EcLIvUgMoBC5as4ikW0wuQsGH5yVZ6cQ1y16qEfgPnk"",""BD M Sangrias!a:i""),""select Col6 whe"&amp;"re Col7 = 'Caixa Atendimento' and Col9 = '""&amp;K174&amp;""' and Col6 = ""&amp;M174&amp;"" and Col4 = date '""&amp;YEAR(C174)&amp;""-""&amp;MONTH(C174)&amp;""-""&amp;DAY(C174)&amp;""'""))&gt;0,""Caixa Atendimento"",""Caixa Sangria"")),""""),""Caixa Sangria"")"),"")</f>
        <v/>
      </c>
      <c r="M174" s="185" t="str">
        <f>IFERROR(__xludf.DUMMYFUNCTION("ifna(VALUE(REGEXEXTRACT(E174,""[0-9.]+[,]+[0-9]+"")))"),"")</f>
        <v/>
      </c>
      <c r="N174" s="185"/>
      <c r="O174" s="185"/>
      <c r="P174" s="185"/>
      <c r="Q174" s="185"/>
      <c r="R174" s="185"/>
      <c r="S174" s="185"/>
      <c r="T174" s="185"/>
      <c r="U174" s="185"/>
      <c r="V174" s="185"/>
    </row>
    <row r="175" ht="14.25" customHeight="1">
      <c r="A175" s="178"/>
      <c r="B175" s="12"/>
      <c r="C175" s="13"/>
      <c r="D175" s="179"/>
      <c r="E175" s="180"/>
      <c r="F175" s="181"/>
      <c r="G175" s="179"/>
      <c r="H175" s="190"/>
      <c r="I175" s="190"/>
      <c r="J175" s="187"/>
      <c r="K175" s="187"/>
      <c r="L175" s="184" t="str">
        <f>IFERROR(__xludf.DUMMYFUNCTION("ifna(IF(and(D175=""Saída"",J175=""Sangria""),if(sum(QUERY(IMPORTRANGE(""https://docs.google.com/spreadsheets/d/1E4szPcLzsqlw4uyBAoJ61L1ChCgpz4wVP8tHfHW1g_c"",""BD M Sangrias!a:i""),""select Col6 where Col7 = 'Depositada' and Col9 = '""&amp;K175&amp;""' and Col6 ="&amp;" ""&amp;M175&amp;"" and Col4 = date '""&amp;YEAR(C175)&amp;""-""&amp;MONTH(C175)&amp;""-""&amp;DAY(C175)&amp;""'""))&gt;0,""Depositada"",if(sum(QUERY(IMPORTRANGE(""https://docs.google.com/spreadsheets/d/1EcLIvUgMoBC5as4ikW0wuQsGH5yVZ6cQ1y16qEfgPnk"",""BD M Sangrias!a:i""),""select Col6 whe"&amp;"re Col7 = 'Caixa Atendimento' and Col9 = '""&amp;K175&amp;""' and Col6 = ""&amp;M175&amp;"" and Col4 = date '""&amp;YEAR(C175)&amp;""-""&amp;MONTH(C175)&amp;""-""&amp;DAY(C175)&amp;""'""))&gt;0,""Caixa Atendimento"",""Caixa Sangria"")),""""),""Caixa Sangria"")"),"")</f>
        <v/>
      </c>
      <c r="M175" s="185" t="str">
        <f>IFERROR(__xludf.DUMMYFUNCTION("ifna(VALUE(REGEXEXTRACT(E175,""[0-9.]+[,]+[0-9]+"")))"),"")</f>
        <v/>
      </c>
      <c r="N175" s="185"/>
      <c r="O175" s="185"/>
      <c r="P175" s="185"/>
      <c r="Q175" s="185"/>
      <c r="R175" s="185"/>
      <c r="S175" s="185"/>
      <c r="T175" s="185"/>
      <c r="U175" s="185"/>
      <c r="V175" s="185"/>
    </row>
    <row r="176" ht="14.25" customHeight="1">
      <c r="A176" s="178"/>
      <c r="B176" s="12"/>
      <c r="C176" s="13"/>
      <c r="D176" s="179"/>
      <c r="E176" s="180"/>
      <c r="F176" s="188"/>
      <c r="G176" s="179"/>
      <c r="H176" s="190"/>
      <c r="I176" s="190"/>
      <c r="J176" s="187"/>
      <c r="K176" s="187"/>
      <c r="L176" s="184" t="str">
        <f>IFERROR(__xludf.DUMMYFUNCTION("ifna(IF(and(D176=""Saída"",#REF!=""Sangria""),if(sum(QUERY(IMPORTRANGE(""https://docs.google.com/spreadsheets/d/1E4szPcLzsqlw4uyBAoJ61L1ChCgpz4wVP8tHfHW1g_c"",""BD M Sangrias!a:i""),""select Col6 where Col7 = 'Depositada' and Col9 = '""&amp;K176&amp;""' and Col6 "&amp;"= ""&amp;M176&amp;"" and Col4 = date '""&amp;YEAR(C176)&amp;""-""&amp;MONTH(C176)&amp;""-""&amp;DAY(C176)&amp;""'""))&gt;0,""Depositada"",if(sum(QUERY(IMPORTRANGE(""https://docs.google.com/spreadsheets/d/1EcLIvUgMoBC5as4ikW0wuQsGH5yVZ6cQ1y16qEfgPnk"",""BD M Sangrias!a:i""),""select Col6 wh"&amp;"ere Col7 = 'Caixa Atendimento' and Col9 = '""&amp;K176&amp;""' and Col6 = ""&amp;M176&amp;"" and Col4 = date '""&amp;YEAR(C176)&amp;""-""&amp;MONTH(C176)&amp;""-""&amp;DAY(C176)&amp;""'""))&gt;0,""Caixa Atendimento"",""Caixa Sangria"")),""""),""Caixa Sangria"")"),"#REF!")</f>
        <v>#REF!</v>
      </c>
      <c r="M176" s="185" t="str">
        <f>IFERROR(__xludf.DUMMYFUNCTION("ifna(VALUE(REGEXEXTRACT(E176,""[0-9.]+[,]+[0-9]+"")))"),"")</f>
        <v/>
      </c>
      <c r="N176" s="185"/>
      <c r="O176" s="185"/>
      <c r="P176" s="185"/>
      <c r="Q176" s="185"/>
      <c r="R176" s="185"/>
      <c r="S176" s="185"/>
      <c r="T176" s="185"/>
      <c r="U176" s="185"/>
      <c r="V176" s="185"/>
    </row>
    <row r="177" ht="14.25" customHeight="1">
      <c r="A177" s="178"/>
      <c r="B177" s="12"/>
      <c r="C177" s="13"/>
      <c r="D177" s="179"/>
      <c r="E177" s="180"/>
      <c r="F177" s="181"/>
      <c r="G177" s="179"/>
      <c r="H177" s="190"/>
      <c r="I177" s="190"/>
      <c r="K177" s="187"/>
      <c r="L177" s="184" t="str">
        <f>IFERROR(__xludf.DUMMYFUNCTION("ifna(IF(and(D177=""Saída"",J176=""Sangria""),if(sum(QUERY(IMPORTRANGE(""https://docs.google.com/spreadsheets/d/1E4szPcLzsqlw4uyBAoJ61L1ChCgpz4wVP8tHfHW1g_c"",""BD M Sangrias!a:i""),""select Col6 where Col7 = 'Depositada' and Col9 = '""&amp;K177&amp;""' and Col6 ="&amp;" ""&amp;M177&amp;"" and Col4 = date '""&amp;YEAR(C177)&amp;""-""&amp;MONTH(C177)&amp;""-""&amp;DAY(C177)&amp;""'""))&gt;0,""Depositada"",if(sum(QUERY(IMPORTRANGE(""https://docs.google.com/spreadsheets/d/1EcLIvUgMoBC5as4ikW0wuQsGH5yVZ6cQ1y16qEfgPnk"",""BD M Sangrias!a:i""),""select Col6 whe"&amp;"re Col7 = 'Caixa Atendimento' and Col9 = '""&amp;K177&amp;""' and Col6 = ""&amp;M177&amp;"" and Col4 = date '""&amp;YEAR(C177)&amp;""-""&amp;MONTH(C177)&amp;""-""&amp;DAY(C177)&amp;""'""))&gt;0,""Caixa Atendimento"",""Caixa Sangria"")),""""),""Caixa Sangria"")"),"")</f>
        <v/>
      </c>
      <c r="M177" s="185" t="str">
        <f>IFERROR(__xludf.DUMMYFUNCTION("ifna(VALUE(REGEXEXTRACT(E177,""[0-9.]+[,]+[0-9]+"")))"),"")</f>
        <v/>
      </c>
      <c r="N177" s="185"/>
      <c r="O177" s="185"/>
      <c r="P177" s="185"/>
      <c r="Q177" s="185"/>
      <c r="R177" s="185"/>
      <c r="S177" s="185"/>
      <c r="T177" s="185"/>
      <c r="U177" s="185"/>
      <c r="V177" s="185"/>
    </row>
    <row r="178" ht="14.25" customHeight="1">
      <c r="A178" s="178"/>
      <c r="B178" s="12"/>
      <c r="C178" s="13"/>
      <c r="D178" s="179"/>
      <c r="E178" s="180"/>
      <c r="F178" s="181"/>
      <c r="G178" s="179"/>
      <c r="H178" s="190"/>
      <c r="I178" s="190"/>
      <c r="J178" s="187"/>
      <c r="K178" s="187"/>
      <c r="L178" s="184" t="str">
        <f>IFERROR(__xludf.DUMMYFUNCTION("ifna(IF(and(D178=""Saída"",J178=""Sangria""),if(sum(QUERY(IMPORTRANGE(""https://docs.google.com/spreadsheets/d/1E4szPcLzsqlw4uyBAoJ61L1ChCgpz4wVP8tHfHW1g_c"",""BD M Sangrias!a:i""),""select Col6 where Col7 = 'Depositada' and Col9 = '""&amp;K178&amp;""' and Col6 ="&amp;" ""&amp;M178&amp;"" and Col4 = date '""&amp;YEAR(C178)&amp;""-""&amp;MONTH(C178)&amp;""-""&amp;DAY(C178)&amp;""'""))&gt;0,""Depositada"",if(sum(QUERY(IMPORTRANGE(""https://docs.google.com/spreadsheets/d/1EcLIvUgMoBC5as4ikW0wuQsGH5yVZ6cQ1y16qEfgPnk"",""BD M Sangrias!a:i""),""select Col6 whe"&amp;"re Col7 = 'Caixa Atendimento' and Col9 = '""&amp;K178&amp;""' and Col6 = ""&amp;M178&amp;"" and Col4 = date '""&amp;YEAR(C178)&amp;""-""&amp;MONTH(C178)&amp;""-""&amp;DAY(C178)&amp;""'""))&gt;0,""Caixa Atendimento"",""Caixa Sangria"")),""""),""Caixa Sangria"")"),"")</f>
        <v/>
      </c>
      <c r="M178" s="185" t="str">
        <f>IFERROR(__xludf.DUMMYFUNCTION("ifna(VALUE(REGEXEXTRACT(E178,""[0-9.]+[,]+[0-9]+"")))"),"")</f>
        <v/>
      </c>
      <c r="N178" s="185"/>
      <c r="O178" s="185"/>
      <c r="P178" s="185"/>
      <c r="Q178" s="185"/>
      <c r="R178" s="185"/>
      <c r="S178" s="185"/>
      <c r="T178" s="185"/>
      <c r="U178" s="185"/>
      <c r="V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184" t="str">
        <f>IFERROR(__xludf.DUMMYFUNCTION("ifna(IF(and(D179=""Saída"",J179=""Sangria""),if(sum(QUERY(IMPORTRANGE(""https://docs.google.com/spreadsheets/d/1E4szPcLzsqlw4uyBAoJ61L1ChCgpz4wVP8tHfHW1g_c"",""BD M Sangrias!a:i""),""select Col6 where Col7 = 'Depositada' and Col9 = '""&amp;K179&amp;""' and Col6 ="&amp;" ""&amp;M179&amp;"" and Col4 = date '""&amp;YEAR(C179)&amp;""-""&amp;MONTH(C179)&amp;""-""&amp;DAY(C179)&amp;""'""))&gt;0,""Depositada"",if(sum(QUERY(IMPORTRANGE(""https://docs.google.com/spreadsheets/d/1EcLIvUgMoBC5as4ikW0wuQsGH5yVZ6cQ1y16qEfgPnk"",""BD M Sangrias!a:i""),""select Col6 whe"&amp;"re Col7 = 'Caixa Atendimento' and Col9 = '""&amp;K179&amp;""' and Col6 = ""&amp;M179&amp;"" and Col4 = date '""&amp;YEAR(C179)&amp;""-""&amp;MONTH(C179)&amp;""-""&amp;DAY(C179)&amp;""'""))&gt;0,""Caixa Atendimento"",""Caixa Sangria"")),""""),""Caixa Sangria"")"),"")</f>
        <v/>
      </c>
      <c r="M179" s="185" t="str">
        <f>IFERROR(__xludf.DUMMYFUNCTION("ifna(VALUE(REGEXEXTRACT(E179,""[0-9.]+[,]+[0-9]+"")))"),"")</f>
        <v/>
      </c>
      <c r="N179" s="185"/>
      <c r="O179" s="185"/>
      <c r="P179" s="185"/>
      <c r="Q179" s="185"/>
      <c r="R179" s="185"/>
      <c r="S179" s="185"/>
      <c r="T179" s="185"/>
      <c r="U179" s="185"/>
      <c r="V179" s="185"/>
    </row>
    <row r="180" ht="14.25" customHeight="1">
      <c r="A180" s="178"/>
      <c r="B180" s="12"/>
      <c r="C180" s="13"/>
      <c r="D180" s="179"/>
      <c r="E180" s="180"/>
      <c r="F180" s="188"/>
      <c r="G180" s="179"/>
      <c r="H180" s="190"/>
      <c r="I180" s="190"/>
      <c r="K180" s="187"/>
      <c r="L180" s="184" t="str">
        <f>IFERROR(__xludf.DUMMYFUNCTION("ifna(IF(and(D180=""Saída"",J180=""Sangria""),if(sum(QUERY(IMPORTRANGE(""https://docs.google.com/spreadsheets/d/1E4szPcLzsqlw4uyBAoJ61L1ChCgpz4wVP8tHfHW1g_c"",""BD M Sangrias!a:i""),""select Col6 where Col7 = 'Depositada' and Col9 = '""&amp;K180&amp;""' and Col6 ="&amp;" ""&amp;M180&amp;"" and Col4 = date '""&amp;YEAR(C180)&amp;""-""&amp;MONTH(C180)&amp;""-""&amp;DAY(C180)&amp;""'""))&gt;0,""Depositada"",if(sum(QUERY(IMPORTRANGE(""https://docs.google.com/spreadsheets/d/1EcLIvUgMoBC5as4ikW0wuQsGH5yVZ6cQ1y16qEfgPnk"",""BD M Sangrias!a:i""),""select Col6 whe"&amp;"re Col7 = 'Caixa Atendimento' and Col9 = '""&amp;K180&amp;""' and Col6 = ""&amp;M180&amp;"" and Col4 = date '""&amp;YEAR(C180)&amp;""-""&amp;MONTH(C180)&amp;""-""&amp;DAY(C180)&amp;""'""))&gt;0,""Caixa Atendimento"",""Caixa Sangria"")),""""),""Caixa Sangria"")"),"")</f>
        <v/>
      </c>
      <c r="M180" s="185" t="str">
        <f>IFERROR(__xludf.DUMMYFUNCTION("ifna(VALUE(REGEXEXTRACT(E180,""[0-9.]+[,]+[0-9]+"")))"),"")</f>
        <v/>
      </c>
      <c r="N180" s="185"/>
      <c r="O180" s="185"/>
      <c r="P180" s="185"/>
      <c r="Q180" s="185"/>
      <c r="R180" s="185"/>
      <c r="S180" s="185"/>
      <c r="T180" s="185"/>
      <c r="U180" s="185"/>
      <c r="V180" s="185"/>
    </row>
    <row r="181" ht="14.25" customHeight="1">
      <c r="A181" s="178"/>
      <c r="B181" s="12"/>
      <c r="C181" s="13"/>
      <c r="D181" s="179"/>
      <c r="E181" s="180"/>
      <c r="F181" s="181"/>
      <c r="G181" s="179"/>
      <c r="H181" s="190"/>
      <c r="I181" s="190"/>
      <c r="J181" s="187"/>
      <c r="K181" s="187"/>
      <c r="L181" s="184" t="str">
        <f>IFERROR(__xludf.DUMMYFUNCTION("ifna(IF(and(D181=""Saída"",J181=""Sangria""),if(sum(QUERY(IMPORTRANGE(""https://docs.google.com/spreadsheets/d/1E4szPcLzsqlw4uyBAoJ61L1ChCgpz4wVP8tHfHW1g_c"",""BD M Sangrias!a:i""),""select Col6 where Col7 = 'Depositada' and Col9 = '""&amp;K181&amp;""' and Col6 ="&amp;" ""&amp;M181&amp;"" and Col4 = date '""&amp;YEAR(C181)&amp;""-""&amp;MONTH(C181)&amp;""-""&amp;DAY(C181)&amp;""'""))&gt;0,""Depositada"",if(sum(QUERY(IMPORTRANGE(""https://docs.google.com/spreadsheets/d/1EcLIvUgMoBC5as4ikW0wuQsGH5yVZ6cQ1y16qEfgPnk"",""BD M Sangrias!a:i""),""select Col6 whe"&amp;"re Col7 = 'Caixa Atendimento' and Col9 = '""&amp;K181&amp;""' and Col6 = ""&amp;M181&amp;"" and Col4 = date '""&amp;YEAR(C181)&amp;""-""&amp;MONTH(C181)&amp;""-""&amp;DAY(C181)&amp;""'""))&gt;0,""Caixa Atendimento"",""Caixa Sangria"")),""""),""Caixa Sangria"")"),"")</f>
        <v/>
      </c>
      <c r="M181" s="185" t="str">
        <f>IFERROR(__xludf.DUMMYFUNCTION("ifna(VALUE(REGEXEXTRACT(E181,""[0-9.]+[,]+[0-9]+"")))"),"")</f>
        <v/>
      </c>
      <c r="N181" s="185"/>
      <c r="O181" s="185"/>
      <c r="P181" s="185"/>
      <c r="Q181" s="185"/>
      <c r="R181" s="185"/>
      <c r="S181" s="185"/>
      <c r="T181" s="185"/>
      <c r="U181" s="185"/>
      <c r="V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184" t="str">
        <f>IFERROR(__xludf.DUMMYFUNCTION("ifna(IF(and(D182=""Saída"",J182=""Sangria""),if(sum(QUERY(IMPORTRANGE(""https://docs.google.com/spreadsheets/d/1E4szPcLzsqlw4uyBAoJ61L1ChCgpz4wVP8tHfHW1g_c"",""BD M Sangrias!a:i""),""select Col6 where Col7 = 'Depositada' and Col9 = '""&amp;K182&amp;""' and Col6 ="&amp;" ""&amp;M182&amp;"" and Col4 = date '""&amp;YEAR(C182)&amp;""-""&amp;MONTH(C182)&amp;""-""&amp;DAY(C182)&amp;""'""))&gt;0,""Depositada"",if(sum(QUERY(IMPORTRANGE(""https://docs.google.com/spreadsheets/d/1EcLIvUgMoBC5as4ikW0wuQsGH5yVZ6cQ1y16qEfgPnk"",""BD M Sangrias!a:i""),""select Col6 whe"&amp;"re Col7 = 'Caixa Atendimento' and Col9 = '""&amp;K182&amp;""' and Col6 = ""&amp;M182&amp;"" and Col4 = date '""&amp;YEAR(C182)&amp;""-""&amp;MONTH(C182)&amp;""-""&amp;DAY(C182)&amp;""'""))&gt;0,""Caixa Atendimento"",""Caixa Sangria"")),""""),""Caixa Sangria"")"),"")</f>
        <v/>
      </c>
      <c r="M182" s="185" t="str">
        <f>IFERROR(__xludf.DUMMYFUNCTION("ifna(VALUE(REGEXEXTRACT(E182,""[0-9.]+[,]+[0-9]+"")))"),"")</f>
        <v/>
      </c>
      <c r="N182" s="185"/>
      <c r="O182" s="185"/>
      <c r="P182" s="185"/>
      <c r="Q182" s="185"/>
      <c r="R182" s="185"/>
      <c r="S182" s="185"/>
      <c r="T182" s="185"/>
      <c r="U182" s="185"/>
      <c r="V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184" t="str">
        <f>IFERROR(__xludf.DUMMYFUNCTION("ifna(IF(and(D183=""Saída"",J183=""Sangria""),if(sum(QUERY(IMPORTRANGE(""https://docs.google.com/spreadsheets/d/1E4szPcLzsqlw4uyBAoJ61L1ChCgpz4wVP8tHfHW1g_c"",""BD M Sangrias!a:i""),""select Col6 where Col7 = 'Depositada' and Col9 = '""&amp;K183&amp;""' and Col6 ="&amp;" ""&amp;M183&amp;"" and Col4 = date '""&amp;YEAR(C183)&amp;""-""&amp;MONTH(C183)&amp;""-""&amp;DAY(C183)&amp;""'""))&gt;0,""Depositada"",if(sum(QUERY(IMPORTRANGE(""https://docs.google.com/spreadsheets/d/1EcLIvUgMoBC5as4ikW0wuQsGH5yVZ6cQ1y16qEfgPnk"",""BD M Sangrias!a:i""),""select Col6 whe"&amp;"re Col7 = 'Caixa Atendimento' and Col9 = '""&amp;K183&amp;""' and Col6 = ""&amp;M183&amp;"" and Col4 = date '""&amp;YEAR(C183)&amp;""-""&amp;MONTH(C183)&amp;""-""&amp;DAY(C183)&amp;""'""))&gt;0,""Caixa Atendimento"",""Caixa Sangria"")),""""),""Caixa Sangria"")"),"")</f>
        <v/>
      </c>
      <c r="M183" s="185" t="str">
        <f>IFERROR(__xludf.DUMMYFUNCTION("ifna(VALUE(REGEXEXTRACT(E183,""[0-9.]+[,]+[0-9]+"")))"),"")</f>
        <v/>
      </c>
      <c r="N183" s="185"/>
      <c r="O183" s="185"/>
      <c r="P183" s="185"/>
      <c r="Q183" s="185"/>
      <c r="R183" s="185"/>
      <c r="S183" s="185"/>
      <c r="T183" s="185"/>
      <c r="U183" s="185"/>
      <c r="V183" s="185"/>
    </row>
    <row r="184" ht="14.25" customHeight="1">
      <c r="A184" s="178"/>
      <c r="B184" s="12"/>
      <c r="C184" s="13"/>
      <c r="D184" s="179"/>
      <c r="E184" s="180"/>
      <c r="F184" s="188"/>
      <c r="G184" s="179"/>
      <c r="H184" s="190"/>
      <c r="I184" s="190"/>
      <c r="J184" s="187"/>
      <c r="K184" s="187"/>
      <c r="L184" s="184" t="str">
        <f>IFERROR(__xludf.DUMMYFUNCTION("ifna(IF(and(D184=""Saída"",J184=""Sangria""),if(sum(QUERY(IMPORTRANGE(""https://docs.google.com/spreadsheets/d/1E4szPcLzsqlw4uyBAoJ61L1ChCgpz4wVP8tHfHW1g_c"",""BD M Sangrias!a:i""),""select Col6 where Col7 = 'Depositada' and Col9 = '""&amp;K184&amp;""' and Col6 ="&amp;" ""&amp;M184&amp;"" and Col4 = date '""&amp;YEAR(C184)&amp;""-""&amp;MONTH(C184)&amp;""-""&amp;DAY(C184)&amp;""'""))&gt;0,""Depositada"",if(sum(QUERY(IMPORTRANGE(""https://docs.google.com/spreadsheets/d/1EcLIvUgMoBC5as4ikW0wuQsGH5yVZ6cQ1y16qEfgPnk"",""BD M Sangrias!a:i""),""select Col6 whe"&amp;"re Col7 = 'Caixa Atendimento' and Col9 = '""&amp;K184&amp;""' and Col6 = ""&amp;M184&amp;"" and Col4 = date '""&amp;YEAR(C184)&amp;""-""&amp;MONTH(C184)&amp;""-""&amp;DAY(C184)&amp;""'""))&gt;0,""Caixa Atendimento"",""Caixa Sangria"")),""""),""Caixa Sangria"")"),"")</f>
        <v/>
      </c>
      <c r="M184" s="185" t="str">
        <f>IFERROR(__xludf.DUMMYFUNCTION("ifna(VALUE(REGEXEXTRACT(E184,""[0-9.]+[,]+[0-9]+"")))"),"")</f>
        <v/>
      </c>
      <c r="N184" s="185"/>
      <c r="O184" s="185"/>
      <c r="P184" s="185"/>
      <c r="Q184" s="185"/>
      <c r="R184" s="185"/>
      <c r="S184" s="185"/>
      <c r="T184" s="185"/>
      <c r="U184" s="185"/>
      <c r="V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184" t="str">
        <f>IFERROR(__xludf.DUMMYFUNCTION("ifna(IF(and(D185=""Saída"",J185=""Sangria""),if(sum(QUERY(IMPORTRANGE(""https://docs.google.com/spreadsheets/d/1E4szPcLzsqlw4uyBAoJ61L1ChCgpz4wVP8tHfHW1g_c"",""BD M Sangrias!a:i""),""select Col6 where Col7 = 'Depositada' and Col9 = '""&amp;K185&amp;""' and Col6 ="&amp;" ""&amp;M185&amp;"" and Col4 = date '""&amp;YEAR(C185)&amp;""-""&amp;MONTH(C185)&amp;""-""&amp;DAY(C185)&amp;""'""))&gt;0,""Depositada"",if(sum(QUERY(IMPORTRANGE(""https://docs.google.com/spreadsheets/d/1EcLIvUgMoBC5as4ikW0wuQsGH5yVZ6cQ1y16qEfgPnk"",""BD M Sangrias!a:i""),""select Col6 whe"&amp;"re Col7 = 'Caixa Atendimento' and Col9 = '""&amp;K185&amp;""' and Col6 = ""&amp;M185&amp;"" and Col4 = date '""&amp;YEAR(C185)&amp;""-""&amp;MONTH(C185)&amp;""-""&amp;DAY(C185)&amp;""'""))&gt;0,""Caixa Atendimento"",""Caixa Sangria"")),""""),""Caixa Sangria"")"),"")</f>
        <v/>
      </c>
      <c r="M185" s="185" t="str">
        <f>IFERROR(__xludf.DUMMYFUNCTION("ifna(VALUE(REGEXEXTRACT(E185,""[0-9.]+[,]+[0-9]+"")))"),"")</f>
        <v/>
      </c>
      <c r="N185" s="185"/>
      <c r="O185" s="185"/>
      <c r="P185" s="185"/>
      <c r="Q185" s="185"/>
      <c r="R185" s="185"/>
      <c r="S185" s="185"/>
      <c r="T185" s="185"/>
      <c r="U185" s="185"/>
      <c r="V185" s="185"/>
    </row>
    <row r="186" ht="14.25" customHeight="1">
      <c r="A186" s="178"/>
      <c r="B186" s="12"/>
      <c r="C186" s="13"/>
      <c r="D186" s="179"/>
      <c r="E186" s="180"/>
      <c r="F186" s="188"/>
      <c r="G186" s="179"/>
      <c r="H186" s="190"/>
      <c r="I186" s="190"/>
      <c r="J186" s="187"/>
      <c r="K186" s="187"/>
      <c r="L186" s="184" t="str">
        <f>IFERROR(__xludf.DUMMYFUNCTION("ifna(IF(and(D186=""Saída"",J186=""Sangria""),if(sum(QUERY(IMPORTRANGE(""https://docs.google.com/spreadsheets/d/1E4szPcLzsqlw4uyBAoJ61L1ChCgpz4wVP8tHfHW1g_c"",""BD M Sangrias!a:i""),""select Col6 where Col7 = 'Depositada' and Col9 = '""&amp;K186&amp;""' and Col6 ="&amp;" ""&amp;M186&amp;"" and Col4 = date '""&amp;YEAR(C186)&amp;""-""&amp;MONTH(C186)&amp;""-""&amp;DAY(C186)&amp;""'""))&gt;0,""Depositada"",if(sum(QUERY(IMPORTRANGE(""https://docs.google.com/spreadsheets/d/1EcLIvUgMoBC5as4ikW0wuQsGH5yVZ6cQ1y16qEfgPnk"",""BD M Sangrias!a:i""),""select Col6 whe"&amp;"re Col7 = 'Caixa Atendimento' and Col9 = '""&amp;K186&amp;""' and Col6 = ""&amp;M186&amp;"" and Col4 = date '""&amp;YEAR(C186)&amp;""-""&amp;MONTH(C186)&amp;""-""&amp;DAY(C186)&amp;""'""))&gt;0,""Caixa Atendimento"",""Caixa Sangria"")),""""),""Caixa Sangria"")"),"")</f>
        <v/>
      </c>
      <c r="M186" s="185" t="str">
        <f>IFERROR(__xludf.DUMMYFUNCTION("ifna(VALUE(REGEXEXTRACT(E186,""[0-9.]+[,]+[0-9]+"")))"),"")</f>
        <v/>
      </c>
      <c r="N186" s="185"/>
      <c r="O186" s="185"/>
      <c r="P186" s="185"/>
      <c r="Q186" s="185"/>
      <c r="R186" s="185"/>
      <c r="S186" s="185"/>
      <c r="T186" s="185"/>
      <c r="U186" s="185"/>
      <c r="V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184" t="str">
        <f>IFERROR(__xludf.DUMMYFUNCTION("ifna(IF(and(D187=""Saída"",J187=""Sangria""),if(sum(QUERY(IMPORTRANGE(""https://docs.google.com/spreadsheets/d/1E4szPcLzsqlw4uyBAoJ61L1ChCgpz4wVP8tHfHW1g_c"",""BD M Sangrias!a:i""),""select Col6 where Col7 = 'Depositada' and Col9 = '""&amp;K187&amp;""' and Col6 ="&amp;" ""&amp;M187&amp;"" and Col4 = date '""&amp;YEAR(C187)&amp;""-""&amp;MONTH(C187)&amp;""-""&amp;DAY(C187)&amp;""'""))&gt;0,""Depositada"",if(sum(QUERY(IMPORTRANGE(""https://docs.google.com/spreadsheets/d/1EcLIvUgMoBC5as4ikW0wuQsGH5yVZ6cQ1y16qEfgPnk"",""BD M Sangrias!a:i""),""select Col6 whe"&amp;"re Col7 = 'Caixa Atendimento' and Col9 = '""&amp;K187&amp;""' and Col6 = ""&amp;M187&amp;"" and Col4 = date '""&amp;YEAR(C187)&amp;""-""&amp;MONTH(C187)&amp;""-""&amp;DAY(C187)&amp;""'""))&gt;0,""Caixa Atendimento"",""Caixa Sangria"")),""""),""Caixa Sangria"")"),"")</f>
        <v/>
      </c>
      <c r="M187" s="185" t="str">
        <f>IFERROR(__xludf.DUMMYFUNCTION("ifna(VALUE(REGEXEXTRACT(E187,""[0-9.]+[,]+[0-9]+"")))"),"")</f>
        <v/>
      </c>
      <c r="N187" s="185"/>
      <c r="O187" s="185"/>
      <c r="P187" s="185"/>
      <c r="Q187" s="185"/>
      <c r="R187" s="185"/>
      <c r="S187" s="185"/>
      <c r="T187" s="185"/>
      <c r="U187" s="185"/>
      <c r="V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184" t="str">
        <f>IFERROR(__xludf.DUMMYFUNCTION("ifna(IF(and(D188=""Saída"",J188=""Sangria""),if(sum(QUERY(IMPORTRANGE(""https://docs.google.com/spreadsheets/d/1E4szPcLzsqlw4uyBAoJ61L1ChCgpz4wVP8tHfHW1g_c"",""BD M Sangrias!a:i""),""select Col6 where Col7 = 'Depositada' and Col9 = '""&amp;K188&amp;""' and Col6 ="&amp;" ""&amp;M188&amp;"" and Col4 = date '""&amp;YEAR(C188)&amp;""-""&amp;MONTH(C188)&amp;""-""&amp;DAY(C188)&amp;""'""))&gt;0,""Depositada"",if(sum(QUERY(IMPORTRANGE(""https://docs.google.com/spreadsheets/d/1EcLIvUgMoBC5as4ikW0wuQsGH5yVZ6cQ1y16qEfgPnk"",""BD M Sangrias!a:i""),""select Col6 whe"&amp;"re Col7 = 'Caixa Atendimento' and Col9 = '""&amp;K188&amp;""' and Col6 = ""&amp;M188&amp;"" and Col4 = date '""&amp;YEAR(C188)&amp;""-""&amp;MONTH(C188)&amp;""-""&amp;DAY(C188)&amp;""'""))&gt;0,""Caixa Atendimento"",""Caixa Sangria"")),""""),""Caixa Sangria"")"),"")</f>
        <v/>
      </c>
      <c r="M188" s="185" t="str">
        <f>IFERROR(__xludf.DUMMYFUNCTION("ifna(VALUE(REGEXEXTRACT(E188,""[0-9.]+[,]+[0-9]+"")))"),"")</f>
        <v/>
      </c>
      <c r="N188" s="185"/>
      <c r="O188" s="185"/>
      <c r="P188" s="185"/>
      <c r="Q188" s="185"/>
      <c r="R188" s="185"/>
      <c r="S188" s="185"/>
      <c r="T188" s="185"/>
      <c r="U188" s="185"/>
      <c r="V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184" t="str">
        <f>IFERROR(__xludf.DUMMYFUNCTION("ifna(IF(and(D189=""Saída"",J189=""Sangria""),if(sum(QUERY(IMPORTRANGE(""https://docs.google.com/spreadsheets/d/1E4szPcLzsqlw4uyBAoJ61L1ChCgpz4wVP8tHfHW1g_c"",""BD M Sangrias!a:i""),""select Col6 where Col7 = 'Depositada' and Col9 = '""&amp;K189&amp;""' and Col6 ="&amp;" ""&amp;M189&amp;"" and Col4 = date '""&amp;YEAR(C189)&amp;""-""&amp;MONTH(C189)&amp;""-""&amp;DAY(C189)&amp;""'""))&gt;0,""Depositada"",if(sum(QUERY(IMPORTRANGE(""https://docs.google.com/spreadsheets/d/1EcLIvUgMoBC5as4ikW0wuQsGH5yVZ6cQ1y16qEfgPnk"",""BD M Sangrias!a:i""),""select Col6 whe"&amp;"re Col7 = 'Caixa Atendimento' and Col9 = '""&amp;K189&amp;""' and Col6 = ""&amp;M189&amp;"" and Col4 = date '""&amp;YEAR(C189)&amp;""-""&amp;MONTH(C189)&amp;""-""&amp;DAY(C189)&amp;""'""))&gt;0,""Caixa Atendimento"",""Caixa Sangria"")),""""),""Caixa Sangria"")"),"")</f>
        <v/>
      </c>
      <c r="M189" s="185" t="str">
        <f>IFERROR(__xludf.DUMMYFUNCTION("ifna(VALUE(REGEXEXTRACT(E189,""[0-9.]+[,]+[0-9]+"")))"),"")</f>
        <v/>
      </c>
      <c r="N189" s="185"/>
      <c r="O189" s="185"/>
      <c r="P189" s="185"/>
      <c r="Q189" s="185"/>
      <c r="R189" s="185"/>
      <c r="S189" s="185"/>
      <c r="T189" s="185"/>
      <c r="U189" s="185"/>
      <c r="V189" s="185"/>
    </row>
    <row r="190" ht="14.25" customHeight="1">
      <c r="A190" s="178"/>
      <c r="B190" s="12"/>
      <c r="C190" s="13"/>
      <c r="D190" s="179"/>
      <c r="E190" s="180"/>
      <c r="F190" s="181"/>
      <c r="G190" s="179"/>
      <c r="H190" s="190"/>
      <c r="I190" s="190"/>
      <c r="J190" s="187"/>
      <c r="K190" s="187"/>
      <c r="L190" s="184" t="str">
        <f>IFERROR(__xludf.DUMMYFUNCTION("ifna(IF(and(D190=""Saída"",J190=""Sangria""),if(sum(QUERY(IMPORTRANGE(""https://docs.google.com/spreadsheets/d/1E4szPcLzsqlw4uyBAoJ61L1ChCgpz4wVP8tHfHW1g_c"",""BD M Sangrias!a:i""),""select Col6 where Col7 = 'Depositada' and Col9 = '""&amp;K190&amp;""' and Col6 ="&amp;" ""&amp;M190&amp;"" and Col4 = date '""&amp;YEAR(C190)&amp;""-""&amp;MONTH(C190)&amp;""-""&amp;DAY(C190)&amp;""'""))&gt;0,""Depositada"",if(sum(QUERY(IMPORTRANGE(""https://docs.google.com/spreadsheets/d/1EcLIvUgMoBC5as4ikW0wuQsGH5yVZ6cQ1y16qEfgPnk"",""BD M Sangrias!a:i""),""select Col6 whe"&amp;"re Col7 = 'Caixa Atendimento' and Col9 = '""&amp;K190&amp;""' and Col6 = ""&amp;M190&amp;"" and Col4 = date '""&amp;YEAR(C190)&amp;""-""&amp;MONTH(C190)&amp;""-""&amp;DAY(C190)&amp;""'""))&gt;0,""Caixa Atendimento"",""Caixa Sangria"")),""""),""Caixa Sangria"")"),"")</f>
        <v/>
      </c>
      <c r="M190" s="185" t="str">
        <f>IFERROR(__xludf.DUMMYFUNCTION("ifna(VALUE(REGEXEXTRACT(E190,""[0-9.]+[,]+[0-9]+"")))"),"")</f>
        <v/>
      </c>
      <c r="N190" s="185"/>
      <c r="O190" s="185"/>
      <c r="P190" s="185"/>
      <c r="Q190" s="185"/>
      <c r="R190" s="185"/>
      <c r="S190" s="185"/>
      <c r="T190" s="185"/>
      <c r="U190" s="185"/>
      <c r="V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233"/>
      <c r="K191" s="187"/>
      <c r="L191" s="184" t="str">
        <f>IFERROR(__xludf.DUMMYFUNCTION("ifna(IF(and(D191=""Saída"",J191=""Sangria""),if(sum(QUERY(IMPORTRANGE(""https://docs.google.com/spreadsheets/d/1E4szPcLzsqlw4uyBAoJ61L1ChCgpz4wVP8tHfHW1g_c"",""BD M Sangrias!a:i""),""select Col6 where Col7 = 'Depositada' and Col9 = '""&amp;K191&amp;""' and Col6 ="&amp;" ""&amp;M191&amp;"" and Col4 = date '""&amp;YEAR(C191)&amp;""-""&amp;MONTH(C191)&amp;""-""&amp;DAY(C191)&amp;""'""))&gt;0,""Depositada"",if(sum(QUERY(IMPORTRANGE(""https://docs.google.com/spreadsheets/d/1EcLIvUgMoBC5as4ikW0wuQsGH5yVZ6cQ1y16qEfgPnk"",""BD M Sangrias!a:i""),""select Col6 whe"&amp;"re Col7 = 'Caixa Atendimento' and Col9 = '""&amp;K191&amp;""' and Col6 = ""&amp;M191&amp;"" and Col4 = date '""&amp;YEAR(C191)&amp;""-""&amp;MONTH(C191)&amp;""-""&amp;DAY(C191)&amp;""'""))&gt;0,""Caixa Atendimento"",""Caixa Sangria"")),""""),""Caixa Sangria"")"),"")</f>
        <v/>
      </c>
      <c r="M191" s="185" t="str">
        <f>IFERROR(__xludf.DUMMYFUNCTION("ifna(VALUE(REGEXEXTRACT(E191,""[0-9.]+[,]+[0-9]+"")))"),"")</f>
        <v/>
      </c>
      <c r="N191" s="185"/>
      <c r="O191" s="185"/>
      <c r="P191" s="185"/>
      <c r="Q191" s="185"/>
      <c r="R191" s="185"/>
      <c r="S191" s="185"/>
      <c r="T191" s="185"/>
      <c r="U191" s="185"/>
      <c r="V191" s="185"/>
    </row>
    <row r="192" ht="14.25" customHeight="1">
      <c r="A192" s="178"/>
      <c r="B192" s="12"/>
      <c r="C192" s="13"/>
      <c r="D192" s="179"/>
      <c r="E192" s="180"/>
      <c r="F192" s="188"/>
      <c r="G192" s="179"/>
      <c r="H192" s="190"/>
      <c r="I192" s="190"/>
      <c r="J192" s="187"/>
      <c r="K192" s="187"/>
      <c r="L192" s="184" t="str">
        <f>IFERROR(__xludf.DUMMYFUNCTION("ifna(IF(and(D192=""Saída"",J192=""Sangria""),if(sum(QUERY(IMPORTRANGE(""https://docs.google.com/spreadsheets/d/1E4szPcLzsqlw4uyBAoJ61L1ChCgpz4wVP8tHfHW1g_c"",""BD M Sangrias!a:i""),""select Col6 where Col7 = 'Depositada' and Col9 = '""&amp;K192&amp;""' and Col6 ="&amp;" ""&amp;M192&amp;"" and Col4 = date '""&amp;YEAR(C192)&amp;""-""&amp;MONTH(C192)&amp;""-""&amp;DAY(C192)&amp;""'""))&gt;0,""Depositada"",if(sum(QUERY(IMPORTRANGE(""https://docs.google.com/spreadsheets/d/1EcLIvUgMoBC5as4ikW0wuQsGH5yVZ6cQ1y16qEfgPnk"",""BD M Sangrias!a:i""),""select Col6 whe"&amp;"re Col7 = 'Caixa Atendimento' and Col9 = '""&amp;K192&amp;""' and Col6 = ""&amp;M192&amp;"" and Col4 = date '""&amp;YEAR(C192)&amp;""-""&amp;MONTH(C192)&amp;""-""&amp;DAY(C192)&amp;""'""))&gt;0,""Caixa Atendimento"",""Caixa Sangria"")),""""),""Caixa Sangria"")"),"")</f>
        <v/>
      </c>
      <c r="M192" s="185" t="str">
        <f>IFERROR(__xludf.DUMMYFUNCTION("ifna(VALUE(REGEXEXTRACT(E192,""[0-9.]+[,]+[0-9]+"")))"),"")</f>
        <v/>
      </c>
      <c r="N192" s="185"/>
      <c r="O192" s="185"/>
      <c r="P192" s="185"/>
      <c r="Q192" s="185"/>
      <c r="R192" s="185"/>
      <c r="S192" s="185"/>
      <c r="T192" s="185"/>
      <c r="U192" s="185"/>
      <c r="V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184" t="str">
        <f>IFERROR(__xludf.DUMMYFUNCTION("ifna(IF(and(D193=""Saída"",J193=""Sangria""),if(sum(QUERY(IMPORTRANGE(""https://docs.google.com/spreadsheets/d/1E4szPcLzsqlw4uyBAoJ61L1ChCgpz4wVP8tHfHW1g_c"",""BD M Sangrias!a:i""),""select Col6 where Col7 = 'Depositada' and Col9 = '""&amp;K193&amp;""' and Col6 ="&amp;" ""&amp;M193&amp;"" and Col4 = date '""&amp;YEAR(C193)&amp;""-""&amp;MONTH(C193)&amp;""-""&amp;DAY(C193)&amp;""'""))&gt;0,""Depositada"",if(sum(QUERY(IMPORTRANGE(""https://docs.google.com/spreadsheets/d/1EcLIvUgMoBC5as4ikW0wuQsGH5yVZ6cQ1y16qEfgPnk"",""BD M Sangrias!a:i""),""select Col6 whe"&amp;"re Col7 = 'Caixa Atendimento' and Col9 = '""&amp;K193&amp;""' and Col6 = ""&amp;M193&amp;"" and Col4 = date '""&amp;YEAR(C193)&amp;""-""&amp;MONTH(C193)&amp;""-""&amp;DAY(C193)&amp;""'""))&gt;0,""Caixa Atendimento"",""Caixa Sangria"")),""""),""Caixa Sangria"")"),"")</f>
        <v/>
      </c>
      <c r="M193" s="185" t="str">
        <f>IFERROR(__xludf.DUMMYFUNCTION("ifna(VALUE(REGEXEXTRACT(E193,""[0-9.]+[,]+[0-9]+"")))"),"")</f>
        <v/>
      </c>
      <c r="N193" s="185"/>
      <c r="O193" s="185"/>
      <c r="P193" s="185"/>
      <c r="Q193" s="185"/>
      <c r="R193" s="185"/>
      <c r="S193" s="185"/>
      <c r="T193" s="185"/>
      <c r="U193" s="185"/>
      <c r="V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184" t="str">
        <f>IFERROR(__xludf.DUMMYFUNCTION("ifna(IF(and(D194=""Saída"",J194=""Sangria""),if(sum(QUERY(IMPORTRANGE(""https://docs.google.com/spreadsheets/d/1E4szPcLzsqlw4uyBAoJ61L1ChCgpz4wVP8tHfHW1g_c"",""BD M Sangrias!a:i""),""select Col6 where Col7 = 'Depositada' and Col9 = '""&amp;K194&amp;""' and Col6 ="&amp;" ""&amp;M194&amp;"" and Col4 = date '""&amp;YEAR(C194)&amp;""-""&amp;MONTH(C194)&amp;""-""&amp;DAY(C194)&amp;""'""))&gt;0,""Depositada"",if(sum(QUERY(IMPORTRANGE(""https://docs.google.com/spreadsheets/d/1EcLIvUgMoBC5as4ikW0wuQsGH5yVZ6cQ1y16qEfgPnk"",""BD M Sangrias!a:i""),""select Col6 whe"&amp;"re Col7 = 'Caixa Atendimento' and Col9 = '""&amp;K194&amp;""' and Col6 = ""&amp;M194&amp;"" and Col4 = date '""&amp;YEAR(C194)&amp;""-""&amp;MONTH(C194)&amp;""-""&amp;DAY(C194)&amp;""'""))&gt;0,""Caixa Atendimento"",""Caixa Sangria"")),""""),""Caixa Sangria"")"),"")</f>
        <v/>
      </c>
      <c r="M194" s="185" t="str">
        <f>IFERROR(__xludf.DUMMYFUNCTION("ifna(VALUE(REGEXEXTRACT(E194,""[0-9.]+[,]+[0-9]+"")))"),"")</f>
        <v/>
      </c>
      <c r="N194" s="185"/>
      <c r="O194" s="185"/>
      <c r="P194" s="185"/>
      <c r="Q194" s="185"/>
      <c r="R194" s="185"/>
      <c r="S194" s="185"/>
      <c r="T194" s="185"/>
      <c r="U194" s="185"/>
      <c r="V194" s="185"/>
    </row>
    <row r="195" ht="14.25" customHeight="1">
      <c r="A195" s="178"/>
      <c r="B195" s="12"/>
      <c r="C195" s="13"/>
      <c r="D195" s="179"/>
      <c r="E195" s="180"/>
      <c r="F195" s="188"/>
      <c r="G195" s="179"/>
      <c r="H195" s="190"/>
      <c r="I195" s="190"/>
      <c r="J195" s="187"/>
      <c r="K195" s="187"/>
      <c r="L195" s="184" t="str">
        <f>IFERROR(__xludf.DUMMYFUNCTION("ifna(IF(and(D195=""Saída"",J195=""Sangria""),if(sum(QUERY(IMPORTRANGE(""https://docs.google.com/spreadsheets/d/1E4szPcLzsqlw4uyBAoJ61L1ChCgpz4wVP8tHfHW1g_c"",""BD M Sangrias!a:i""),""select Col6 where Col7 = 'Depositada' and Col9 = '""&amp;K195&amp;""' and Col6 ="&amp;" ""&amp;M195&amp;"" and Col4 = date '""&amp;YEAR(C195)&amp;""-""&amp;MONTH(C195)&amp;""-""&amp;DAY(C195)&amp;""'""))&gt;0,""Depositada"",if(sum(QUERY(IMPORTRANGE(""https://docs.google.com/spreadsheets/d/1EcLIvUgMoBC5as4ikW0wuQsGH5yVZ6cQ1y16qEfgPnk"",""BD M Sangrias!a:i""),""select Col6 whe"&amp;"re Col7 = 'Caixa Atendimento' and Col9 = '""&amp;K195&amp;""' and Col6 = ""&amp;M195&amp;"" and Col4 = date '""&amp;YEAR(C195)&amp;""-""&amp;MONTH(C195)&amp;""-""&amp;DAY(C195)&amp;""'""))&gt;0,""Caixa Atendimento"",""Caixa Sangria"")),""""),""Caixa Sangria"")"),"")</f>
        <v/>
      </c>
      <c r="M195" s="185" t="str">
        <f>IFERROR(__xludf.DUMMYFUNCTION("ifna(VALUE(REGEXEXTRACT(E195,""[0-9.]+[,]+[0-9]+"")))"),"")</f>
        <v/>
      </c>
      <c r="N195" s="185"/>
      <c r="O195" s="185"/>
      <c r="P195" s="185"/>
      <c r="Q195" s="185"/>
      <c r="R195" s="185"/>
      <c r="S195" s="185"/>
      <c r="T195" s="185"/>
      <c r="U195" s="185"/>
      <c r="V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K196" s="187"/>
      <c r="L196" s="184" t="str">
        <f>IFERROR(__xludf.DUMMYFUNCTION("ifna(IF(and(D196=""Saída"",J197=""Sangria""),if(sum(QUERY(IMPORTRANGE(""https://docs.google.com/spreadsheets/d/1E4szPcLzsqlw4uyBAoJ61L1ChCgpz4wVP8tHfHW1g_c"",""BD M Sangrias!a:i""),""select Col6 where Col7 = 'Depositada' and Col9 = '""&amp;K196&amp;""' and Col6 ="&amp;" ""&amp;M196&amp;"" and Col4 = date '""&amp;YEAR(C196)&amp;""-""&amp;MONTH(C196)&amp;""-""&amp;DAY(C196)&amp;""'""))&gt;0,""Depositada"",if(sum(QUERY(IMPORTRANGE(""https://docs.google.com/spreadsheets/d/1EcLIvUgMoBC5as4ikW0wuQsGH5yVZ6cQ1y16qEfgPnk"",""BD M Sangrias!a:i""),""select Col6 whe"&amp;"re Col7 = 'Caixa Atendimento' and Col9 = '""&amp;K196&amp;""' and Col6 = ""&amp;M196&amp;"" and Col4 = date '""&amp;YEAR(C196)&amp;""-""&amp;MONTH(C196)&amp;""-""&amp;DAY(C196)&amp;""'""))&gt;0,""Caixa Atendimento"",""Caixa Sangria"")),""""),""Caixa Sangria"")"),"")</f>
        <v/>
      </c>
      <c r="M196" s="185" t="str">
        <f>IFERROR(__xludf.DUMMYFUNCTION("ifna(VALUE(REGEXEXTRACT(E196,""[0-9.]+[,]+[0-9]+"")))"),"")</f>
        <v/>
      </c>
      <c r="N196" s="185"/>
      <c r="O196" s="185"/>
      <c r="P196" s="185"/>
      <c r="Q196" s="185"/>
      <c r="R196" s="185"/>
      <c r="S196" s="185"/>
      <c r="T196" s="185"/>
      <c r="U196" s="185"/>
      <c r="V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184" t="str">
        <f>IFERROR(__xludf.DUMMYFUNCTION("ifna(IF(and(D197=""Saída"",J198=""Sangria""),if(sum(QUERY(IMPORTRANGE(""https://docs.google.com/spreadsheets/d/1E4szPcLzsqlw4uyBAoJ61L1ChCgpz4wVP8tHfHW1g_c"",""BD M Sangrias!a:i""),""select Col6 where Col7 = 'Depositada' and Col9 = '""&amp;K197&amp;""' and Col6 ="&amp;" ""&amp;M197&amp;"" and Col4 = date '""&amp;YEAR(C197)&amp;""-""&amp;MONTH(C197)&amp;""-""&amp;DAY(C197)&amp;""'""))&gt;0,""Depositada"",if(sum(QUERY(IMPORTRANGE(""https://docs.google.com/spreadsheets/d/1EcLIvUgMoBC5as4ikW0wuQsGH5yVZ6cQ1y16qEfgPnk"",""BD M Sangrias!a:i""),""select Col6 whe"&amp;"re Col7 = 'Caixa Atendimento' and Col9 = '""&amp;K197&amp;""' and Col6 = ""&amp;M197&amp;"" and Col4 = date '""&amp;YEAR(C197)&amp;""-""&amp;MONTH(C197)&amp;""-""&amp;DAY(C197)&amp;""'""))&gt;0,""Caixa Atendimento"",""Caixa Sangria"")),""""),""Caixa Sangria"")"),"")</f>
        <v/>
      </c>
      <c r="M197" s="185" t="str">
        <f>IFERROR(__xludf.DUMMYFUNCTION("ifna(VALUE(REGEXEXTRACT(E197,""[0-9.]+[,]+[0-9]+"")))"),"")</f>
        <v/>
      </c>
      <c r="N197" s="185"/>
      <c r="O197" s="185"/>
      <c r="P197" s="185"/>
      <c r="Q197" s="185"/>
      <c r="R197" s="185"/>
      <c r="S197" s="185"/>
      <c r="T197" s="185"/>
      <c r="U197" s="185"/>
      <c r="V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184"/>
      <c r="M198" s="185" t="str">
        <f>IFERROR(__xludf.DUMMYFUNCTION("ifna(VALUE(REGEXEXTRACT(E198,""[0-9.]+[,]+[0-9]+"")))"),"")</f>
        <v/>
      </c>
      <c r="N198" s="185"/>
      <c r="O198" s="185"/>
      <c r="P198" s="185"/>
      <c r="Q198" s="185"/>
      <c r="R198" s="185"/>
      <c r="S198" s="185"/>
      <c r="T198" s="185"/>
      <c r="U198" s="185"/>
      <c r="V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184" t="str">
        <f>IFERROR(__xludf.DUMMYFUNCTION("ifna(IF(and(D199=""Saída"",J199=""Sangria""),if(sum(QUERY(IMPORTRANGE(""https://docs.google.com/spreadsheets/d/1E4szPcLzsqlw4uyBAoJ61L1ChCgpz4wVP8tHfHW1g_c"",""BD M Sangrias!a:i""),""select Col6 where Col7 = 'Depositada' and Col9 = '""&amp;K199&amp;""' and Col6 ="&amp;" ""&amp;M199&amp;"" and Col4 = date '""&amp;YEAR(C199)&amp;""-""&amp;MONTH(C199)&amp;""-""&amp;DAY(C199)&amp;""'""))&gt;0,""Depositada"",if(sum(QUERY(IMPORTRANGE(""https://docs.google.com/spreadsheets/d/1EcLIvUgMoBC5as4ikW0wuQsGH5yVZ6cQ1y16qEfgPnk"",""BD M Sangrias!a:i""),""select Col6 whe"&amp;"re Col7 = 'Caixa Atendimento' and Col9 = '""&amp;K199&amp;""' and Col6 = ""&amp;M199&amp;"" and Col4 = date '""&amp;YEAR(C199)&amp;""-""&amp;MONTH(C199)&amp;""-""&amp;DAY(C199)&amp;""'""))&gt;0,""Caixa Atendimento"",""Caixa Sangria"")),""""),""Caixa Sangria"")"),"")</f>
        <v/>
      </c>
      <c r="M199" s="185" t="str">
        <f>IFERROR(__xludf.DUMMYFUNCTION("ifna(VALUE(REGEXEXTRACT(E199,""[0-9.]+[,]+[0-9]+"")))"),"")</f>
        <v/>
      </c>
      <c r="N199" s="185"/>
      <c r="O199" s="185"/>
      <c r="P199" s="185"/>
      <c r="Q199" s="185"/>
      <c r="R199" s="185"/>
      <c r="S199" s="185"/>
      <c r="T199" s="185"/>
      <c r="U199" s="185"/>
      <c r="V199" s="185"/>
    </row>
    <row r="200" ht="14.25" customHeight="1">
      <c r="A200" s="178"/>
      <c r="B200" s="12"/>
      <c r="C200" s="13"/>
      <c r="D200" s="179"/>
      <c r="E200" s="180"/>
      <c r="F200" s="181"/>
      <c r="G200" s="179"/>
      <c r="H200" s="190"/>
      <c r="I200" s="190"/>
      <c r="J200" s="187"/>
      <c r="K200" s="187"/>
      <c r="L200" s="184" t="str">
        <f>IFERROR(__xludf.DUMMYFUNCTION("ifna(IF(and(D200=""Saída"",J200=""Sangria""),if(sum(QUERY(IMPORTRANGE(""https://docs.google.com/spreadsheets/d/1E4szPcLzsqlw4uyBAoJ61L1ChCgpz4wVP8tHfHW1g_c"",""BD M Sangrias!a:i""),""select Col6 where Col7 = 'Depositada' and Col9 = '""&amp;K200&amp;""' and Col6 ="&amp;" ""&amp;M200&amp;"" and Col4 = date '""&amp;YEAR(C200)&amp;""-""&amp;MONTH(C200)&amp;""-""&amp;DAY(C200)&amp;""'""))&gt;0,""Depositada"",if(sum(QUERY(IMPORTRANGE(""https://docs.google.com/spreadsheets/d/1EcLIvUgMoBC5as4ikW0wuQsGH5yVZ6cQ1y16qEfgPnk"",""BD M Sangrias!a:i""),""select Col6 whe"&amp;"re Col7 = 'Caixa Atendimento' and Col9 = '""&amp;K200&amp;""' and Col6 = ""&amp;M200&amp;"" and Col4 = date '""&amp;YEAR(C200)&amp;""-""&amp;MONTH(C200)&amp;""-""&amp;DAY(C200)&amp;""'""))&gt;0,""Caixa Atendimento"",""Caixa Sangria"")),""""),""Caixa Sangria"")"),"")</f>
        <v/>
      </c>
      <c r="M200" s="185" t="str">
        <f>IFERROR(__xludf.DUMMYFUNCTION("ifna(VALUE(REGEXEXTRACT(E200,""[0-9.]+[,]+[0-9]+"")))"),"")</f>
        <v/>
      </c>
      <c r="N200" s="185"/>
      <c r="O200" s="185"/>
      <c r="P200" s="185"/>
      <c r="Q200" s="185"/>
      <c r="R200" s="185"/>
      <c r="S200" s="185"/>
      <c r="T200" s="185"/>
      <c r="U200" s="185"/>
      <c r="V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184" t="str">
        <f>IFERROR(__xludf.DUMMYFUNCTION("ifna(IF(and(D201=""Saída"",J201=""Sangria""),if(sum(QUERY(IMPORTRANGE(""https://docs.google.com/spreadsheets/d/1E4szPcLzsqlw4uyBAoJ61L1ChCgpz4wVP8tHfHW1g_c"",""BD M Sangrias!a:i""),""select Col6 where Col7 = 'Depositada' and Col9 = '""&amp;K201&amp;""' and Col6 ="&amp;" ""&amp;M201&amp;"" and Col4 = date '""&amp;YEAR(C201)&amp;""-""&amp;MONTH(C201)&amp;""-""&amp;DAY(C201)&amp;""'""))&gt;0,""Depositada"",if(sum(QUERY(IMPORTRANGE(""https://docs.google.com/spreadsheets/d/1EcLIvUgMoBC5as4ikW0wuQsGH5yVZ6cQ1y16qEfgPnk"",""BD M Sangrias!a:i""),""select Col6 whe"&amp;"re Col7 = 'Caixa Atendimento' and Col9 = '""&amp;K201&amp;""' and Col6 = ""&amp;M201&amp;"" and Col4 = date '""&amp;YEAR(C201)&amp;""-""&amp;MONTH(C201)&amp;""-""&amp;DAY(C201)&amp;""'""))&gt;0,""Caixa Atendimento"",""Caixa Sangria"")),""""),""Caixa Sangria"")"),"")</f>
        <v/>
      </c>
      <c r="M201" s="185" t="str">
        <f>IFERROR(__xludf.DUMMYFUNCTION("ifna(VALUE(REGEXEXTRACT(E201,""[0-9.]+[,]+[0-9]+"")))"),"")</f>
        <v/>
      </c>
      <c r="N201" s="185"/>
      <c r="O201" s="185"/>
      <c r="P201" s="185"/>
      <c r="Q201" s="185"/>
      <c r="R201" s="185"/>
      <c r="S201" s="185"/>
      <c r="T201" s="185"/>
      <c r="U201" s="185"/>
      <c r="V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184" t="str">
        <f>IFERROR(__xludf.DUMMYFUNCTION("ifna(IF(and(D202=""Saída"",J202=""Sangria""),if(sum(QUERY(IMPORTRANGE(""https://docs.google.com/spreadsheets/d/1E4szPcLzsqlw4uyBAoJ61L1ChCgpz4wVP8tHfHW1g_c"",""BD M Sangrias!a:i""),""select Col6 where Col7 = 'Depositada' and Col9 = '""&amp;K202&amp;""' and Col6 ="&amp;" ""&amp;M202&amp;"" and Col4 = date '""&amp;YEAR(C202)&amp;""-""&amp;MONTH(C202)&amp;""-""&amp;DAY(C202)&amp;""'""))&gt;0,""Depositada"",if(sum(QUERY(IMPORTRANGE(""https://docs.google.com/spreadsheets/d/1EcLIvUgMoBC5as4ikW0wuQsGH5yVZ6cQ1y16qEfgPnk"",""BD M Sangrias!a:i""),""select Col6 whe"&amp;"re Col7 = 'Caixa Atendimento' and Col9 = '""&amp;K202&amp;""' and Col6 = ""&amp;M202&amp;"" and Col4 = date '""&amp;YEAR(C202)&amp;""-""&amp;MONTH(C202)&amp;""-""&amp;DAY(C202)&amp;""'""))&gt;0,""Caixa Atendimento"",""Caixa Sangria"")),""""),""Caixa Sangria"")"),"")</f>
        <v/>
      </c>
      <c r="M202" s="185" t="str">
        <f>IFERROR(__xludf.DUMMYFUNCTION("ifna(VALUE(REGEXEXTRACT(E202,""[0-9.]+[,]+[0-9]+"")))"),"")</f>
        <v/>
      </c>
      <c r="N202" s="185"/>
      <c r="O202" s="185"/>
      <c r="P202" s="185"/>
      <c r="Q202" s="185"/>
      <c r="R202" s="185"/>
      <c r="S202" s="185"/>
      <c r="T202" s="185"/>
      <c r="U202" s="185"/>
      <c r="V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184" t="str">
        <f>IFERROR(__xludf.DUMMYFUNCTION("ifna(IF(and(D203=""Saída"",J203=""Sangria""),if(sum(QUERY(IMPORTRANGE(""https://docs.google.com/spreadsheets/d/1E4szPcLzsqlw4uyBAoJ61L1ChCgpz4wVP8tHfHW1g_c"",""BD M Sangrias!a:i""),""select Col6 where Col7 = 'Depositada' and Col9 = '""&amp;K203&amp;""' and Col6 ="&amp;" ""&amp;M203&amp;"" and Col4 = date '""&amp;YEAR(C203)&amp;""-""&amp;MONTH(C203)&amp;""-""&amp;DAY(C203)&amp;""'""))&gt;0,""Depositada"",if(sum(QUERY(IMPORTRANGE(""https://docs.google.com/spreadsheets/d/1EcLIvUgMoBC5as4ikW0wuQsGH5yVZ6cQ1y16qEfgPnk"",""BD M Sangrias!a:i""),""select Col6 whe"&amp;"re Col7 = 'Caixa Atendimento' and Col9 = '""&amp;K203&amp;""' and Col6 = ""&amp;M203&amp;"" and Col4 = date '""&amp;YEAR(C203)&amp;""-""&amp;MONTH(C203)&amp;""-""&amp;DAY(C203)&amp;""'""))&gt;0,""Caixa Atendimento"",""Caixa Sangria"")),""""),""Caixa Sangria"")"),"")</f>
        <v/>
      </c>
      <c r="M203" s="185" t="str">
        <f>IFERROR(__xludf.DUMMYFUNCTION("ifna(VALUE(REGEXEXTRACT(E203,""[0-9.]+[,]+[0-9]+"")))"),"")</f>
        <v/>
      </c>
      <c r="N203" s="185"/>
      <c r="O203" s="185"/>
      <c r="P203" s="185"/>
      <c r="Q203" s="185"/>
      <c r="R203" s="185"/>
      <c r="S203" s="185"/>
      <c r="T203" s="185"/>
      <c r="U203" s="185"/>
      <c r="V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184" t="str">
        <f>IFERROR(__xludf.DUMMYFUNCTION("ifna(IF(and(D204=""Saída"",J204=""Sangria""),if(sum(QUERY(IMPORTRANGE(""https://docs.google.com/spreadsheets/d/1E4szPcLzsqlw4uyBAoJ61L1ChCgpz4wVP8tHfHW1g_c"",""BD M Sangrias!a:i""),""select Col6 where Col7 = 'Depositada' and Col9 = '""&amp;K204&amp;""' and Col6 ="&amp;" ""&amp;M204&amp;"" and Col4 = date '""&amp;YEAR(C204)&amp;""-""&amp;MONTH(C204)&amp;""-""&amp;DAY(C204)&amp;""'""))&gt;0,""Depositada"",if(sum(QUERY(IMPORTRANGE(""https://docs.google.com/spreadsheets/d/1EcLIvUgMoBC5as4ikW0wuQsGH5yVZ6cQ1y16qEfgPnk"",""BD M Sangrias!a:i""),""select Col6 whe"&amp;"re Col7 = 'Caixa Atendimento' and Col9 = '""&amp;K204&amp;""' and Col6 = ""&amp;M204&amp;"" and Col4 = date '""&amp;YEAR(C204)&amp;""-""&amp;MONTH(C204)&amp;""-""&amp;DAY(C204)&amp;""'""))&gt;0,""Caixa Atendimento"",""Caixa Sangria"")),""""),""Caixa Sangria"")"),"")</f>
        <v/>
      </c>
      <c r="M204" s="185" t="str">
        <f>IFERROR(__xludf.DUMMYFUNCTION("ifna(VALUE(REGEXEXTRACT(E204,""[0-9.]+[,]+[0-9]+"")))"),"")</f>
        <v/>
      </c>
      <c r="N204" s="185"/>
      <c r="O204" s="185"/>
      <c r="P204" s="185"/>
      <c r="Q204" s="185"/>
      <c r="R204" s="185"/>
      <c r="S204" s="185"/>
      <c r="T204" s="185"/>
      <c r="U204" s="185"/>
      <c r="V204" s="185"/>
    </row>
    <row r="205" ht="14.25" customHeight="1">
      <c r="A205" s="178"/>
      <c r="B205" s="12"/>
      <c r="C205" s="13"/>
      <c r="D205" s="179"/>
      <c r="E205" s="180"/>
      <c r="F205" s="188"/>
      <c r="G205" s="179"/>
      <c r="H205" s="190"/>
      <c r="I205" s="190"/>
      <c r="J205" s="187"/>
      <c r="K205" s="187"/>
      <c r="L205" s="184" t="str">
        <f>IFERROR(__xludf.DUMMYFUNCTION("ifna(IF(and(D205=""Saída"",J205=""Sangria""),if(sum(QUERY(IMPORTRANGE(""https://docs.google.com/spreadsheets/d/1E4szPcLzsqlw4uyBAoJ61L1ChCgpz4wVP8tHfHW1g_c"",""BD M Sangrias!a:i""),""select Col6 where Col7 = 'Depositada' and Col9 = '""&amp;K205&amp;""' and Col6 ="&amp;" ""&amp;M205&amp;"" and Col4 = date '""&amp;YEAR(C205)&amp;""-""&amp;MONTH(C205)&amp;""-""&amp;DAY(C205)&amp;""'""))&gt;0,""Depositada"",if(sum(QUERY(IMPORTRANGE(""https://docs.google.com/spreadsheets/d/1EcLIvUgMoBC5as4ikW0wuQsGH5yVZ6cQ1y16qEfgPnk"",""BD M Sangrias!a:i""),""select Col6 whe"&amp;"re Col7 = 'Caixa Atendimento' and Col9 = '""&amp;K205&amp;""' and Col6 = ""&amp;M205&amp;"" and Col4 = date '""&amp;YEAR(C205)&amp;""-""&amp;MONTH(C205)&amp;""-""&amp;DAY(C205)&amp;""'""))&gt;0,""Caixa Atendimento"",""Caixa Sangria"")),""""),""Caixa Sangria"")"),"")</f>
        <v/>
      </c>
      <c r="M205" s="185" t="str">
        <f>IFERROR(__xludf.DUMMYFUNCTION("ifna(VALUE(REGEXEXTRACT(E205,""[0-9.]+[,]+[0-9]+"")))"),"")</f>
        <v/>
      </c>
      <c r="N205" s="185"/>
      <c r="O205" s="185"/>
      <c r="P205" s="185"/>
      <c r="Q205" s="185"/>
      <c r="R205" s="185"/>
      <c r="S205" s="185"/>
      <c r="T205" s="185"/>
      <c r="U205" s="185"/>
      <c r="V205" s="185"/>
    </row>
    <row r="206" ht="14.25" customHeight="1">
      <c r="A206" s="178"/>
      <c r="B206" s="12"/>
      <c r="C206" s="13"/>
      <c r="D206" s="179"/>
      <c r="E206" s="180"/>
      <c r="F206" s="181"/>
      <c r="G206" s="179"/>
      <c r="H206" s="190"/>
      <c r="I206" s="190"/>
      <c r="J206" s="187"/>
      <c r="K206" s="187"/>
      <c r="L206" s="184" t="str">
        <f>IFERROR(__xludf.DUMMYFUNCTION("ifna(IF(and(D206=""Saída"",J206=""Sangria""),if(sum(QUERY(IMPORTRANGE(""https://docs.google.com/spreadsheets/d/1E4szPcLzsqlw4uyBAoJ61L1ChCgpz4wVP8tHfHW1g_c"",""BD M Sangrias!a:i""),""select Col6 where Col7 = 'Depositada' and Col9 = '""&amp;K206&amp;""' and Col6 ="&amp;" ""&amp;M206&amp;"" and Col4 = date '""&amp;YEAR(C206)&amp;""-""&amp;MONTH(C206)&amp;""-""&amp;DAY(C206)&amp;""'""))&gt;0,""Depositada"",if(sum(QUERY(IMPORTRANGE(""https://docs.google.com/spreadsheets/d/1EcLIvUgMoBC5as4ikW0wuQsGH5yVZ6cQ1y16qEfgPnk"",""BD M Sangrias!a:i""),""select Col6 whe"&amp;"re Col7 = 'Caixa Atendimento' and Col9 = '""&amp;K206&amp;""' and Col6 = ""&amp;M206&amp;"" and Col4 = date '""&amp;YEAR(C206)&amp;""-""&amp;MONTH(C206)&amp;""-""&amp;DAY(C206)&amp;""'""))&gt;0,""Caixa Atendimento"",""Caixa Sangria"")),""""),""Caixa Sangria"")"),"")</f>
        <v/>
      </c>
      <c r="M206" s="185" t="str">
        <f>IFERROR(__xludf.DUMMYFUNCTION("ifna(VALUE(REGEXEXTRACT(E206,""[0-9.]+[,]+[0-9]+"")))"),"")</f>
        <v/>
      </c>
      <c r="N206" s="185"/>
      <c r="O206" s="185"/>
      <c r="P206" s="185"/>
      <c r="Q206" s="185"/>
      <c r="R206" s="185"/>
      <c r="S206" s="185"/>
      <c r="T206" s="185"/>
      <c r="U206" s="185"/>
      <c r="V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184" t="str">
        <f>IFERROR(__xludf.DUMMYFUNCTION("ifna(IF(and(D207=""Saída"",J207=""Sangria""),if(sum(QUERY(IMPORTRANGE(""https://docs.google.com/spreadsheets/d/1E4szPcLzsqlw4uyBAoJ61L1ChCgpz4wVP8tHfHW1g_c"",""BD M Sangrias!a:i""),""select Col6 where Col7 = 'Depositada' and Col9 = '""&amp;K207&amp;""' and Col6 ="&amp;" ""&amp;M207&amp;"" and Col4 = date '""&amp;YEAR(C207)&amp;""-""&amp;MONTH(C207)&amp;""-""&amp;DAY(C207)&amp;""'""))&gt;0,""Depositada"",if(sum(QUERY(IMPORTRANGE(""https://docs.google.com/spreadsheets/d/1EcLIvUgMoBC5as4ikW0wuQsGH5yVZ6cQ1y16qEfgPnk"",""BD M Sangrias!a:i""),""select Col6 whe"&amp;"re Col7 = 'Caixa Atendimento' and Col9 = '""&amp;K207&amp;""' and Col6 = ""&amp;M207&amp;"" and Col4 = date '""&amp;YEAR(C207)&amp;""-""&amp;MONTH(C207)&amp;""-""&amp;DAY(C207)&amp;""'""))&gt;0,""Caixa Atendimento"",""Caixa Sangria"")),""""),""Caixa Sangria"")"),"")</f>
        <v/>
      </c>
      <c r="M207" s="185" t="str">
        <f>IFERROR(__xludf.DUMMYFUNCTION("ifna(VALUE(REGEXEXTRACT(E207,""[0-9.]+[,]+[0-9]+"")))"),"")</f>
        <v/>
      </c>
      <c r="N207" s="185"/>
      <c r="O207" s="185"/>
      <c r="P207" s="185"/>
      <c r="Q207" s="185"/>
      <c r="R207" s="185"/>
      <c r="S207" s="185"/>
      <c r="T207" s="185"/>
      <c r="U207" s="185"/>
      <c r="V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184"/>
      <c r="M208" s="185" t="str">
        <f>IFERROR(__xludf.DUMMYFUNCTION("ifna(VALUE(REGEXEXTRACT(E208,""[0-9.]+[,]+[0-9]+"")))"),"")</f>
        <v/>
      </c>
      <c r="N208" s="185"/>
      <c r="O208" s="185"/>
      <c r="P208" s="185"/>
      <c r="Q208" s="185"/>
      <c r="R208" s="185"/>
      <c r="S208" s="185"/>
      <c r="T208" s="185"/>
      <c r="U208" s="185"/>
      <c r="V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184" t="str">
        <f>IFERROR(__xludf.DUMMYFUNCTION("ifna(IF(and(D209=""Saída"",J208=""Sangria""),if(sum(QUERY(IMPORTRANGE(""https://docs.google.com/spreadsheets/d/1E4szPcLzsqlw4uyBAoJ61L1ChCgpz4wVP8tHfHW1g_c"",""BD M Sangrias!a:i""),""select Col6 where Col7 = 'Depositada' and Col9 = '""&amp;K209&amp;""' and Col6 ="&amp;" ""&amp;M209&amp;"" and Col4 = date '""&amp;YEAR(C209)&amp;""-""&amp;MONTH(C209)&amp;""-""&amp;DAY(C209)&amp;""'""))&gt;0,""Depositada"",if(sum(QUERY(IMPORTRANGE(""https://docs.google.com/spreadsheets/d/1EcLIvUgMoBC5as4ikW0wuQsGH5yVZ6cQ1y16qEfgPnk"",""BD M Sangrias!a:i""),""select Col6 whe"&amp;"re Col7 = 'Caixa Atendimento' and Col9 = '""&amp;K209&amp;""' and Col6 = ""&amp;M209&amp;"" and Col4 = date '""&amp;YEAR(C209)&amp;""-""&amp;MONTH(C209)&amp;""-""&amp;DAY(C209)&amp;""'""))&gt;0,""Caixa Atendimento"",""Caixa Sangria"")),""""),""Caixa Sangria"")"),"")</f>
        <v/>
      </c>
      <c r="M209" s="185" t="str">
        <f>IFERROR(__xludf.DUMMYFUNCTION("ifna(VALUE(REGEXEXTRACT(E209,""[0-9.]+[,]+[0-9]+"")))"),"")</f>
        <v/>
      </c>
      <c r="N209" s="185"/>
      <c r="O209" s="185"/>
      <c r="P209" s="185"/>
      <c r="Q209" s="185"/>
      <c r="R209" s="185"/>
      <c r="S209" s="185"/>
      <c r="T209" s="185"/>
      <c r="U209" s="185"/>
      <c r="V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184" t="str">
        <f>IFERROR(__xludf.DUMMYFUNCTION("ifna(IF(and(D210=""Saída"",J210=""Sangria""),if(sum(QUERY(IMPORTRANGE(""https://docs.google.com/spreadsheets/d/1E4szPcLzsqlw4uyBAoJ61L1ChCgpz4wVP8tHfHW1g_c"",""BD M Sangrias!a:i""),""select Col6 where Col7 = 'Depositada' and Col9 = '""&amp;K210&amp;""' and Col6 ="&amp;" ""&amp;M210&amp;"" and Col4 = date '""&amp;YEAR(C210)&amp;""-""&amp;MONTH(C210)&amp;""-""&amp;DAY(C210)&amp;""'""))&gt;0,""Depositada"",if(sum(QUERY(IMPORTRANGE(""https://docs.google.com/spreadsheets/d/1EcLIvUgMoBC5as4ikW0wuQsGH5yVZ6cQ1y16qEfgPnk"",""BD M Sangrias!a:i""),""select Col6 whe"&amp;"re Col7 = 'Caixa Atendimento' and Col9 = '""&amp;K210&amp;""' and Col6 = ""&amp;M210&amp;"" and Col4 = date '""&amp;YEAR(C210)&amp;""-""&amp;MONTH(C210)&amp;""-""&amp;DAY(C210)&amp;""'""))&gt;0,""Caixa Atendimento"",""Caixa Sangria"")),""""),""Caixa Sangria"")"),"")</f>
        <v/>
      </c>
      <c r="M210" s="185" t="str">
        <f>IFERROR(__xludf.DUMMYFUNCTION("ifna(VALUE(REGEXEXTRACT(E210,""[0-9.]+[,]+[0-9]+"")))"),"")</f>
        <v/>
      </c>
      <c r="N210" s="185"/>
      <c r="O210" s="185"/>
      <c r="P210" s="185"/>
      <c r="Q210" s="185"/>
      <c r="R210" s="185"/>
      <c r="S210" s="185"/>
      <c r="T210" s="185"/>
      <c r="U210" s="185"/>
      <c r="V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184" t="str">
        <f>IFERROR(__xludf.DUMMYFUNCTION("ifna(IF(and(D211=""Saída"",J211=""Sangria""),if(sum(QUERY(IMPORTRANGE(""https://docs.google.com/spreadsheets/d/1E4szPcLzsqlw4uyBAoJ61L1ChCgpz4wVP8tHfHW1g_c"",""BD M Sangrias!a:i""),""select Col6 where Col7 = 'Depositada' and Col9 = '""&amp;K211&amp;""' and Col6 ="&amp;" ""&amp;M211&amp;"" and Col4 = date '""&amp;YEAR(C211)&amp;""-""&amp;MONTH(C211)&amp;""-""&amp;DAY(C211)&amp;""'""))&gt;0,""Depositada"",if(sum(QUERY(IMPORTRANGE(""https://docs.google.com/spreadsheets/d/1EcLIvUgMoBC5as4ikW0wuQsGH5yVZ6cQ1y16qEfgPnk"",""BD M Sangrias!a:i""),""select Col6 whe"&amp;"re Col7 = 'Caixa Atendimento' and Col9 = '""&amp;K211&amp;""' and Col6 = ""&amp;M211&amp;"" and Col4 = date '""&amp;YEAR(C211)&amp;""-""&amp;MONTH(C211)&amp;""-""&amp;DAY(C211)&amp;""'""))&gt;0,""Caixa Atendimento"",""Caixa Sangria"")),""""),""Caixa Sangria"")"),"")</f>
        <v/>
      </c>
      <c r="M211" s="185" t="str">
        <f>IFERROR(__xludf.DUMMYFUNCTION("ifna(VALUE(REGEXEXTRACT(E211,""[0-9.]+[,]+[0-9]+"")))"),"")</f>
        <v/>
      </c>
      <c r="N211" s="185"/>
      <c r="O211" s="185"/>
      <c r="P211" s="185"/>
      <c r="Q211" s="185"/>
      <c r="R211" s="185"/>
      <c r="S211" s="185"/>
      <c r="T211" s="185"/>
      <c r="U211" s="185"/>
      <c r="V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184" t="str">
        <f>IFERROR(__xludf.DUMMYFUNCTION("ifna(IF(and(D212=""Saída"",J212=""Sangria""),if(sum(QUERY(IMPORTRANGE(""https://docs.google.com/spreadsheets/d/1E4szPcLzsqlw4uyBAoJ61L1ChCgpz4wVP8tHfHW1g_c"",""BD M Sangrias!a:i""),""select Col6 where Col7 = 'Depositada' and Col9 = '""&amp;K212&amp;""' and Col6 ="&amp;" ""&amp;M212&amp;"" and Col4 = date '""&amp;YEAR(C212)&amp;""-""&amp;MONTH(C212)&amp;""-""&amp;DAY(C212)&amp;""'""))&gt;0,""Depositada"",if(sum(QUERY(IMPORTRANGE(""https://docs.google.com/spreadsheets/d/1EcLIvUgMoBC5as4ikW0wuQsGH5yVZ6cQ1y16qEfgPnk"",""BD M Sangrias!a:i""),""select Col6 whe"&amp;"re Col7 = 'Caixa Atendimento' and Col9 = '""&amp;K212&amp;""' and Col6 = ""&amp;M212&amp;"" and Col4 = date '""&amp;YEAR(C212)&amp;""-""&amp;MONTH(C212)&amp;""-""&amp;DAY(C212)&amp;""'""))&gt;0,""Caixa Atendimento"",""Caixa Sangria"")),""""),""Caixa Sangria"")"),"")</f>
        <v/>
      </c>
      <c r="M212" s="185" t="str">
        <f>IFERROR(__xludf.DUMMYFUNCTION("ifna(VALUE(REGEXEXTRACT(E212,""[0-9.]+[,]+[0-9]+"")))"),"")</f>
        <v/>
      </c>
      <c r="N212" s="185"/>
      <c r="O212" s="185"/>
      <c r="P212" s="185"/>
      <c r="Q212" s="185"/>
      <c r="R212" s="185"/>
      <c r="S212" s="185"/>
      <c r="T212" s="185"/>
      <c r="U212" s="185"/>
      <c r="V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184" t="str">
        <f>IFERROR(__xludf.DUMMYFUNCTION("ifna(IF(and(D213=""Saída"",J213=""Sangria""),if(sum(QUERY(IMPORTRANGE(""https://docs.google.com/spreadsheets/d/1E4szPcLzsqlw4uyBAoJ61L1ChCgpz4wVP8tHfHW1g_c"",""BD M Sangrias!a:i""),""select Col6 where Col7 = 'Depositada' and Col9 = '""&amp;K213&amp;""' and Col6 ="&amp;" ""&amp;M213&amp;"" and Col4 = date '""&amp;YEAR(C213)&amp;""-""&amp;MONTH(C213)&amp;""-""&amp;DAY(C213)&amp;""'""))&gt;0,""Depositada"",if(sum(QUERY(IMPORTRANGE(""https://docs.google.com/spreadsheets/d/1EcLIvUgMoBC5as4ikW0wuQsGH5yVZ6cQ1y16qEfgPnk"",""BD M Sangrias!a:i""),""select Col6 whe"&amp;"re Col7 = 'Caixa Atendimento' and Col9 = '""&amp;K213&amp;""' and Col6 = ""&amp;M213&amp;"" and Col4 = date '""&amp;YEAR(C213)&amp;""-""&amp;MONTH(C213)&amp;""-""&amp;DAY(C213)&amp;""'""))&gt;0,""Caixa Atendimento"",""Caixa Sangria"")),""""),""Caixa Sangria"")"),"")</f>
        <v/>
      </c>
      <c r="M213" s="185" t="str">
        <f>IFERROR(__xludf.DUMMYFUNCTION("ifna(VALUE(REGEXEXTRACT(E213,""[0-9.]+[,]+[0-9]+"")))"),"")</f>
        <v/>
      </c>
      <c r="N213" s="185"/>
      <c r="O213" s="185"/>
      <c r="P213" s="185"/>
      <c r="Q213" s="185"/>
      <c r="R213" s="185"/>
      <c r="S213" s="185"/>
      <c r="T213" s="185"/>
      <c r="U213" s="185"/>
      <c r="V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184" t="str">
        <f>IFERROR(__xludf.DUMMYFUNCTION("ifna(IF(and(D214=""Saída"",J214=""Sangria""),if(sum(QUERY(IMPORTRANGE(""https://docs.google.com/spreadsheets/d/1E4szPcLzsqlw4uyBAoJ61L1ChCgpz4wVP8tHfHW1g_c"",""BD M Sangrias!a:i""),""select Col6 where Col7 = 'Depositada' and Col9 = '""&amp;K214&amp;""' and Col6 ="&amp;" ""&amp;M214&amp;"" and Col4 = date '""&amp;YEAR(C214)&amp;""-""&amp;MONTH(C214)&amp;""-""&amp;DAY(C214)&amp;""'""))&gt;0,""Depositada"",if(sum(QUERY(IMPORTRANGE(""https://docs.google.com/spreadsheets/d/1EcLIvUgMoBC5as4ikW0wuQsGH5yVZ6cQ1y16qEfgPnk"",""BD M Sangrias!a:i""),""select Col6 whe"&amp;"re Col7 = 'Caixa Atendimento' and Col9 = '""&amp;K214&amp;""' and Col6 = ""&amp;M214&amp;"" and Col4 = date '""&amp;YEAR(C214)&amp;""-""&amp;MONTH(C214)&amp;""-""&amp;DAY(C214)&amp;""'""))&gt;0,""Caixa Atendimento"",""Caixa Sangria"")),""""),""Caixa Sangria"")"),"")</f>
        <v/>
      </c>
      <c r="M214" s="185" t="str">
        <f>IFERROR(__xludf.DUMMYFUNCTION("ifna(VALUE(REGEXEXTRACT(#REF!,""[0-9.]+[,]+[0-9]+"")))"),"#REF!")</f>
        <v>#REF!</v>
      </c>
      <c r="N214" s="185"/>
      <c r="O214" s="185"/>
      <c r="P214" s="185"/>
      <c r="Q214" s="185"/>
      <c r="R214" s="185"/>
      <c r="S214" s="185"/>
      <c r="T214" s="185"/>
      <c r="U214" s="185"/>
      <c r="V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184" t="str">
        <f>IFERROR(__xludf.DUMMYFUNCTION("ifna(IF(and(D215=""Saída"",J215=""Sangria""),if(sum(QUERY(IMPORTRANGE(""https://docs.google.com/spreadsheets/d/1E4szPcLzsqlw4uyBAoJ61L1ChCgpz4wVP8tHfHW1g_c"",""BD M Sangrias!a:i""),""select Col6 where Col7 = 'Depositada' and Col9 = '""&amp;K215&amp;""' and Col6 ="&amp;" ""&amp;M215&amp;"" and Col4 = date '""&amp;YEAR(C215)&amp;""-""&amp;MONTH(C215)&amp;""-""&amp;DAY(C215)&amp;""'""))&gt;0,""Depositada"",if(sum(QUERY(IMPORTRANGE(""https://docs.google.com/spreadsheets/d/1EcLIvUgMoBC5as4ikW0wuQsGH5yVZ6cQ1y16qEfgPnk"",""BD M Sangrias!a:i""),""select Col6 whe"&amp;"re Col7 = 'Caixa Atendimento' and Col9 = '""&amp;K215&amp;""' and Col6 = ""&amp;M215&amp;"" and Col4 = date '""&amp;YEAR(C215)&amp;""-""&amp;MONTH(C215)&amp;""-""&amp;DAY(C215)&amp;""'""))&gt;0,""Caixa Atendimento"",""Caixa Sangria"")),""""),""Caixa Sangria"")"),"")</f>
        <v/>
      </c>
      <c r="M215" s="185" t="str">
        <f>IFERROR(__xludf.DUMMYFUNCTION("ifna(VALUE(REGEXEXTRACT(E214,""[0-9.]+[,]+[0-9]+"")))"),"")</f>
        <v/>
      </c>
      <c r="N215" s="185"/>
      <c r="O215" s="185"/>
      <c r="P215" s="185"/>
      <c r="Q215" s="185"/>
      <c r="R215" s="185"/>
      <c r="S215" s="185"/>
      <c r="T215" s="185"/>
      <c r="U215" s="185"/>
      <c r="V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184" t="str">
        <f>IFERROR(__xludf.DUMMYFUNCTION("ifna(IF(and(D216=""Saída"",J216=""Sangria""),if(sum(QUERY(IMPORTRANGE(""https://docs.google.com/spreadsheets/d/1E4szPcLzsqlw4uyBAoJ61L1ChCgpz4wVP8tHfHW1g_c"",""BD M Sangrias!a:i""),""select Col6 where Col7 = 'Depositada' and Col9 = '""&amp;K216&amp;""' and Col6 ="&amp;" ""&amp;M216&amp;"" and Col4 = date '""&amp;YEAR(C216)&amp;""-""&amp;MONTH(C216)&amp;""-""&amp;DAY(C216)&amp;""'""))&gt;0,""Depositada"",if(sum(QUERY(IMPORTRANGE(""https://docs.google.com/spreadsheets/d/1EcLIvUgMoBC5as4ikW0wuQsGH5yVZ6cQ1y16qEfgPnk"",""BD M Sangrias!a:i""),""select Col6 whe"&amp;"re Col7 = 'Caixa Atendimento' and Col9 = '""&amp;K216&amp;""' and Col6 = ""&amp;M216&amp;"" and Col4 = date '""&amp;YEAR(C216)&amp;""-""&amp;MONTH(C216)&amp;""-""&amp;DAY(C216)&amp;""'""))&gt;0,""Caixa Atendimento"",""Caixa Sangria"")),""""),""Caixa Sangria"")"),"")</f>
        <v/>
      </c>
      <c r="M216" s="185" t="str">
        <f>IFERROR(__xludf.DUMMYFUNCTION("ifna(VALUE(REGEXEXTRACT(E216,""[0-9.]+[,]+[0-9]+"")))"),"")</f>
        <v/>
      </c>
      <c r="N216" s="185"/>
      <c r="O216" s="185"/>
      <c r="P216" s="185"/>
      <c r="Q216" s="185"/>
      <c r="R216" s="185"/>
      <c r="S216" s="185"/>
      <c r="T216" s="185"/>
      <c r="U216" s="185"/>
      <c r="V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184" t="str">
        <f>IFERROR(__xludf.DUMMYFUNCTION("ifna(IF(and(D217=""Saída"",J217=""Sangria""),if(sum(QUERY(IMPORTRANGE(""https://docs.google.com/spreadsheets/d/1E4szPcLzsqlw4uyBAoJ61L1ChCgpz4wVP8tHfHW1g_c"",""BD M Sangrias!a:i""),""select Col6 where Col7 = 'Depositada' and Col9 = '""&amp;K217&amp;""' and Col6 ="&amp;" ""&amp;M217&amp;"" and Col4 = date '""&amp;YEAR(C217)&amp;""-""&amp;MONTH(C217)&amp;""-""&amp;DAY(C217)&amp;""'""))&gt;0,""Depositada"",if(sum(QUERY(IMPORTRANGE(""https://docs.google.com/spreadsheets/d/1EcLIvUgMoBC5as4ikW0wuQsGH5yVZ6cQ1y16qEfgPnk"",""BD M Sangrias!a:i""),""select Col6 whe"&amp;"re Col7 = 'Caixa Atendimento' and Col9 = '""&amp;K217&amp;""' and Col6 = ""&amp;M217&amp;"" and Col4 = date '""&amp;YEAR(C217)&amp;""-""&amp;MONTH(C217)&amp;""-""&amp;DAY(C217)&amp;""'""))&gt;0,""Caixa Atendimento"",""Caixa Sangria"")),""""),""Caixa Sangria"")"),"")</f>
        <v/>
      </c>
      <c r="M217" s="185" t="str">
        <f>IFERROR(__xludf.DUMMYFUNCTION("ifna(VALUE(REGEXEXTRACT(E217,""[0-9.]+[,]+[0-9]+"")))"),"")</f>
        <v/>
      </c>
      <c r="N217" s="185"/>
      <c r="O217" s="185"/>
      <c r="P217" s="185"/>
      <c r="Q217" s="185"/>
      <c r="R217" s="185"/>
      <c r="S217" s="185"/>
      <c r="T217" s="185"/>
      <c r="U217" s="185"/>
      <c r="V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184" t="str">
        <f>IFERROR(__xludf.DUMMYFUNCTION("ifna(IF(and(D218=""Saída"",J218=""Sangria""),if(sum(QUERY(IMPORTRANGE(""https://docs.google.com/spreadsheets/d/1E4szPcLzsqlw4uyBAoJ61L1ChCgpz4wVP8tHfHW1g_c"",""BD M Sangrias!a:i""),""select Col6 where Col7 = 'Depositada' and Col9 = '""&amp;K218&amp;""' and Col6 ="&amp;" ""&amp;M218&amp;"" and Col4 = date '""&amp;YEAR(C218)&amp;""-""&amp;MONTH(C218)&amp;""-""&amp;DAY(C218)&amp;""'""))&gt;0,""Depositada"",if(sum(QUERY(IMPORTRANGE(""https://docs.google.com/spreadsheets/d/1EcLIvUgMoBC5as4ikW0wuQsGH5yVZ6cQ1y16qEfgPnk"",""BD M Sangrias!a:i""),""select Col6 whe"&amp;"re Col7 = 'Caixa Atendimento' and Col9 = '""&amp;K218&amp;""' and Col6 = ""&amp;M218&amp;"" and Col4 = date '""&amp;YEAR(C218)&amp;""-""&amp;MONTH(C218)&amp;""-""&amp;DAY(C218)&amp;""'""))&gt;0,""Caixa Atendimento"",""Caixa Sangria"")),""""),""Caixa Sangria"")"),"")</f>
        <v/>
      </c>
      <c r="M218" s="185" t="str">
        <f>IFERROR(__xludf.DUMMYFUNCTION("ifna(VALUE(REGEXEXTRACT(E218,""[0-9.]+[,]+[0-9]+"")))"),"")</f>
        <v/>
      </c>
      <c r="N218" s="185"/>
      <c r="O218" s="185"/>
      <c r="P218" s="185"/>
      <c r="Q218" s="185"/>
      <c r="R218" s="185"/>
      <c r="S218" s="185"/>
      <c r="T218" s="185"/>
      <c r="U218" s="185"/>
      <c r="V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184" t="str">
        <f>IFERROR(__xludf.DUMMYFUNCTION("ifna(IF(and(D219=""Saída"",J219=""Sangria""),if(sum(QUERY(IMPORTRANGE(""https://docs.google.com/spreadsheets/d/1E4szPcLzsqlw4uyBAoJ61L1ChCgpz4wVP8tHfHW1g_c"",""BD M Sangrias!a:i""),""select Col6 where Col7 = 'Depositada' and Col9 = '""&amp;K219&amp;""' and Col6 ="&amp;" ""&amp;M219&amp;"" and Col4 = date '""&amp;YEAR(C219)&amp;""-""&amp;MONTH(C219)&amp;""-""&amp;DAY(C219)&amp;""'""))&gt;0,""Depositada"",if(sum(QUERY(IMPORTRANGE(""https://docs.google.com/spreadsheets/d/1EcLIvUgMoBC5as4ikW0wuQsGH5yVZ6cQ1y16qEfgPnk"",""BD M Sangrias!a:i""),""select Col6 whe"&amp;"re Col7 = 'Caixa Atendimento' and Col9 = '""&amp;K219&amp;""' and Col6 = ""&amp;M219&amp;"" and Col4 = date '""&amp;YEAR(C219)&amp;""-""&amp;MONTH(C219)&amp;""-""&amp;DAY(C219)&amp;""'""))&gt;0,""Caixa Atendimento"",""Caixa Sangria"")),""""),""Caixa Sangria"")"),"")</f>
        <v/>
      </c>
      <c r="M219" s="185" t="str">
        <f>IFERROR(__xludf.DUMMYFUNCTION("ifna(VALUE(REGEXEXTRACT(E219,""[0-9.]+[,]+[0-9]+"")))"),"")</f>
        <v/>
      </c>
      <c r="N219" s="185"/>
      <c r="O219" s="185"/>
      <c r="P219" s="185"/>
      <c r="Q219" s="185"/>
      <c r="R219" s="185"/>
      <c r="S219" s="185"/>
      <c r="T219" s="185"/>
      <c r="U219" s="185"/>
      <c r="V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184" t="str">
        <f>IFERROR(__xludf.DUMMYFUNCTION("ifna(IF(and(D220=""Saída"",J220=""Sangria""),if(sum(QUERY(IMPORTRANGE(""https://docs.google.com/spreadsheets/d/1E4szPcLzsqlw4uyBAoJ61L1ChCgpz4wVP8tHfHW1g_c"",""BD M Sangrias!a:i""),""select Col6 where Col7 = 'Depositada' and Col9 = '""&amp;K220&amp;""' and Col6 ="&amp;" ""&amp;M220&amp;"" and Col4 = date '""&amp;YEAR(C220)&amp;""-""&amp;MONTH(C220)&amp;""-""&amp;DAY(C220)&amp;""'""))&gt;0,""Depositada"",if(sum(QUERY(IMPORTRANGE(""https://docs.google.com/spreadsheets/d/1EcLIvUgMoBC5as4ikW0wuQsGH5yVZ6cQ1y16qEfgPnk"",""BD M Sangrias!a:i""),""select Col6 whe"&amp;"re Col7 = 'Caixa Atendimento' and Col9 = '""&amp;K220&amp;""' and Col6 = ""&amp;M220&amp;"" and Col4 = date '""&amp;YEAR(C220)&amp;""-""&amp;MONTH(C220)&amp;""-""&amp;DAY(C220)&amp;""'""))&gt;0,""Caixa Atendimento"",""Caixa Sangria"")),""""),""Caixa Sangria"")"),"")</f>
        <v/>
      </c>
      <c r="M220" s="185" t="str">
        <f>IFERROR(__xludf.DUMMYFUNCTION("ifna(VALUE(REGEXEXTRACT(E220,""[0-9.]+[,]+[0-9]+"")))"),"")</f>
        <v/>
      </c>
      <c r="N220" s="185"/>
      <c r="O220" s="185"/>
      <c r="P220" s="185"/>
      <c r="Q220" s="185"/>
      <c r="R220" s="185"/>
      <c r="S220" s="185"/>
      <c r="T220" s="185"/>
      <c r="U220" s="185"/>
      <c r="V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184" t="str">
        <f>IFERROR(__xludf.DUMMYFUNCTION("ifna(IF(and(D221=""Saída"",J221=""Sangria""),if(sum(QUERY(IMPORTRANGE(""https://docs.google.com/spreadsheets/d/1E4szPcLzsqlw4uyBAoJ61L1ChCgpz4wVP8tHfHW1g_c"",""BD M Sangrias!a:i""),""select Col6 where Col7 = 'Depositada' and Col9 = '""&amp;K221&amp;""' and Col6 ="&amp;" ""&amp;M221&amp;"" and Col4 = date '""&amp;YEAR(C221)&amp;""-""&amp;MONTH(C221)&amp;""-""&amp;DAY(C221)&amp;""'""))&gt;0,""Depositada"",if(sum(QUERY(IMPORTRANGE(""https://docs.google.com/spreadsheets/d/1EcLIvUgMoBC5as4ikW0wuQsGH5yVZ6cQ1y16qEfgPnk"",""BD M Sangrias!a:i""),""select Col6 whe"&amp;"re Col7 = 'Caixa Atendimento' and Col9 = '""&amp;K221&amp;""' and Col6 = ""&amp;M221&amp;"" and Col4 = date '""&amp;YEAR(C221)&amp;""-""&amp;MONTH(C221)&amp;""-""&amp;DAY(C221)&amp;""'""))&gt;0,""Caixa Atendimento"",""Caixa Sangria"")),""""),""Caixa Sangria"")"),"")</f>
        <v/>
      </c>
      <c r="M221" s="185" t="str">
        <f>IFERROR(__xludf.DUMMYFUNCTION("ifna(VALUE(REGEXEXTRACT(E221,""[0-9.]+[,]+[0-9]+"")))"),"")</f>
        <v/>
      </c>
      <c r="N221" s="185"/>
      <c r="O221" s="185"/>
      <c r="P221" s="185"/>
      <c r="Q221" s="185"/>
      <c r="R221" s="185"/>
      <c r="S221" s="185"/>
      <c r="T221" s="185"/>
      <c r="U221" s="185"/>
      <c r="V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184" t="str">
        <f>IFERROR(__xludf.DUMMYFUNCTION("ifna(IF(and(D222=""Saída"",J222=""Sangria""),if(sum(QUERY(IMPORTRANGE(""https://docs.google.com/spreadsheets/d/1E4szPcLzsqlw4uyBAoJ61L1ChCgpz4wVP8tHfHW1g_c"",""BD M Sangrias!a:i""),""select Col6 where Col7 = 'Depositada' and Col9 = '""&amp;K222&amp;""' and Col6 ="&amp;" ""&amp;M222&amp;"" and Col4 = date '""&amp;YEAR(C222)&amp;""-""&amp;MONTH(C222)&amp;""-""&amp;DAY(C222)&amp;""'""))&gt;0,""Depositada"",if(sum(QUERY(IMPORTRANGE(""https://docs.google.com/spreadsheets/d/1EcLIvUgMoBC5as4ikW0wuQsGH5yVZ6cQ1y16qEfgPnk"",""BD M Sangrias!a:i""),""select Col6 whe"&amp;"re Col7 = 'Caixa Atendimento' and Col9 = '""&amp;K222&amp;""' and Col6 = ""&amp;M222&amp;"" and Col4 = date '""&amp;YEAR(C222)&amp;""-""&amp;MONTH(C222)&amp;""-""&amp;DAY(C222)&amp;""'""))&gt;0,""Caixa Atendimento"",""Caixa Sangria"")),""""),""Caixa Sangria"")"),"")</f>
        <v/>
      </c>
      <c r="M222" s="185" t="str">
        <f>IFERROR(__xludf.DUMMYFUNCTION("ifna(VALUE(REGEXEXTRACT(E222,""[0-9.]+[,]+[0-9]+"")))"),"")</f>
        <v/>
      </c>
      <c r="N222" s="185"/>
      <c r="O222" s="185"/>
      <c r="P222" s="185"/>
      <c r="Q222" s="185"/>
      <c r="R222" s="185"/>
      <c r="S222" s="185"/>
      <c r="T222" s="185"/>
      <c r="U222" s="185"/>
      <c r="V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184" t="str">
        <f>IFERROR(__xludf.DUMMYFUNCTION("ifna(IF(and(D223=""Saída"",J223=""Sangria""),if(sum(QUERY(IMPORTRANGE(""https://docs.google.com/spreadsheets/d/1E4szPcLzsqlw4uyBAoJ61L1ChCgpz4wVP8tHfHW1g_c"",""BD M Sangrias!a:i""),""select Col6 where Col7 = 'Depositada' and Col9 = '""&amp;K223&amp;""' and Col6 ="&amp;" ""&amp;M223&amp;"" and Col4 = date '""&amp;YEAR(C223)&amp;""-""&amp;MONTH(C223)&amp;""-""&amp;DAY(C223)&amp;""'""))&gt;0,""Depositada"",if(sum(QUERY(IMPORTRANGE(""https://docs.google.com/spreadsheets/d/1EcLIvUgMoBC5as4ikW0wuQsGH5yVZ6cQ1y16qEfgPnk"",""BD M Sangrias!a:i""),""select Col6 whe"&amp;"re Col7 = 'Caixa Atendimento' and Col9 = '""&amp;K223&amp;""' and Col6 = ""&amp;M223&amp;"" and Col4 = date '""&amp;YEAR(C223)&amp;""-""&amp;MONTH(C223)&amp;""-""&amp;DAY(C223)&amp;""'""))&gt;0,""Caixa Atendimento"",""Caixa Sangria"")),""""),""Caixa Sangria"")"),"")</f>
        <v/>
      </c>
      <c r="M223" s="185" t="str">
        <f>IFERROR(__xludf.DUMMYFUNCTION("ifna(VALUE(REGEXEXTRACT(E223,""[0-9.]+[,]+[0-9]+"")))"),"")</f>
        <v/>
      </c>
      <c r="N223" s="185"/>
      <c r="O223" s="185"/>
      <c r="P223" s="185"/>
      <c r="Q223" s="185"/>
      <c r="R223" s="185"/>
      <c r="S223" s="185"/>
      <c r="T223" s="185"/>
      <c r="U223" s="185"/>
      <c r="V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184" t="str">
        <f>IFERROR(__xludf.DUMMYFUNCTION("ifna(IF(and(D224=""Saída"",J224=""Sangria""),if(sum(QUERY(IMPORTRANGE(""https://docs.google.com/spreadsheets/d/1E4szPcLzsqlw4uyBAoJ61L1ChCgpz4wVP8tHfHW1g_c"",""BD M Sangrias!a:i""),""select Col6 where Col7 = 'Depositada' and Col9 = '""&amp;K224&amp;""' and Col6 ="&amp;" ""&amp;M224&amp;"" and Col4 = date '""&amp;YEAR(C224)&amp;""-""&amp;MONTH(C224)&amp;""-""&amp;DAY(C224)&amp;""'""))&gt;0,""Depositada"",if(sum(QUERY(IMPORTRANGE(""https://docs.google.com/spreadsheets/d/1EcLIvUgMoBC5as4ikW0wuQsGH5yVZ6cQ1y16qEfgPnk"",""BD M Sangrias!a:i""),""select Col6 whe"&amp;"re Col7 = 'Caixa Atendimento' and Col9 = '""&amp;K224&amp;""' and Col6 = ""&amp;M224&amp;"" and Col4 = date '""&amp;YEAR(C224)&amp;""-""&amp;MONTH(C224)&amp;""-""&amp;DAY(C224)&amp;""'""))&gt;0,""Caixa Atendimento"",""Caixa Sangria"")),""""),""Caixa Sangria"")"),"")</f>
        <v/>
      </c>
      <c r="M224" s="185" t="str">
        <f>IFERROR(__xludf.DUMMYFUNCTION("ifna(VALUE(REGEXEXTRACT(E224,""[0-9.]+[,]+[0-9]+"")))"),"")</f>
        <v/>
      </c>
      <c r="N224" s="185"/>
      <c r="O224" s="185"/>
      <c r="P224" s="185"/>
      <c r="Q224" s="185"/>
      <c r="R224" s="185"/>
      <c r="S224" s="185"/>
      <c r="T224" s="185"/>
      <c r="U224" s="185"/>
      <c r="V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184" t="str">
        <f>IFERROR(__xludf.DUMMYFUNCTION("ifna(IF(and(D225=""Saída"",J225=""Sangria""),if(sum(QUERY(IMPORTRANGE(""https://docs.google.com/spreadsheets/d/1E4szPcLzsqlw4uyBAoJ61L1ChCgpz4wVP8tHfHW1g_c"",""BD M Sangrias!a:i""),""select Col6 where Col7 = 'Depositada' and Col9 = '""&amp;K225&amp;""' and Col6 ="&amp;" ""&amp;M225&amp;"" and Col4 = date '""&amp;YEAR(C225)&amp;""-""&amp;MONTH(C225)&amp;""-""&amp;DAY(C225)&amp;""'""))&gt;0,""Depositada"",if(sum(QUERY(IMPORTRANGE(""https://docs.google.com/spreadsheets/d/1EcLIvUgMoBC5as4ikW0wuQsGH5yVZ6cQ1y16qEfgPnk"",""BD M Sangrias!a:i""),""select Col6 whe"&amp;"re Col7 = 'Caixa Atendimento' and Col9 = '""&amp;K225&amp;""' and Col6 = ""&amp;M225&amp;"" and Col4 = date '""&amp;YEAR(C225)&amp;""-""&amp;MONTH(C225)&amp;""-""&amp;DAY(C225)&amp;""'""))&gt;0,""Caixa Atendimento"",""Caixa Sangria"")),""""),""Caixa Sangria"")"),"")</f>
        <v/>
      </c>
      <c r="M225" s="185" t="str">
        <f>IFERROR(__xludf.DUMMYFUNCTION("ifna(VALUE(REGEXEXTRACT(E225,""[0-9.]+[,]+[0-9]+"")))"),"")</f>
        <v/>
      </c>
      <c r="N225" s="185"/>
      <c r="O225" s="185"/>
      <c r="P225" s="185"/>
      <c r="Q225" s="185"/>
      <c r="R225" s="185"/>
      <c r="S225" s="185"/>
      <c r="T225" s="185"/>
      <c r="U225" s="185"/>
      <c r="V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184" t="str">
        <f>IFERROR(__xludf.DUMMYFUNCTION("ifna(IF(and(D226=""Saída"",J226=""Sangria""),if(sum(QUERY(IMPORTRANGE(""https://docs.google.com/spreadsheets/d/1E4szPcLzsqlw4uyBAoJ61L1ChCgpz4wVP8tHfHW1g_c"",""BD M Sangrias!a:i""),""select Col6 where Col7 = 'Depositada' and Col9 = '""&amp;K226&amp;""' and Col6 ="&amp;" ""&amp;M226&amp;"" and Col4 = date '""&amp;YEAR(C226)&amp;""-""&amp;MONTH(C226)&amp;""-""&amp;DAY(C226)&amp;""'""))&gt;0,""Depositada"",if(sum(QUERY(IMPORTRANGE(""https://docs.google.com/spreadsheets/d/1EcLIvUgMoBC5as4ikW0wuQsGH5yVZ6cQ1y16qEfgPnk"",""BD M Sangrias!a:i""),""select Col6 whe"&amp;"re Col7 = 'Caixa Atendimento' and Col9 = '""&amp;K226&amp;""' and Col6 = ""&amp;M226&amp;"" and Col4 = date '""&amp;YEAR(C226)&amp;""-""&amp;MONTH(C226)&amp;""-""&amp;DAY(C226)&amp;""'""))&gt;0,""Caixa Atendimento"",""Caixa Sangria"")),""""),""Caixa Sangria"")"),"")</f>
        <v/>
      </c>
      <c r="M226" s="185" t="str">
        <f>IFERROR(__xludf.DUMMYFUNCTION("ifna(VALUE(REGEXEXTRACT(E226,""[0-9.]+[,]+[0-9]+"")))"),"")</f>
        <v/>
      </c>
      <c r="N226" s="185"/>
      <c r="O226" s="185"/>
      <c r="P226" s="185"/>
      <c r="Q226" s="185"/>
      <c r="R226" s="185"/>
      <c r="S226" s="185"/>
      <c r="T226" s="185"/>
      <c r="U226" s="185"/>
      <c r="V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184" t="str">
        <f>IFERROR(__xludf.DUMMYFUNCTION("ifna(IF(and(D227=""Saída"",J227=""Sangria""),if(sum(QUERY(IMPORTRANGE(""https://docs.google.com/spreadsheets/d/1E4szPcLzsqlw4uyBAoJ61L1ChCgpz4wVP8tHfHW1g_c"",""BD M Sangrias!a:i""),""select Col6 where Col7 = 'Depositada' and Col9 = '""&amp;K227&amp;""' and Col6 ="&amp;" ""&amp;M227&amp;"" and Col4 = date '""&amp;YEAR(C227)&amp;""-""&amp;MONTH(C227)&amp;""-""&amp;DAY(C227)&amp;""'""))&gt;0,""Depositada"",if(sum(QUERY(IMPORTRANGE(""https://docs.google.com/spreadsheets/d/1EcLIvUgMoBC5as4ikW0wuQsGH5yVZ6cQ1y16qEfgPnk"",""BD M Sangrias!a:i""),""select Col6 whe"&amp;"re Col7 = 'Caixa Atendimento' and Col9 = '""&amp;K227&amp;""' and Col6 = ""&amp;M227&amp;"" and Col4 = date '""&amp;YEAR(C227)&amp;""-""&amp;MONTH(C227)&amp;""-""&amp;DAY(C227)&amp;""'""))&gt;0,""Caixa Atendimento"",""Caixa Sangria"")),""""),""Caixa Sangria"")"),"")</f>
        <v/>
      </c>
      <c r="M227" s="185" t="str">
        <f>IFERROR(__xludf.DUMMYFUNCTION("ifna(VALUE(REGEXEXTRACT(E227,""[0-9.]+[,]+[0-9]+"")))"),"")</f>
        <v/>
      </c>
      <c r="N227" s="185"/>
      <c r="O227" s="185"/>
      <c r="P227" s="185"/>
      <c r="Q227" s="185"/>
      <c r="R227" s="185"/>
      <c r="S227" s="185"/>
      <c r="T227" s="185"/>
      <c r="U227" s="185"/>
      <c r="V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184" t="str">
        <f>IFERROR(__xludf.DUMMYFUNCTION("ifna(IF(and(D228=""Saída"",J228=""Sangria""),if(sum(QUERY(IMPORTRANGE(""https://docs.google.com/spreadsheets/d/1E4szPcLzsqlw4uyBAoJ61L1ChCgpz4wVP8tHfHW1g_c"",""BD M Sangrias!a:i""),""select Col6 where Col7 = 'Depositada' and Col9 = '""&amp;K228&amp;""' and Col6 ="&amp;" ""&amp;M228&amp;"" and Col4 = date '""&amp;YEAR(C228)&amp;""-""&amp;MONTH(C228)&amp;""-""&amp;DAY(C228)&amp;""'""))&gt;0,""Depositada"",if(sum(QUERY(IMPORTRANGE(""https://docs.google.com/spreadsheets/d/1EcLIvUgMoBC5as4ikW0wuQsGH5yVZ6cQ1y16qEfgPnk"",""BD M Sangrias!a:i""),""select Col6 whe"&amp;"re Col7 = 'Caixa Atendimento' and Col9 = '""&amp;K228&amp;""' and Col6 = ""&amp;M228&amp;"" and Col4 = date '""&amp;YEAR(C228)&amp;""-""&amp;MONTH(C228)&amp;""-""&amp;DAY(C228)&amp;""'""))&gt;0,""Caixa Atendimento"",""Caixa Sangria"")),""""),""Caixa Sangria"")"),"")</f>
        <v/>
      </c>
      <c r="M228" s="185" t="str">
        <f>IFERROR(__xludf.DUMMYFUNCTION("ifna(VALUE(REGEXEXTRACT(E228,""[0-9.]+[,]+[0-9]+"")))"),"")</f>
        <v/>
      </c>
      <c r="N228" s="185"/>
      <c r="O228" s="185"/>
      <c r="P228" s="185"/>
      <c r="Q228" s="185"/>
      <c r="R228" s="185"/>
      <c r="S228" s="185"/>
      <c r="T228" s="185"/>
      <c r="U228" s="185"/>
      <c r="V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184" t="str">
        <f>IFERROR(__xludf.DUMMYFUNCTION("ifna(IF(and(D229=""Saída"",J229=""Sangria""),if(sum(QUERY(IMPORTRANGE(""https://docs.google.com/spreadsheets/d/1E4szPcLzsqlw4uyBAoJ61L1ChCgpz4wVP8tHfHW1g_c"",""BD M Sangrias!a:i""),""select Col6 where Col7 = 'Depositada' and Col9 = '""&amp;K229&amp;""' and Col6 ="&amp;" ""&amp;M229&amp;"" and Col4 = date '""&amp;YEAR(C229)&amp;""-""&amp;MONTH(C229)&amp;""-""&amp;DAY(C229)&amp;""'""))&gt;0,""Depositada"",if(sum(QUERY(IMPORTRANGE(""https://docs.google.com/spreadsheets/d/1EcLIvUgMoBC5as4ikW0wuQsGH5yVZ6cQ1y16qEfgPnk"",""BD M Sangrias!a:i""),""select Col6 whe"&amp;"re Col7 = 'Caixa Atendimento' and Col9 = '""&amp;K229&amp;""' and Col6 = ""&amp;M229&amp;"" and Col4 = date '""&amp;YEAR(C229)&amp;""-""&amp;MONTH(C229)&amp;""-""&amp;DAY(C229)&amp;""'""))&gt;0,""Caixa Atendimento"",""Caixa Sangria"")),""""),""Caixa Sangria"")"),"")</f>
        <v/>
      </c>
      <c r="M229" s="185" t="str">
        <f>IFERROR(__xludf.DUMMYFUNCTION("ifna(VALUE(REGEXEXTRACT(E229,""[0-9.]+[,]+[0-9]+"")))"),"")</f>
        <v/>
      </c>
      <c r="N229" s="185"/>
      <c r="O229" s="185"/>
      <c r="P229" s="185"/>
      <c r="Q229" s="185"/>
      <c r="R229" s="185"/>
      <c r="S229" s="185"/>
      <c r="T229" s="185"/>
      <c r="U229" s="185"/>
      <c r="V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184" t="str">
        <f>IFERROR(__xludf.DUMMYFUNCTION("ifna(IF(and(D230=""Saída"",J230=""Sangria""),if(sum(QUERY(IMPORTRANGE(""https://docs.google.com/spreadsheets/d/1E4szPcLzsqlw4uyBAoJ61L1ChCgpz4wVP8tHfHW1g_c"",""BD M Sangrias!a:i""),""select Col6 where Col7 = 'Depositada' and Col9 = '""&amp;K230&amp;""' and Col6 ="&amp;" ""&amp;M230&amp;"" and Col4 = date '""&amp;YEAR(C230)&amp;""-""&amp;MONTH(C230)&amp;""-""&amp;DAY(C230)&amp;""'""))&gt;0,""Depositada"",if(sum(QUERY(IMPORTRANGE(""https://docs.google.com/spreadsheets/d/1EcLIvUgMoBC5as4ikW0wuQsGH5yVZ6cQ1y16qEfgPnk"",""BD M Sangrias!a:i""),""select Col6 whe"&amp;"re Col7 = 'Caixa Atendimento' and Col9 = '""&amp;K230&amp;""' and Col6 = ""&amp;M230&amp;"" and Col4 = date '""&amp;YEAR(C230)&amp;""-""&amp;MONTH(C230)&amp;""-""&amp;DAY(C230)&amp;""'""))&gt;0,""Caixa Atendimento"",""Caixa Sangria"")),""""),""Caixa Sangria"")"),"")</f>
        <v/>
      </c>
      <c r="M230" s="185" t="str">
        <f>IFERROR(__xludf.DUMMYFUNCTION("ifna(VALUE(REGEXEXTRACT(E230,""[0-9.]+[,]+[0-9]+"")))"),"")</f>
        <v/>
      </c>
      <c r="N230" s="185"/>
      <c r="O230" s="185"/>
      <c r="P230" s="185"/>
      <c r="Q230" s="185"/>
      <c r="R230" s="185"/>
      <c r="S230" s="185"/>
      <c r="T230" s="185"/>
      <c r="U230" s="185"/>
      <c r="V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184" t="str">
        <f>IFERROR(__xludf.DUMMYFUNCTION("ifna(IF(and(D231=""Saída"",J231=""Sangria""),if(sum(QUERY(IMPORTRANGE(""https://docs.google.com/spreadsheets/d/1E4szPcLzsqlw4uyBAoJ61L1ChCgpz4wVP8tHfHW1g_c"",""BD M Sangrias!a:i""),""select Col6 where Col7 = 'Depositada' and Col9 = '""&amp;K231&amp;""' and Col6 ="&amp;" ""&amp;M231&amp;"" and Col4 = date '""&amp;YEAR(C231)&amp;""-""&amp;MONTH(C231)&amp;""-""&amp;DAY(C231)&amp;""'""))&gt;0,""Depositada"",if(sum(QUERY(IMPORTRANGE(""https://docs.google.com/spreadsheets/d/1EcLIvUgMoBC5as4ikW0wuQsGH5yVZ6cQ1y16qEfgPnk"",""BD M Sangrias!a:i""),""select Col6 whe"&amp;"re Col7 = 'Caixa Atendimento' and Col9 = '""&amp;K231&amp;""' and Col6 = ""&amp;M231&amp;"" and Col4 = date '""&amp;YEAR(C231)&amp;""-""&amp;MONTH(C231)&amp;""-""&amp;DAY(C231)&amp;""'""))&gt;0,""Caixa Atendimento"",""Caixa Sangria"")),""""),""Caixa Sangria"")"),"")</f>
        <v/>
      </c>
      <c r="M231" s="185" t="str">
        <f>IFERROR(__xludf.DUMMYFUNCTION("ifna(VALUE(REGEXEXTRACT(E231,""[0-9.]+[,]+[0-9]+"")))"),"")</f>
        <v/>
      </c>
      <c r="N231" s="185"/>
      <c r="O231" s="185"/>
      <c r="P231" s="185"/>
      <c r="Q231" s="185"/>
      <c r="R231" s="185"/>
      <c r="S231" s="185"/>
      <c r="T231" s="185"/>
      <c r="U231" s="185"/>
      <c r="V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184" t="str">
        <f>IFERROR(__xludf.DUMMYFUNCTION("ifna(IF(and(D232=""Saída"",J232=""Sangria""),if(sum(QUERY(IMPORTRANGE(""https://docs.google.com/spreadsheets/d/1E4szPcLzsqlw4uyBAoJ61L1ChCgpz4wVP8tHfHW1g_c"",""BD M Sangrias!a:i""),""select Col6 where Col7 = 'Depositada' and Col9 = '""&amp;K232&amp;""' and Col6 ="&amp;" ""&amp;M232&amp;"" and Col4 = date '""&amp;YEAR(C232)&amp;""-""&amp;MONTH(C232)&amp;""-""&amp;DAY(C232)&amp;""'""))&gt;0,""Depositada"",if(sum(QUERY(IMPORTRANGE(""https://docs.google.com/spreadsheets/d/1EcLIvUgMoBC5as4ikW0wuQsGH5yVZ6cQ1y16qEfgPnk"",""BD M Sangrias!a:i""),""select Col6 whe"&amp;"re Col7 = 'Caixa Atendimento' and Col9 = '""&amp;K232&amp;""' and Col6 = ""&amp;M232&amp;"" and Col4 = date '""&amp;YEAR(C232)&amp;""-""&amp;MONTH(C232)&amp;""-""&amp;DAY(C232)&amp;""'""))&gt;0,""Caixa Atendimento"",""Caixa Sangria"")),""""),""Caixa Sangria"")"),"")</f>
        <v/>
      </c>
      <c r="M232" s="185" t="str">
        <f>IFERROR(__xludf.DUMMYFUNCTION("ifna(VALUE(REGEXEXTRACT(E232,""[0-9.]+[,]+[0-9]+"")))"),"")</f>
        <v/>
      </c>
      <c r="N232" s="185"/>
      <c r="O232" s="185"/>
      <c r="P232" s="185"/>
      <c r="Q232" s="185"/>
      <c r="R232" s="185"/>
      <c r="S232" s="185"/>
      <c r="T232" s="185"/>
      <c r="U232" s="185"/>
      <c r="V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184" t="str">
        <f>IFERROR(__xludf.DUMMYFUNCTION("ifna(IF(and(D233=""Saída"",J233=""Sangria""),if(sum(QUERY(IMPORTRANGE(""https://docs.google.com/spreadsheets/d/1E4szPcLzsqlw4uyBAoJ61L1ChCgpz4wVP8tHfHW1g_c"",""BD M Sangrias!a:i""),""select Col6 where Col7 = 'Depositada' and Col9 = '""&amp;K233&amp;""' and Col6 ="&amp;" ""&amp;M233&amp;"" and Col4 = date '""&amp;YEAR(C233)&amp;""-""&amp;MONTH(C233)&amp;""-""&amp;DAY(C233)&amp;""'""))&gt;0,""Depositada"",if(sum(QUERY(IMPORTRANGE(""https://docs.google.com/spreadsheets/d/1EcLIvUgMoBC5as4ikW0wuQsGH5yVZ6cQ1y16qEfgPnk"",""BD M Sangrias!a:i""),""select Col6 whe"&amp;"re Col7 = 'Caixa Atendimento' and Col9 = '""&amp;K233&amp;""' and Col6 = ""&amp;M233&amp;"" and Col4 = date '""&amp;YEAR(C233)&amp;""-""&amp;MONTH(C233)&amp;""-""&amp;DAY(C233)&amp;""'""))&gt;0,""Caixa Atendimento"",""Caixa Sangria"")),""""),""Caixa Sangria"")"),"")</f>
        <v/>
      </c>
      <c r="M233" s="185" t="str">
        <f>IFERROR(__xludf.DUMMYFUNCTION("ifna(VALUE(REGEXEXTRACT(E233,""[0-9.]+[,]+[0-9]+"")))"),"")</f>
        <v/>
      </c>
      <c r="N233" s="185"/>
      <c r="O233" s="185"/>
      <c r="P233" s="185"/>
      <c r="Q233" s="185"/>
      <c r="R233" s="185"/>
      <c r="S233" s="185"/>
      <c r="T233" s="185"/>
      <c r="U233" s="185"/>
      <c r="V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184" t="str">
        <f>IFERROR(__xludf.DUMMYFUNCTION("ifna(IF(and(D234=""Saída"",J234=""Sangria""),if(sum(QUERY(IMPORTRANGE(""https://docs.google.com/spreadsheets/d/1E4szPcLzsqlw4uyBAoJ61L1ChCgpz4wVP8tHfHW1g_c"",""BD M Sangrias!a:i""),""select Col6 where Col7 = 'Depositada' and Col9 = '""&amp;K234&amp;""' and Col6 ="&amp;" ""&amp;M234&amp;"" and Col4 = date '""&amp;YEAR(C234)&amp;""-""&amp;MONTH(C234)&amp;""-""&amp;DAY(C234)&amp;""'""))&gt;0,""Depositada"",if(sum(QUERY(IMPORTRANGE(""https://docs.google.com/spreadsheets/d/1EcLIvUgMoBC5as4ikW0wuQsGH5yVZ6cQ1y16qEfgPnk"",""BD M Sangrias!a:i""),""select Col6 whe"&amp;"re Col7 = 'Caixa Atendimento' and Col9 = '""&amp;K234&amp;""' and Col6 = ""&amp;M234&amp;"" and Col4 = date '""&amp;YEAR(C234)&amp;""-""&amp;MONTH(C234)&amp;""-""&amp;DAY(C234)&amp;""'""))&gt;0,""Caixa Atendimento"",""Caixa Sangria"")),""""),""Caixa Sangria"")"),"")</f>
        <v/>
      </c>
      <c r="M234" s="185" t="str">
        <f>IFERROR(__xludf.DUMMYFUNCTION("ifna(VALUE(REGEXEXTRACT(E234,""[0-9.]+[,]+[0-9]+"")))"),"")</f>
        <v/>
      </c>
      <c r="N234" s="185"/>
      <c r="O234" s="185"/>
      <c r="P234" s="185"/>
      <c r="Q234" s="185"/>
      <c r="R234" s="185"/>
      <c r="S234" s="185"/>
      <c r="T234" s="185"/>
      <c r="U234" s="185"/>
      <c r="V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184" t="str">
        <f>IFERROR(__xludf.DUMMYFUNCTION("ifna(IF(and(D235=""Saída"",J235=""Sangria""),if(sum(QUERY(IMPORTRANGE(""https://docs.google.com/spreadsheets/d/1E4szPcLzsqlw4uyBAoJ61L1ChCgpz4wVP8tHfHW1g_c"",""BD M Sangrias!a:i""),""select Col6 where Col7 = 'Depositada' and Col9 = '""&amp;K235&amp;""' and Col6 ="&amp;" ""&amp;M235&amp;"" and Col4 = date '""&amp;YEAR(C235)&amp;""-""&amp;MONTH(C235)&amp;""-""&amp;DAY(C235)&amp;""'""))&gt;0,""Depositada"",if(sum(QUERY(IMPORTRANGE(""https://docs.google.com/spreadsheets/d/1EcLIvUgMoBC5as4ikW0wuQsGH5yVZ6cQ1y16qEfgPnk"",""BD M Sangrias!a:i""),""select Col6 whe"&amp;"re Col7 = 'Caixa Atendimento' and Col9 = '""&amp;K235&amp;""' and Col6 = ""&amp;M235&amp;"" and Col4 = date '""&amp;YEAR(C235)&amp;""-""&amp;MONTH(C235)&amp;""-""&amp;DAY(C235)&amp;""'""))&gt;0,""Caixa Atendimento"",""Caixa Sangria"")),""""),""Caixa Sangria"")"),"")</f>
        <v/>
      </c>
      <c r="M235" s="185" t="str">
        <f>IFERROR(__xludf.DUMMYFUNCTION("ifna(VALUE(REGEXEXTRACT(E235,""[0-9.]+[,]+[0-9]+"")))"),"")</f>
        <v/>
      </c>
      <c r="N235" s="185"/>
      <c r="O235" s="185"/>
      <c r="P235" s="185"/>
      <c r="Q235" s="185"/>
      <c r="R235" s="185"/>
      <c r="S235" s="185"/>
      <c r="T235" s="185"/>
      <c r="U235" s="185"/>
      <c r="V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184" t="str">
        <f>IFERROR(__xludf.DUMMYFUNCTION("ifna(IF(and(D236=""Saída"",J236=""Sangria""),if(sum(QUERY(IMPORTRANGE(""https://docs.google.com/spreadsheets/d/1E4szPcLzsqlw4uyBAoJ61L1ChCgpz4wVP8tHfHW1g_c"",""BD M Sangrias!a:i""),""select Col6 where Col7 = 'Depositada' and Col9 = '""&amp;K236&amp;""' and Col6 ="&amp;" ""&amp;M236&amp;"" and Col4 = date '""&amp;YEAR(C236)&amp;""-""&amp;MONTH(C236)&amp;""-""&amp;DAY(C236)&amp;""'""))&gt;0,""Depositada"",if(sum(QUERY(IMPORTRANGE(""https://docs.google.com/spreadsheets/d/1EcLIvUgMoBC5as4ikW0wuQsGH5yVZ6cQ1y16qEfgPnk"",""BD M Sangrias!a:i""),""select Col6 whe"&amp;"re Col7 = 'Caixa Atendimento' and Col9 = '""&amp;K236&amp;""' and Col6 = ""&amp;M236&amp;"" and Col4 = date '""&amp;YEAR(C236)&amp;""-""&amp;MONTH(C236)&amp;""-""&amp;DAY(C236)&amp;""'""))&gt;0,""Caixa Atendimento"",""Caixa Sangria"")),""""),""Caixa Sangria"")"),"")</f>
        <v/>
      </c>
      <c r="M236" s="185" t="str">
        <f>IFERROR(__xludf.DUMMYFUNCTION("ifna(VALUE(REGEXEXTRACT(E236,""[0-9.]+[,]+[0-9]+"")))"),"")</f>
        <v/>
      </c>
      <c r="N236" s="185"/>
      <c r="O236" s="185"/>
      <c r="P236" s="185"/>
      <c r="Q236" s="185"/>
      <c r="R236" s="185"/>
      <c r="S236" s="185"/>
      <c r="T236" s="185"/>
      <c r="U236" s="185"/>
      <c r="V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184" t="str">
        <f>IFERROR(__xludf.DUMMYFUNCTION("ifna(IF(and(D237=""Saída"",J237=""Sangria""),if(sum(QUERY(IMPORTRANGE(""https://docs.google.com/spreadsheets/d/1E4szPcLzsqlw4uyBAoJ61L1ChCgpz4wVP8tHfHW1g_c"",""BD M Sangrias!a:i""),""select Col6 where Col7 = 'Depositada' and Col9 = '""&amp;K237&amp;""' and Col6 ="&amp;" ""&amp;M237&amp;"" and Col4 = date '""&amp;YEAR(C237)&amp;""-""&amp;MONTH(C237)&amp;""-""&amp;DAY(C237)&amp;""'""))&gt;0,""Depositada"",if(sum(QUERY(IMPORTRANGE(""https://docs.google.com/spreadsheets/d/1EcLIvUgMoBC5as4ikW0wuQsGH5yVZ6cQ1y16qEfgPnk"",""BD M Sangrias!a:i""),""select Col6 whe"&amp;"re Col7 = 'Caixa Atendimento' and Col9 = '""&amp;K237&amp;""' and Col6 = ""&amp;M237&amp;"" and Col4 = date '""&amp;YEAR(C237)&amp;""-""&amp;MONTH(C237)&amp;""-""&amp;DAY(C237)&amp;""'""))&gt;0,""Caixa Atendimento"",""Caixa Sangria"")),""""),""Caixa Sangria"")"),"")</f>
        <v/>
      </c>
      <c r="M237" s="185" t="str">
        <f>IFERROR(__xludf.DUMMYFUNCTION("ifna(VALUE(REGEXEXTRACT(E237,""[0-9.]+[,]+[0-9]+"")))"),"")</f>
        <v/>
      </c>
      <c r="N237" s="185"/>
      <c r="O237" s="185"/>
      <c r="P237" s="185"/>
      <c r="Q237" s="185"/>
      <c r="R237" s="185"/>
      <c r="S237" s="185"/>
      <c r="T237" s="185"/>
      <c r="U237" s="185"/>
      <c r="V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184" t="str">
        <f>IFERROR(__xludf.DUMMYFUNCTION("ifna(IF(and(D238=""Saída"",J238=""Sangria""),if(sum(QUERY(IMPORTRANGE(""https://docs.google.com/spreadsheets/d/1E4szPcLzsqlw4uyBAoJ61L1ChCgpz4wVP8tHfHW1g_c"",""BD M Sangrias!a:i""),""select Col6 where Col7 = 'Depositada' and Col9 = '""&amp;K238&amp;""' and Col6 ="&amp;" ""&amp;M238&amp;"" and Col4 = date '""&amp;YEAR(C238)&amp;""-""&amp;MONTH(C238)&amp;""-""&amp;DAY(C238)&amp;""'""))&gt;0,""Depositada"",if(sum(QUERY(IMPORTRANGE(""https://docs.google.com/spreadsheets/d/1EcLIvUgMoBC5as4ikW0wuQsGH5yVZ6cQ1y16qEfgPnk"",""BD M Sangrias!a:i""),""select Col6 whe"&amp;"re Col7 = 'Caixa Atendimento' and Col9 = '""&amp;K238&amp;""' and Col6 = ""&amp;M238&amp;"" and Col4 = date '""&amp;YEAR(C238)&amp;""-""&amp;MONTH(C238)&amp;""-""&amp;DAY(C238)&amp;""'""))&gt;0,""Caixa Atendimento"",""Caixa Sangria"")),""""),""Caixa Sangria"")"),"")</f>
        <v/>
      </c>
      <c r="M238" s="185" t="str">
        <f>IFERROR(__xludf.DUMMYFUNCTION("ifna(VALUE(REGEXEXTRACT(E238,""[0-9.]+[,]+[0-9]+"")))"),"")</f>
        <v/>
      </c>
      <c r="N238" s="185"/>
      <c r="O238" s="185"/>
      <c r="P238" s="185"/>
      <c r="Q238" s="185"/>
      <c r="R238" s="185"/>
      <c r="S238" s="185"/>
      <c r="T238" s="185"/>
      <c r="U238" s="185"/>
      <c r="V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184" t="str">
        <f>IFERROR(__xludf.DUMMYFUNCTION("ifna(IF(and(D239=""Saída"",J239=""Sangria""),if(sum(QUERY(IMPORTRANGE(""https://docs.google.com/spreadsheets/d/1E4szPcLzsqlw4uyBAoJ61L1ChCgpz4wVP8tHfHW1g_c"",""BD M Sangrias!a:i""),""select Col6 where Col7 = 'Depositada' and Col9 = '""&amp;K239&amp;""' and Col6 ="&amp;" ""&amp;M239&amp;"" and Col4 = date '""&amp;YEAR(C239)&amp;""-""&amp;MONTH(C239)&amp;""-""&amp;DAY(C239)&amp;""'""))&gt;0,""Depositada"",if(sum(QUERY(IMPORTRANGE(""https://docs.google.com/spreadsheets/d/1EcLIvUgMoBC5as4ikW0wuQsGH5yVZ6cQ1y16qEfgPnk"",""BD M Sangrias!a:i""),""select Col6 whe"&amp;"re Col7 = 'Caixa Atendimento' and Col9 = '""&amp;K239&amp;""' and Col6 = ""&amp;M239&amp;"" and Col4 = date '""&amp;YEAR(C239)&amp;""-""&amp;MONTH(C239)&amp;""-""&amp;DAY(C239)&amp;""'""))&gt;0,""Caixa Atendimento"",""Caixa Sangria"")),""""),""Caixa Sangria"")"),"")</f>
        <v/>
      </c>
      <c r="M239" s="185" t="str">
        <f>IFERROR(__xludf.DUMMYFUNCTION("ifna(VALUE(REGEXEXTRACT(E239,""[0-9.]+[,]+[0-9]+"")))"),"")</f>
        <v/>
      </c>
      <c r="N239" s="185"/>
      <c r="O239" s="185"/>
      <c r="P239" s="185"/>
      <c r="Q239" s="185"/>
      <c r="R239" s="185"/>
      <c r="S239" s="185"/>
      <c r="T239" s="185"/>
      <c r="U239" s="185"/>
      <c r="V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184" t="str">
        <f>IFERROR(__xludf.DUMMYFUNCTION("ifna(IF(and(D240=""Saída"",J240=""Sangria""),if(sum(QUERY(IMPORTRANGE(""https://docs.google.com/spreadsheets/d/1E4szPcLzsqlw4uyBAoJ61L1ChCgpz4wVP8tHfHW1g_c"",""BD M Sangrias!a:i""),""select Col6 where Col7 = 'Depositada' and Col9 = '""&amp;K240&amp;""' and Col6 ="&amp;" ""&amp;M240&amp;"" and Col4 = date '""&amp;YEAR(C240)&amp;""-""&amp;MONTH(C240)&amp;""-""&amp;DAY(C240)&amp;""'""))&gt;0,""Depositada"",if(sum(QUERY(IMPORTRANGE(""https://docs.google.com/spreadsheets/d/1EcLIvUgMoBC5as4ikW0wuQsGH5yVZ6cQ1y16qEfgPnk"",""BD M Sangrias!a:i""),""select Col6 whe"&amp;"re Col7 = 'Caixa Atendimento' and Col9 = '""&amp;K240&amp;""' and Col6 = ""&amp;M240&amp;"" and Col4 = date '""&amp;YEAR(C240)&amp;""-""&amp;MONTH(C240)&amp;""-""&amp;DAY(C240)&amp;""'""))&gt;0,""Caixa Atendimento"",""Caixa Sangria"")),""""),""Caixa Sangria"")"),"")</f>
        <v/>
      </c>
      <c r="M240" s="185" t="str">
        <f>IFERROR(__xludf.DUMMYFUNCTION("ifna(VALUE(REGEXEXTRACT(E240,""[0-9.]+[,]+[0-9]+"")))"),"")</f>
        <v/>
      </c>
      <c r="N240" s="185"/>
      <c r="O240" s="185"/>
      <c r="P240" s="185"/>
      <c r="Q240" s="185"/>
      <c r="R240" s="185"/>
      <c r="S240" s="185"/>
      <c r="T240" s="185"/>
      <c r="U240" s="185"/>
      <c r="V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184" t="str">
        <f>IFERROR(__xludf.DUMMYFUNCTION("ifna(IF(and(D241=""Saída"",J241=""Sangria""),if(sum(QUERY(IMPORTRANGE(""https://docs.google.com/spreadsheets/d/1E4szPcLzsqlw4uyBAoJ61L1ChCgpz4wVP8tHfHW1g_c"",""BD M Sangrias!a:i""),""select Col6 where Col7 = 'Depositada' and Col9 = '""&amp;K241&amp;""' and Col6 ="&amp;" ""&amp;M241&amp;"" and Col4 = date '""&amp;YEAR(C241)&amp;""-""&amp;MONTH(C241)&amp;""-""&amp;DAY(C241)&amp;""'""))&gt;0,""Depositada"",if(sum(QUERY(IMPORTRANGE(""https://docs.google.com/spreadsheets/d/1EcLIvUgMoBC5as4ikW0wuQsGH5yVZ6cQ1y16qEfgPnk"",""BD M Sangrias!a:i""),""select Col6 whe"&amp;"re Col7 = 'Caixa Atendimento' and Col9 = '""&amp;K241&amp;""' and Col6 = ""&amp;M241&amp;"" and Col4 = date '""&amp;YEAR(C241)&amp;""-""&amp;MONTH(C241)&amp;""-""&amp;DAY(C241)&amp;""'""))&gt;0,""Caixa Atendimento"",""Caixa Sangria"")),""""),""Caixa Sangria"")"),"")</f>
        <v/>
      </c>
      <c r="M241" s="185" t="str">
        <f>IFERROR(__xludf.DUMMYFUNCTION("ifna(VALUE(REGEXEXTRACT(E241,""[0-9.]+[,]+[0-9]+"")))"),"")</f>
        <v/>
      </c>
      <c r="N241" s="185"/>
      <c r="O241" s="185"/>
      <c r="P241" s="185"/>
      <c r="Q241" s="185"/>
      <c r="R241" s="185"/>
      <c r="S241" s="185"/>
      <c r="T241" s="185"/>
      <c r="U241" s="185"/>
      <c r="V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184" t="str">
        <f>IFERROR(__xludf.DUMMYFUNCTION("ifna(IF(and(D242=""Saída"",J242=""Sangria""),if(sum(QUERY(IMPORTRANGE(""https://docs.google.com/spreadsheets/d/1E4szPcLzsqlw4uyBAoJ61L1ChCgpz4wVP8tHfHW1g_c"",""BD M Sangrias!a:i""),""select Col6 where Col7 = 'Depositada' and Col9 = '""&amp;K242&amp;""' and Col6 ="&amp;" ""&amp;M242&amp;"" and Col4 = date '""&amp;YEAR(C242)&amp;""-""&amp;MONTH(C242)&amp;""-""&amp;DAY(C242)&amp;""'""))&gt;0,""Depositada"",if(sum(QUERY(IMPORTRANGE(""https://docs.google.com/spreadsheets/d/1EcLIvUgMoBC5as4ikW0wuQsGH5yVZ6cQ1y16qEfgPnk"",""BD M Sangrias!a:i""),""select Col6 whe"&amp;"re Col7 = 'Caixa Atendimento' and Col9 = '""&amp;K242&amp;""' and Col6 = ""&amp;M242&amp;"" and Col4 = date '""&amp;YEAR(C242)&amp;""-""&amp;MONTH(C242)&amp;""-""&amp;DAY(C242)&amp;""'""))&gt;0,""Caixa Atendimento"",""Caixa Sangria"")),""""),""Caixa Sangria"")"),"")</f>
        <v/>
      </c>
      <c r="M242" s="185" t="str">
        <f>IFERROR(__xludf.DUMMYFUNCTION("ifna(VALUE(REGEXEXTRACT(E242,""[0-9.]+[,]+[0-9]+"")))"),"")</f>
        <v/>
      </c>
      <c r="N242" s="185"/>
      <c r="O242" s="185"/>
      <c r="P242" s="185"/>
      <c r="Q242" s="185"/>
      <c r="R242" s="185"/>
      <c r="S242" s="185"/>
      <c r="T242" s="185"/>
      <c r="U242" s="185"/>
      <c r="V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184" t="str">
        <f>IFERROR(__xludf.DUMMYFUNCTION("ifna(IF(and(D243=""Saída"",J243=""Sangria""),if(sum(QUERY(IMPORTRANGE(""https://docs.google.com/spreadsheets/d/1E4szPcLzsqlw4uyBAoJ61L1ChCgpz4wVP8tHfHW1g_c"",""BD M Sangrias!a:i""),""select Col6 where Col7 = 'Depositada' and Col9 = '""&amp;K243&amp;""' and Col6 ="&amp;" ""&amp;M243&amp;"" and Col4 = date '""&amp;YEAR(C243)&amp;""-""&amp;MONTH(C243)&amp;""-""&amp;DAY(C243)&amp;""'""))&gt;0,""Depositada"",if(sum(QUERY(IMPORTRANGE(""https://docs.google.com/spreadsheets/d/1EcLIvUgMoBC5as4ikW0wuQsGH5yVZ6cQ1y16qEfgPnk"",""BD M Sangrias!a:i""),""select Col6 whe"&amp;"re Col7 = 'Caixa Atendimento' and Col9 = '""&amp;K243&amp;""' and Col6 = ""&amp;M243&amp;"" and Col4 = date '""&amp;YEAR(C243)&amp;""-""&amp;MONTH(C243)&amp;""-""&amp;DAY(C243)&amp;""'""))&gt;0,""Caixa Atendimento"",""Caixa Sangria"")),""""),""Caixa Sangria"")"),"")</f>
        <v/>
      </c>
      <c r="M243" s="185" t="str">
        <f>IFERROR(__xludf.DUMMYFUNCTION("ifna(VALUE(REGEXEXTRACT(E243,""[0-9.]+[,]+[0-9]+"")))"),"")</f>
        <v/>
      </c>
      <c r="N243" s="185"/>
      <c r="O243" s="185"/>
      <c r="P243" s="185"/>
      <c r="Q243" s="185"/>
      <c r="R243" s="185"/>
      <c r="S243" s="185"/>
      <c r="T243" s="185"/>
      <c r="U243" s="185"/>
      <c r="V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184" t="str">
        <f>IFERROR(__xludf.DUMMYFUNCTION("ifna(IF(and(D244=""Saída"",J244=""Sangria""),if(sum(QUERY(IMPORTRANGE(""https://docs.google.com/spreadsheets/d/1E4szPcLzsqlw4uyBAoJ61L1ChCgpz4wVP8tHfHW1g_c"",""BD M Sangrias!a:i""),""select Col6 where Col7 = 'Depositada' and Col9 = '""&amp;K244&amp;""' and Col6 ="&amp;" ""&amp;M244&amp;"" and Col4 = date '""&amp;YEAR(C244)&amp;""-""&amp;MONTH(C244)&amp;""-""&amp;DAY(C244)&amp;""'""))&gt;0,""Depositada"",if(sum(QUERY(IMPORTRANGE(""https://docs.google.com/spreadsheets/d/1EcLIvUgMoBC5as4ikW0wuQsGH5yVZ6cQ1y16qEfgPnk"",""BD M Sangrias!a:i""),""select Col6 whe"&amp;"re Col7 = 'Caixa Atendimento' and Col9 = '""&amp;K244&amp;""' and Col6 = ""&amp;M244&amp;"" and Col4 = date '""&amp;YEAR(C244)&amp;""-""&amp;MONTH(C244)&amp;""-""&amp;DAY(C244)&amp;""'""))&gt;0,""Caixa Atendimento"",""Caixa Sangria"")),""""),""Caixa Sangria"")"),"")</f>
        <v/>
      </c>
      <c r="M244" s="185" t="str">
        <f>IFERROR(__xludf.DUMMYFUNCTION("ifna(VALUE(REGEXEXTRACT(E244,""[0-9.]+[,]+[0-9]+"")))"),"")</f>
        <v/>
      </c>
      <c r="N244" s="185"/>
      <c r="O244" s="185"/>
      <c r="P244" s="185"/>
      <c r="Q244" s="185"/>
      <c r="R244" s="185"/>
      <c r="S244" s="185"/>
      <c r="T244" s="185"/>
      <c r="U244" s="185"/>
      <c r="V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184" t="str">
        <f>IFERROR(__xludf.DUMMYFUNCTION("ifna(IF(and(D245=""Saída"",J245=""Sangria""),if(sum(QUERY(IMPORTRANGE(""https://docs.google.com/spreadsheets/d/1E4szPcLzsqlw4uyBAoJ61L1ChCgpz4wVP8tHfHW1g_c"",""BD M Sangrias!a:i""),""select Col6 where Col7 = 'Depositada' and Col9 = '""&amp;K245&amp;""' and Col6 ="&amp;" ""&amp;M245&amp;"" and Col4 = date '""&amp;YEAR(C245)&amp;""-""&amp;MONTH(C245)&amp;""-""&amp;DAY(C245)&amp;""'""))&gt;0,""Depositada"",if(sum(QUERY(IMPORTRANGE(""https://docs.google.com/spreadsheets/d/1EcLIvUgMoBC5as4ikW0wuQsGH5yVZ6cQ1y16qEfgPnk"",""BD M Sangrias!a:i""),""select Col6 whe"&amp;"re Col7 = 'Caixa Atendimento' and Col9 = '""&amp;K245&amp;""' and Col6 = ""&amp;M245&amp;"" and Col4 = date '""&amp;YEAR(C245)&amp;""-""&amp;MONTH(C245)&amp;""-""&amp;DAY(C245)&amp;""'""))&gt;0,""Caixa Atendimento"",""Caixa Sangria"")),""""),""Caixa Sangria"")"),"")</f>
        <v/>
      </c>
      <c r="M245" s="185" t="str">
        <f>IFERROR(__xludf.DUMMYFUNCTION("ifna(VALUE(REGEXEXTRACT(E245,""[0-9.]+[,]+[0-9]+"")))"),"")</f>
        <v/>
      </c>
      <c r="N245" s="185"/>
      <c r="O245" s="185"/>
      <c r="P245" s="185"/>
      <c r="Q245" s="185"/>
      <c r="R245" s="185"/>
      <c r="S245" s="185"/>
      <c r="T245" s="185"/>
      <c r="U245" s="185"/>
      <c r="V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184" t="str">
        <f>IFERROR(__xludf.DUMMYFUNCTION("ifna(IF(and(D246=""Saída"",J246=""Sangria""),if(sum(QUERY(IMPORTRANGE(""https://docs.google.com/spreadsheets/d/1E4szPcLzsqlw4uyBAoJ61L1ChCgpz4wVP8tHfHW1g_c"",""BD M Sangrias!a:i""),""select Col6 where Col7 = 'Depositada' and Col9 = '""&amp;K246&amp;""' and Col6 ="&amp;" ""&amp;M246&amp;"" and Col4 = date '""&amp;YEAR(C246)&amp;""-""&amp;MONTH(C246)&amp;""-""&amp;DAY(C246)&amp;""'""))&gt;0,""Depositada"",if(sum(QUERY(IMPORTRANGE(""https://docs.google.com/spreadsheets/d/1EcLIvUgMoBC5as4ikW0wuQsGH5yVZ6cQ1y16qEfgPnk"",""BD M Sangrias!a:i""),""select Col6 whe"&amp;"re Col7 = 'Caixa Atendimento' and Col9 = '""&amp;K246&amp;""' and Col6 = ""&amp;M246&amp;"" and Col4 = date '""&amp;YEAR(C246)&amp;""-""&amp;MONTH(C246)&amp;""-""&amp;DAY(C246)&amp;""'""))&gt;0,""Caixa Atendimento"",""Caixa Sangria"")),""""),""Caixa Sangria"")"),"")</f>
        <v/>
      </c>
      <c r="M246" s="185" t="str">
        <f>IFERROR(__xludf.DUMMYFUNCTION("ifna(VALUE(REGEXEXTRACT(E246,""[0-9.]+[,]+[0-9]+"")))"),"")</f>
        <v/>
      </c>
      <c r="N246" s="185"/>
      <c r="O246" s="185"/>
      <c r="P246" s="185"/>
      <c r="Q246" s="185"/>
      <c r="R246" s="185"/>
      <c r="S246" s="185"/>
      <c r="T246" s="185"/>
      <c r="U246" s="185"/>
      <c r="V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184" t="str">
        <f>IFERROR(__xludf.DUMMYFUNCTION("ifna(IF(and(D247=""Saída"",J247=""Sangria""),if(sum(QUERY(IMPORTRANGE(""https://docs.google.com/spreadsheets/d/1E4szPcLzsqlw4uyBAoJ61L1ChCgpz4wVP8tHfHW1g_c"",""BD M Sangrias!a:i""),""select Col6 where Col7 = 'Depositada' and Col9 = '""&amp;K247&amp;""' and Col6 ="&amp;" ""&amp;M247&amp;"" and Col4 = date '""&amp;YEAR(C247)&amp;""-""&amp;MONTH(C247)&amp;""-""&amp;DAY(C247)&amp;""'""))&gt;0,""Depositada"",if(sum(QUERY(IMPORTRANGE(""https://docs.google.com/spreadsheets/d/1EcLIvUgMoBC5as4ikW0wuQsGH5yVZ6cQ1y16qEfgPnk"",""BD M Sangrias!a:i""),""select Col6 whe"&amp;"re Col7 = 'Caixa Atendimento' and Col9 = '""&amp;K247&amp;""' and Col6 = ""&amp;M247&amp;"" and Col4 = date '""&amp;YEAR(C247)&amp;""-""&amp;MONTH(C247)&amp;""-""&amp;DAY(C247)&amp;""'""))&gt;0,""Caixa Atendimento"",""Caixa Sangria"")),""""),""Caixa Sangria"")"),"")</f>
        <v/>
      </c>
      <c r="M247" s="185" t="str">
        <f>IFERROR(__xludf.DUMMYFUNCTION("ifna(VALUE(REGEXEXTRACT(E247,""[0-9.]+[,]+[0-9]+"")))"),"")</f>
        <v/>
      </c>
      <c r="N247" s="185"/>
      <c r="O247" s="185"/>
      <c r="P247" s="185"/>
      <c r="Q247" s="185"/>
      <c r="R247" s="185"/>
      <c r="S247" s="185"/>
      <c r="T247" s="185"/>
      <c r="U247" s="185"/>
      <c r="V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184" t="str">
        <f>IFERROR(__xludf.DUMMYFUNCTION("ifna(IF(and(D248=""Saída"",J248=""Sangria""),if(sum(QUERY(IMPORTRANGE(""https://docs.google.com/spreadsheets/d/1E4szPcLzsqlw4uyBAoJ61L1ChCgpz4wVP8tHfHW1g_c"",""BD M Sangrias!a:i""),""select Col6 where Col7 = 'Depositada' and Col9 = '""&amp;K248&amp;""' and Col6 ="&amp;" ""&amp;M248&amp;"" and Col4 = date '""&amp;YEAR(C248)&amp;""-""&amp;MONTH(C248)&amp;""-""&amp;DAY(C248)&amp;""'""))&gt;0,""Depositada"",if(sum(QUERY(IMPORTRANGE(""https://docs.google.com/spreadsheets/d/1EcLIvUgMoBC5as4ikW0wuQsGH5yVZ6cQ1y16qEfgPnk"",""BD M Sangrias!a:i""),""select Col6 whe"&amp;"re Col7 = 'Caixa Atendimento' and Col9 = '""&amp;K248&amp;""' and Col6 = ""&amp;M248&amp;"" and Col4 = date '""&amp;YEAR(C248)&amp;""-""&amp;MONTH(C248)&amp;""-""&amp;DAY(C248)&amp;""'""))&gt;0,""Caixa Atendimento"",""Caixa Sangria"")),""""),""Caixa Sangria"")"),"")</f>
        <v/>
      </c>
      <c r="M248" s="185" t="str">
        <f>IFERROR(__xludf.DUMMYFUNCTION("ifna(VALUE(REGEXEXTRACT(E248,""[0-9.]+[,]+[0-9]+"")))"),"")</f>
        <v/>
      </c>
      <c r="N248" s="185"/>
      <c r="O248" s="185"/>
      <c r="P248" s="185"/>
      <c r="Q248" s="185"/>
      <c r="R248" s="185"/>
      <c r="S248" s="185"/>
      <c r="T248" s="185"/>
      <c r="U248" s="185"/>
      <c r="V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184" t="str">
        <f>IFERROR(__xludf.DUMMYFUNCTION("ifna(IF(and(D249=""Saída"",J249=""Sangria""),if(sum(QUERY(IMPORTRANGE(""https://docs.google.com/spreadsheets/d/1E4szPcLzsqlw4uyBAoJ61L1ChCgpz4wVP8tHfHW1g_c"",""BD M Sangrias!a:i""),""select Col6 where Col7 = 'Depositada' and Col9 = '""&amp;K249&amp;""' and Col6 ="&amp;" ""&amp;M249&amp;"" and Col4 = date '""&amp;YEAR(C249)&amp;""-""&amp;MONTH(C249)&amp;""-""&amp;DAY(C249)&amp;""'""))&gt;0,""Depositada"",if(sum(QUERY(IMPORTRANGE(""https://docs.google.com/spreadsheets/d/1EcLIvUgMoBC5as4ikW0wuQsGH5yVZ6cQ1y16qEfgPnk"",""BD M Sangrias!a:i""),""select Col6 whe"&amp;"re Col7 = 'Caixa Atendimento' and Col9 = '""&amp;K249&amp;""' and Col6 = ""&amp;M249&amp;"" and Col4 = date '""&amp;YEAR(C249)&amp;""-""&amp;MONTH(C249)&amp;""-""&amp;DAY(C249)&amp;""'""))&gt;0,""Caixa Atendimento"",""Caixa Sangria"")),""""),""Caixa Sangria"")"),"")</f>
        <v/>
      </c>
      <c r="M249" s="185" t="str">
        <f>IFERROR(__xludf.DUMMYFUNCTION("ifna(VALUE(REGEXEXTRACT(E249,""[0-9.]+[,]+[0-9]+"")))"),"")</f>
        <v/>
      </c>
      <c r="N249" s="185"/>
      <c r="O249" s="185"/>
      <c r="P249" s="185"/>
      <c r="Q249" s="185"/>
      <c r="R249" s="185"/>
      <c r="S249" s="185"/>
      <c r="T249" s="185"/>
      <c r="U249" s="185"/>
      <c r="V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184" t="str">
        <f>IFERROR(__xludf.DUMMYFUNCTION("ifna(IF(and(D250=""Saída"",J250=""Sangria""),if(sum(QUERY(IMPORTRANGE(""https://docs.google.com/spreadsheets/d/1E4szPcLzsqlw4uyBAoJ61L1ChCgpz4wVP8tHfHW1g_c"",""BD M Sangrias!a:i""),""select Col6 where Col7 = 'Depositada' and Col9 = '""&amp;K250&amp;""' and Col6 ="&amp;" ""&amp;M250&amp;"" and Col4 = date '""&amp;YEAR(C250)&amp;""-""&amp;MONTH(C250)&amp;""-""&amp;DAY(C250)&amp;""'""))&gt;0,""Depositada"",if(sum(QUERY(IMPORTRANGE(""https://docs.google.com/spreadsheets/d/1EcLIvUgMoBC5as4ikW0wuQsGH5yVZ6cQ1y16qEfgPnk"",""BD M Sangrias!a:i""),""select Col6 whe"&amp;"re Col7 = 'Caixa Atendimento' and Col9 = '""&amp;K250&amp;""' and Col6 = ""&amp;M250&amp;"" and Col4 = date '""&amp;YEAR(C250)&amp;""-""&amp;MONTH(C250)&amp;""-""&amp;DAY(C250)&amp;""'""))&gt;0,""Caixa Atendimento"",""Caixa Sangria"")),""""),""Caixa Sangria"")"),"")</f>
        <v/>
      </c>
      <c r="M250" s="185" t="str">
        <f>IFERROR(__xludf.DUMMYFUNCTION("ifna(VALUE(REGEXEXTRACT(E250,""[0-9.]+[,]+[0-9]+"")))"),"")</f>
        <v/>
      </c>
      <c r="N250" s="185"/>
      <c r="O250" s="185"/>
      <c r="P250" s="185"/>
      <c r="Q250" s="185"/>
      <c r="R250" s="185"/>
      <c r="S250" s="185"/>
      <c r="T250" s="185"/>
      <c r="U250" s="185"/>
      <c r="V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184" t="str">
        <f>IFERROR(__xludf.DUMMYFUNCTION("ifna(IF(and(D251=""Saída"",J251=""Sangria""),if(sum(QUERY(IMPORTRANGE(""https://docs.google.com/spreadsheets/d/1E4szPcLzsqlw4uyBAoJ61L1ChCgpz4wVP8tHfHW1g_c"",""BD M Sangrias!a:i""),""select Col6 where Col7 = 'Depositada' and Col9 = '""&amp;K251&amp;""' and Col6 ="&amp;" ""&amp;M251&amp;"" and Col4 = date '""&amp;YEAR(C251)&amp;""-""&amp;MONTH(C251)&amp;""-""&amp;DAY(C251)&amp;""'""))&gt;0,""Depositada"",if(sum(QUERY(IMPORTRANGE(""https://docs.google.com/spreadsheets/d/1EcLIvUgMoBC5as4ikW0wuQsGH5yVZ6cQ1y16qEfgPnk"",""BD M Sangrias!a:i""),""select Col6 whe"&amp;"re Col7 = 'Caixa Atendimento' and Col9 = '""&amp;K251&amp;""' and Col6 = ""&amp;M251&amp;"" and Col4 = date '""&amp;YEAR(C251)&amp;""-""&amp;MONTH(C251)&amp;""-""&amp;DAY(C251)&amp;""'""))&gt;0,""Caixa Atendimento"",""Caixa Sangria"")),""""),""Caixa Sangria"")"),"")</f>
        <v/>
      </c>
      <c r="M251" s="185" t="str">
        <f>IFERROR(__xludf.DUMMYFUNCTION("ifna(VALUE(REGEXEXTRACT(E251,""[0-9.]+[,]+[0-9]+"")))"),"")</f>
        <v/>
      </c>
      <c r="N251" s="185"/>
      <c r="O251" s="185"/>
      <c r="P251" s="185"/>
      <c r="Q251" s="185"/>
      <c r="R251" s="185"/>
      <c r="S251" s="185"/>
      <c r="T251" s="185"/>
      <c r="U251" s="185"/>
      <c r="V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184" t="str">
        <f>IFERROR(__xludf.DUMMYFUNCTION("ifna(IF(and(D252=""Saída"",J252=""Sangria""),if(sum(QUERY(IMPORTRANGE(""https://docs.google.com/spreadsheets/d/1E4szPcLzsqlw4uyBAoJ61L1ChCgpz4wVP8tHfHW1g_c"",""BD M Sangrias!a:i""),""select Col6 where Col7 = 'Depositada' and Col9 = '""&amp;K252&amp;""' and Col6 ="&amp;" ""&amp;M252&amp;"" and Col4 = date '""&amp;YEAR(C252)&amp;""-""&amp;MONTH(C252)&amp;""-""&amp;DAY(C252)&amp;""'""))&gt;0,""Depositada"",if(sum(QUERY(IMPORTRANGE(""https://docs.google.com/spreadsheets/d/1EcLIvUgMoBC5as4ikW0wuQsGH5yVZ6cQ1y16qEfgPnk"",""BD M Sangrias!a:i""),""select Col6 whe"&amp;"re Col7 = 'Caixa Atendimento' and Col9 = '""&amp;K252&amp;""' and Col6 = ""&amp;M252&amp;"" and Col4 = date '""&amp;YEAR(C252)&amp;""-""&amp;MONTH(C252)&amp;""-""&amp;DAY(C252)&amp;""'""))&gt;0,""Caixa Atendimento"",""Caixa Sangria"")),""""),""Caixa Sangria"")"),"")</f>
        <v/>
      </c>
      <c r="M252" s="185" t="str">
        <f>IFERROR(__xludf.DUMMYFUNCTION("ifna(VALUE(REGEXEXTRACT(E252,""[0-9.]+[,]+[0-9]+"")))"),"")</f>
        <v/>
      </c>
      <c r="N252" s="185"/>
      <c r="O252" s="185"/>
      <c r="P252" s="185"/>
      <c r="Q252" s="185"/>
      <c r="R252" s="185"/>
      <c r="S252" s="185"/>
      <c r="T252" s="185"/>
      <c r="U252" s="185"/>
      <c r="V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184" t="str">
        <f>IFERROR(__xludf.DUMMYFUNCTION("ifna(IF(and(D253=""Saída"",J253=""Sangria""),if(sum(QUERY(IMPORTRANGE(""https://docs.google.com/spreadsheets/d/1E4szPcLzsqlw4uyBAoJ61L1ChCgpz4wVP8tHfHW1g_c"",""BD M Sangrias!a:i""),""select Col6 where Col7 = 'Depositada' and Col9 = '""&amp;K253&amp;""' and Col6 ="&amp;" ""&amp;M253&amp;"" and Col4 = date '""&amp;YEAR(C253)&amp;""-""&amp;MONTH(C253)&amp;""-""&amp;DAY(C253)&amp;""'""))&gt;0,""Depositada"",if(sum(QUERY(IMPORTRANGE(""https://docs.google.com/spreadsheets/d/1EcLIvUgMoBC5as4ikW0wuQsGH5yVZ6cQ1y16qEfgPnk"",""BD M Sangrias!a:i""),""select Col6 whe"&amp;"re Col7 = 'Caixa Atendimento' and Col9 = '""&amp;K253&amp;""' and Col6 = ""&amp;M253&amp;"" and Col4 = date '""&amp;YEAR(C253)&amp;""-""&amp;MONTH(C253)&amp;""-""&amp;DAY(C253)&amp;""'""))&gt;0,""Caixa Atendimento"",""Caixa Sangria"")),""""),""Caixa Sangria"")"),"")</f>
        <v/>
      </c>
      <c r="M253" s="185" t="str">
        <f>IFERROR(__xludf.DUMMYFUNCTION("ifna(VALUE(REGEXEXTRACT(E253,""[0-9.]+[,]+[0-9]+"")))"),"")</f>
        <v/>
      </c>
      <c r="N253" s="185"/>
      <c r="O253" s="185"/>
      <c r="P253" s="185"/>
      <c r="Q253" s="185"/>
      <c r="R253" s="185"/>
      <c r="S253" s="185"/>
      <c r="T253" s="185"/>
      <c r="U253" s="185"/>
      <c r="V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184" t="str">
        <f>IFERROR(__xludf.DUMMYFUNCTION("ifna(IF(and(D254=""Saída"",J254=""Sangria""),if(sum(QUERY(IMPORTRANGE(""https://docs.google.com/spreadsheets/d/1E4szPcLzsqlw4uyBAoJ61L1ChCgpz4wVP8tHfHW1g_c"",""BD M Sangrias!a:i""),""select Col6 where Col7 = 'Depositada' and Col9 = '""&amp;K254&amp;""' and Col6 ="&amp;" ""&amp;M254&amp;"" and Col4 = date '""&amp;YEAR(C254)&amp;""-""&amp;MONTH(C254)&amp;""-""&amp;DAY(C254)&amp;""'""))&gt;0,""Depositada"",if(sum(QUERY(IMPORTRANGE(""https://docs.google.com/spreadsheets/d/1EcLIvUgMoBC5as4ikW0wuQsGH5yVZ6cQ1y16qEfgPnk"",""BD M Sangrias!a:i""),""select Col6 whe"&amp;"re Col7 = 'Caixa Atendimento' and Col9 = '""&amp;K254&amp;""' and Col6 = ""&amp;M254&amp;"" and Col4 = date '""&amp;YEAR(C254)&amp;""-""&amp;MONTH(C254)&amp;""-""&amp;DAY(C254)&amp;""'""))&gt;0,""Caixa Atendimento"",""Caixa Sangria"")),""""),""Caixa Sangria"")"),"")</f>
        <v/>
      </c>
      <c r="M254" s="185" t="str">
        <f>IFERROR(__xludf.DUMMYFUNCTION("ifna(VALUE(REGEXEXTRACT(E254,""[0-9.]+[,]+[0-9]+"")))"),"")</f>
        <v/>
      </c>
      <c r="N254" s="185"/>
      <c r="O254" s="185"/>
      <c r="P254" s="185"/>
      <c r="Q254" s="185"/>
      <c r="R254" s="185"/>
      <c r="S254" s="185"/>
      <c r="T254" s="185"/>
      <c r="U254" s="185"/>
      <c r="V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184" t="str">
        <f>IFERROR(__xludf.DUMMYFUNCTION("ifna(IF(and(D255=""Saída"",J255=""Sangria""),if(sum(QUERY(IMPORTRANGE(""https://docs.google.com/spreadsheets/d/1E4szPcLzsqlw4uyBAoJ61L1ChCgpz4wVP8tHfHW1g_c"",""BD M Sangrias!a:i""),""select Col6 where Col7 = 'Depositada' and Col9 = '""&amp;K255&amp;""' and Col6 ="&amp;" ""&amp;M255&amp;"" and Col4 = date '""&amp;YEAR(C255)&amp;""-""&amp;MONTH(C255)&amp;""-""&amp;DAY(C255)&amp;""'""))&gt;0,""Depositada"",if(sum(QUERY(IMPORTRANGE(""https://docs.google.com/spreadsheets/d/1EcLIvUgMoBC5as4ikW0wuQsGH5yVZ6cQ1y16qEfgPnk"",""BD M Sangrias!a:i""),""select Col6 whe"&amp;"re Col7 = 'Caixa Atendimento' and Col9 = '""&amp;K255&amp;""' and Col6 = ""&amp;M255&amp;"" and Col4 = date '""&amp;YEAR(C255)&amp;""-""&amp;MONTH(C255)&amp;""-""&amp;DAY(C255)&amp;""'""))&gt;0,""Caixa Atendimento"",""Caixa Sangria"")),""""),""Caixa Sangria"")"),"")</f>
        <v/>
      </c>
      <c r="M255" s="185" t="str">
        <f>IFERROR(__xludf.DUMMYFUNCTION("ifna(VALUE(REGEXEXTRACT(E255,""[0-9.]+[,]+[0-9]+"")))"),"")</f>
        <v/>
      </c>
      <c r="N255" s="185"/>
      <c r="O255" s="185"/>
      <c r="P255" s="185"/>
      <c r="Q255" s="185"/>
      <c r="R255" s="185"/>
      <c r="S255" s="185"/>
      <c r="T255" s="185"/>
      <c r="U255" s="185"/>
      <c r="V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184" t="str">
        <f>IFERROR(__xludf.DUMMYFUNCTION("ifna(IF(and(D256=""Saída"",J256=""Sangria""),if(sum(QUERY(IMPORTRANGE(""https://docs.google.com/spreadsheets/d/1E4szPcLzsqlw4uyBAoJ61L1ChCgpz4wVP8tHfHW1g_c"",""BD M Sangrias!a:i""),""select Col6 where Col7 = 'Depositada' and Col9 = '""&amp;K256&amp;""' and Col6 ="&amp;" ""&amp;M256&amp;"" and Col4 = date '""&amp;YEAR(C256)&amp;""-""&amp;MONTH(C256)&amp;""-""&amp;DAY(C256)&amp;""'""))&gt;0,""Depositada"",if(sum(QUERY(IMPORTRANGE(""https://docs.google.com/spreadsheets/d/1EcLIvUgMoBC5as4ikW0wuQsGH5yVZ6cQ1y16qEfgPnk"",""BD M Sangrias!a:i""),""select Col6 whe"&amp;"re Col7 = 'Caixa Atendimento' and Col9 = '""&amp;K256&amp;""' and Col6 = ""&amp;M256&amp;"" and Col4 = date '""&amp;YEAR(C256)&amp;""-""&amp;MONTH(C256)&amp;""-""&amp;DAY(C256)&amp;""'""))&gt;0,""Caixa Atendimento"",""Caixa Sangria"")),""""),""Caixa Sangria"")"),"")</f>
        <v/>
      </c>
      <c r="M256" s="185" t="str">
        <f>IFERROR(__xludf.DUMMYFUNCTION("ifna(VALUE(REGEXEXTRACT(E256,""[0-9.]+[,]+[0-9]+"")))"),"")</f>
        <v/>
      </c>
      <c r="N256" s="185"/>
      <c r="O256" s="185"/>
      <c r="P256" s="185"/>
      <c r="Q256" s="185"/>
      <c r="R256" s="185"/>
      <c r="S256" s="185"/>
      <c r="T256" s="185"/>
      <c r="U256" s="185"/>
      <c r="V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184" t="str">
        <f>IFERROR(__xludf.DUMMYFUNCTION("ifna(IF(and(D257=""Saída"",J257=""Sangria""),if(sum(QUERY(IMPORTRANGE(""https://docs.google.com/spreadsheets/d/1E4szPcLzsqlw4uyBAoJ61L1ChCgpz4wVP8tHfHW1g_c"",""BD M Sangrias!a:i""),""select Col6 where Col7 = 'Depositada' and Col9 = '""&amp;K257&amp;""' and Col6 ="&amp;" ""&amp;M257&amp;"" and Col4 = date '""&amp;YEAR(C257)&amp;""-""&amp;MONTH(C257)&amp;""-""&amp;DAY(C257)&amp;""'""))&gt;0,""Depositada"",if(sum(QUERY(IMPORTRANGE(""https://docs.google.com/spreadsheets/d/1EcLIvUgMoBC5as4ikW0wuQsGH5yVZ6cQ1y16qEfgPnk"",""BD M Sangrias!a:i""),""select Col6 whe"&amp;"re Col7 = 'Caixa Atendimento' and Col9 = '""&amp;K257&amp;""' and Col6 = ""&amp;M257&amp;"" and Col4 = date '""&amp;YEAR(C257)&amp;""-""&amp;MONTH(C257)&amp;""-""&amp;DAY(C257)&amp;""'""))&gt;0,""Caixa Atendimento"",""Caixa Sangria"")),""""),""Caixa Sangria"")"),"")</f>
        <v/>
      </c>
      <c r="M257" s="185" t="str">
        <f>IFERROR(__xludf.DUMMYFUNCTION("ifna(VALUE(REGEXEXTRACT(E257,""[0-9.]+[,]+[0-9]+"")))"),"")</f>
        <v/>
      </c>
      <c r="N257" s="185"/>
      <c r="O257" s="185"/>
      <c r="P257" s="185"/>
      <c r="Q257" s="185"/>
      <c r="R257" s="185"/>
      <c r="S257" s="185"/>
      <c r="T257" s="185"/>
      <c r="U257" s="185"/>
      <c r="V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184" t="str">
        <f>IFERROR(__xludf.DUMMYFUNCTION("ifna(IF(and(D258=""Saída"",J258=""Sangria""),if(sum(QUERY(IMPORTRANGE(""https://docs.google.com/spreadsheets/d/1E4szPcLzsqlw4uyBAoJ61L1ChCgpz4wVP8tHfHW1g_c"",""BD M Sangrias!a:i""),""select Col6 where Col7 = 'Depositada' and Col9 = '""&amp;K258&amp;""' and Col6 ="&amp;" ""&amp;M258&amp;"" and Col4 = date '""&amp;YEAR(C258)&amp;""-""&amp;MONTH(C258)&amp;""-""&amp;DAY(C258)&amp;""'""))&gt;0,""Depositada"",if(sum(QUERY(IMPORTRANGE(""https://docs.google.com/spreadsheets/d/1EcLIvUgMoBC5as4ikW0wuQsGH5yVZ6cQ1y16qEfgPnk"",""BD M Sangrias!a:i""),""select Col6 whe"&amp;"re Col7 = 'Caixa Atendimento' and Col9 = '""&amp;K258&amp;""' and Col6 = ""&amp;M258&amp;"" and Col4 = date '""&amp;YEAR(C258)&amp;""-""&amp;MONTH(C258)&amp;""-""&amp;DAY(C258)&amp;""'""))&gt;0,""Caixa Atendimento"",""Caixa Sangria"")),""""),""Caixa Sangria"")"),"")</f>
        <v/>
      </c>
      <c r="M258" s="185" t="str">
        <f>IFERROR(__xludf.DUMMYFUNCTION("ifna(VALUE(REGEXEXTRACT(E258,""[0-9.]+[,]+[0-9]+"")))"),"")</f>
        <v/>
      </c>
      <c r="N258" s="185"/>
      <c r="O258" s="185"/>
      <c r="P258" s="185"/>
      <c r="Q258" s="185"/>
      <c r="R258" s="185"/>
      <c r="S258" s="185"/>
      <c r="T258" s="185"/>
      <c r="U258" s="185"/>
      <c r="V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184" t="str">
        <f>IFERROR(__xludf.DUMMYFUNCTION("ifna(IF(and(D259=""Saída"",J259=""Sangria""),if(sum(QUERY(IMPORTRANGE(""https://docs.google.com/spreadsheets/d/1E4szPcLzsqlw4uyBAoJ61L1ChCgpz4wVP8tHfHW1g_c"",""BD M Sangrias!a:i""),""select Col6 where Col7 = 'Depositada' and Col9 = '""&amp;K259&amp;""' and Col6 ="&amp;" ""&amp;M259&amp;"" and Col4 = date '""&amp;YEAR(C259)&amp;""-""&amp;MONTH(C259)&amp;""-""&amp;DAY(C259)&amp;""'""))&gt;0,""Depositada"",if(sum(QUERY(IMPORTRANGE(""https://docs.google.com/spreadsheets/d/1EcLIvUgMoBC5as4ikW0wuQsGH5yVZ6cQ1y16qEfgPnk"",""BD M Sangrias!a:i""),""select Col6 whe"&amp;"re Col7 = 'Caixa Atendimento' and Col9 = '""&amp;K259&amp;""' and Col6 = ""&amp;M259&amp;"" and Col4 = date '""&amp;YEAR(C259)&amp;""-""&amp;MONTH(C259)&amp;""-""&amp;DAY(C259)&amp;""'""))&gt;0,""Caixa Atendimento"",""Caixa Sangria"")),""""),""Caixa Sangria"")"),"")</f>
        <v/>
      </c>
      <c r="M259" s="185" t="str">
        <f>IFERROR(__xludf.DUMMYFUNCTION("ifna(VALUE(REGEXEXTRACT(E259,""[0-9.]+[,]+[0-9]+"")))"),"")</f>
        <v/>
      </c>
      <c r="N259" s="185"/>
      <c r="O259" s="185"/>
      <c r="P259" s="185"/>
      <c r="Q259" s="185"/>
      <c r="R259" s="185"/>
      <c r="S259" s="185"/>
      <c r="T259" s="185"/>
      <c r="U259" s="185"/>
      <c r="V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184" t="str">
        <f>IFERROR(__xludf.DUMMYFUNCTION("ifna(IF(and(D260=""Saída"",J260=""Sangria""),if(sum(QUERY(IMPORTRANGE(""https://docs.google.com/spreadsheets/d/1E4szPcLzsqlw4uyBAoJ61L1ChCgpz4wVP8tHfHW1g_c"",""BD M Sangrias!a:i""),""select Col6 where Col7 = 'Depositada' and Col9 = '""&amp;K260&amp;""' and Col6 ="&amp;" ""&amp;M260&amp;"" and Col4 = date '""&amp;YEAR(C260)&amp;""-""&amp;MONTH(C260)&amp;""-""&amp;DAY(C260)&amp;""'""))&gt;0,""Depositada"",if(sum(QUERY(IMPORTRANGE(""https://docs.google.com/spreadsheets/d/1EcLIvUgMoBC5as4ikW0wuQsGH5yVZ6cQ1y16qEfgPnk"",""BD M Sangrias!a:i""),""select Col6 whe"&amp;"re Col7 = 'Caixa Atendimento' and Col9 = '""&amp;K260&amp;""' and Col6 = ""&amp;M260&amp;"" and Col4 = date '""&amp;YEAR(C260)&amp;""-""&amp;MONTH(C260)&amp;""-""&amp;DAY(C260)&amp;""'""))&gt;0,""Caixa Atendimento"",""Caixa Sangria"")),""""),""Caixa Sangria"")"),"")</f>
        <v/>
      </c>
      <c r="M260" s="185" t="str">
        <f>IFERROR(__xludf.DUMMYFUNCTION("ifna(VALUE(REGEXEXTRACT(E260,""[0-9.]+[,]+[0-9]+"")))"),"")</f>
        <v/>
      </c>
      <c r="N260" s="185"/>
      <c r="O260" s="185"/>
      <c r="P260" s="185"/>
      <c r="Q260" s="185"/>
      <c r="R260" s="185"/>
      <c r="S260" s="185"/>
      <c r="T260" s="185"/>
      <c r="U260" s="185"/>
      <c r="V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184" t="str">
        <f>IFERROR(__xludf.DUMMYFUNCTION("ifna(IF(and(D261=""Saída"",J261=""Sangria""),if(sum(QUERY(IMPORTRANGE(""https://docs.google.com/spreadsheets/d/1E4szPcLzsqlw4uyBAoJ61L1ChCgpz4wVP8tHfHW1g_c"",""BD M Sangrias!a:i""),""select Col6 where Col7 = 'Depositada' and Col9 = '""&amp;K261&amp;""' and Col6 ="&amp;" ""&amp;M261&amp;"" and Col4 = date '""&amp;YEAR(C261)&amp;""-""&amp;MONTH(C261)&amp;""-""&amp;DAY(C261)&amp;""'""))&gt;0,""Depositada"",if(sum(QUERY(IMPORTRANGE(""https://docs.google.com/spreadsheets/d/1EcLIvUgMoBC5as4ikW0wuQsGH5yVZ6cQ1y16qEfgPnk"",""BD M Sangrias!a:i""),""select Col6 whe"&amp;"re Col7 = 'Caixa Atendimento' and Col9 = '""&amp;K261&amp;""' and Col6 = ""&amp;M261&amp;"" and Col4 = date '""&amp;YEAR(C261)&amp;""-""&amp;MONTH(C261)&amp;""-""&amp;DAY(C261)&amp;""'""))&gt;0,""Caixa Atendimento"",""Caixa Sangria"")),""""),""Caixa Sangria"")"),"")</f>
        <v/>
      </c>
      <c r="M261" s="185" t="str">
        <f>IFERROR(__xludf.DUMMYFUNCTION("ifna(VALUE(REGEXEXTRACT(E261,""[0-9.]+[,]+[0-9]+"")))"),"")</f>
        <v/>
      </c>
      <c r="N261" s="185"/>
      <c r="O261" s="185"/>
      <c r="P261" s="185"/>
      <c r="Q261" s="185"/>
      <c r="R261" s="185"/>
      <c r="S261" s="185"/>
      <c r="T261" s="185"/>
      <c r="U261" s="185"/>
      <c r="V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184" t="str">
        <f>IFERROR(__xludf.DUMMYFUNCTION("ifna(IF(and(D262=""Saída"",J262=""Sangria""),if(sum(QUERY(IMPORTRANGE(""https://docs.google.com/spreadsheets/d/1E4szPcLzsqlw4uyBAoJ61L1ChCgpz4wVP8tHfHW1g_c"",""BD M Sangrias!a:i""),""select Col6 where Col7 = 'Depositada' and Col9 = '""&amp;K262&amp;""' and Col6 ="&amp;" ""&amp;M262&amp;"" and Col4 = date '""&amp;YEAR(C262)&amp;""-""&amp;MONTH(C262)&amp;""-""&amp;DAY(C262)&amp;""'""))&gt;0,""Depositada"",if(sum(QUERY(IMPORTRANGE(""https://docs.google.com/spreadsheets/d/1EcLIvUgMoBC5as4ikW0wuQsGH5yVZ6cQ1y16qEfgPnk"",""BD M Sangrias!a:i""),""select Col6 whe"&amp;"re Col7 = 'Caixa Atendimento' and Col9 = '""&amp;K262&amp;""' and Col6 = ""&amp;M262&amp;"" and Col4 = date '""&amp;YEAR(C262)&amp;""-""&amp;MONTH(C262)&amp;""-""&amp;DAY(C262)&amp;""'""))&gt;0,""Caixa Atendimento"",""Caixa Sangria"")),""""),""Caixa Sangria"")"),"")</f>
        <v/>
      </c>
      <c r="M262" s="185" t="str">
        <f>IFERROR(__xludf.DUMMYFUNCTION("ifna(VALUE(REGEXEXTRACT(E262,""[0-9.]+[,]+[0-9]+"")))"),"")</f>
        <v/>
      </c>
      <c r="N262" s="185"/>
      <c r="O262" s="185"/>
      <c r="P262" s="185"/>
      <c r="Q262" s="185"/>
      <c r="R262" s="185"/>
      <c r="S262" s="185"/>
      <c r="T262" s="185"/>
      <c r="U262" s="185"/>
      <c r="V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184" t="str">
        <f>IFERROR(__xludf.DUMMYFUNCTION("ifna(IF(and(D263=""Saída"",J263=""Sangria""),if(sum(QUERY(IMPORTRANGE(""https://docs.google.com/spreadsheets/d/1E4szPcLzsqlw4uyBAoJ61L1ChCgpz4wVP8tHfHW1g_c"",""BD M Sangrias!a:i""),""select Col6 where Col7 = 'Depositada' and Col9 = '""&amp;K263&amp;""' and Col6 ="&amp;" ""&amp;M263&amp;"" and Col4 = date '""&amp;YEAR(C263)&amp;""-""&amp;MONTH(C263)&amp;""-""&amp;DAY(C263)&amp;""'""))&gt;0,""Depositada"",if(sum(QUERY(IMPORTRANGE(""https://docs.google.com/spreadsheets/d/1EcLIvUgMoBC5as4ikW0wuQsGH5yVZ6cQ1y16qEfgPnk"",""BD M Sangrias!a:i""),""select Col6 whe"&amp;"re Col7 = 'Caixa Atendimento' and Col9 = '""&amp;K263&amp;""' and Col6 = ""&amp;M263&amp;"" and Col4 = date '""&amp;YEAR(C263)&amp;""-""&amp;MONTH(C263)&amp;""-""&amp;DAY(C263)&amp;""'""))&gt;0,""Caixa Atendimento"",""Caixa Sangria"")),""""),""Caixa Sangria"")"),"")</f>
        <v/>
      </c>
      <c r="M263" s="185" t="str">
        <f>IFERROR(__xludf.DUMMYFUNCTION("ifna(VALUE(REGEXEXTRACT(E263,""[0-9.]+[,]+[0-9]+"")))"),"")</f>
        <v/>
      </c>
      <c r="N263" s="185"/>
      <c r="O263" s="185"/>
      <c r="P263" s="185"/>
      <c r="Q263" s="185"/>
      <c r="R263" s="185"/>
      <c r="S263" s="185"/>
      <c r="T263" s="185"/>
      <c r="U263" s="185"/>
      <c r="V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184" t="str">
        <f>IFERROR(__xludf.DUMMYFUNCTION("ifna(IF(and(D264=""Saída"",J264=""Sangria""),if(sum(QUERY(IMPORTRANGE(""https://docs.google.com/spreadsheets/d/1E4szPcLzsqlw4uyBAoJ61L1ChCgpz4wVP8tHfHW1g_c"",""BD M Sangrias!a:i""),""select Col6 where Col7 = 'Depositada' and Col9 = '""&amp;K264&amp;""' and Col6 ="&amp;" ""&amp;M264&amp;"" and Col4 = date '""&amp;YEAR(C264)&amp;""-""&amp;MONTH(C264)&amp;""-""&amp;DAY(C264)&amp;""'""))&gt;0,""Depositada"",if(sum(QUERY(IMPORTRANGE(""https://docs.google.com/spreadsheets/d/1EcLIvUgMoBC5as4ikW0wuQsGH5yVZ6cQ1y16qEfgPnk"",""BD M Sangrias!a:i""),""select Col6 whe"&amp;"re Col7 = 'Caixa Atendimento' and Col9 = '""&amp;K264&amp;""' and Col6 = ""&amp;M264&amp;"" and Col4 = date '""&amp;YEAR(C264)&amp;""-""&amp;MONTH(C264)&amp;""-""&amp;DAY(C264)&amp;""'""))&gt;0,""Caixa Atendimento"",""Caixa Sangria"")),""""),""Caixa Sangria"")"),"")</f>
        <v/>
      </c>
      <c r="M264" s="185" t="str">
        <f>IFERROR(__xludf.DUMMYFUNCTION("ifna(VALUE(REGEXEXTRACT(E264,""[0-9.]+[,]+[0-9]+"")))"),"")</f>
        <v/>
      </c>
      <c r="N264" s="185"/>
      <c r="O264" s="185"/>
      <c r="P264" s="185"/>
      <c r="Q264" s="185"/>
      <c r="R264" s="185"/>
      <c r="S264" s="185"/>
      <c r="T264" s="185"/>
      <c r="U264" s="185"/>
      <c r="V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184" t="str">
        <f>IFERROR(__xludf.DUMMYFUNCTION("ifna(IF(and(D265=""Saída"",J265=""Sangria""),if(sum(QUERY(IMPORTRANGE(""https://docs.google.com/spreadsheets/d/1E4szPcLzsqlw4uyBAoJ61L1ChCgpz4wVP8tHfHW1g_c"",""BD M Sangrias!a:i""),""select Col6 where Col7 = 'Depositada' and Col9 = '""&amp;K265&amp;""' and Col6 ="&amp;" ""&amp;M265&amp;"" and Col4 = date '""&amp;YEAR(C265)&amp;""-""&amp;MONTH(C265)&amp;""-""&amp;DAY(C265)&amp;""'""))&gt;0,""Depositada"",if(sum(QUERY(IMPORTRANGE(""https://docs.google.com/spreadsheets/d/1EcLIvUgMoBC5as4ikW0wuQsGH5yVZ6cQ1y16qEfgPnk"",""BD M Sangrias!a:i""),""select Col6 whe"&amp;"re Col7 = 'Caixa Atendimento' and Col9 = '""&amp;K265&amp;""' and Col6 = ""&amp;M265&amp;"" and Col4 = date '""&amp;YEAR(C265)&amp;""-""&amp;MONTH(C265)&amp;""-""&amp;DAY(C265)&amp;""'""))&gt;0,""Caixa Atendimento"",""Caixa Sangria"")),""""),""Caixa Sangria"")"),"")</f>
        <v/>
      </c>
      <c r="M265" s="185" t="str">
        <f>IFERROR(__xludf.DUMMYFUNCTION("ifna(VALUE(REGEXEXTRACT(E265,""[0-9.]+[,]+[0-9]+"")))"),"")</f>
        <v/>
      </c>
      <c r="N265" s="185"/>
      <c r="O265" s="185"/>
      <c r="P265" s="185"/>
      <c r="Q265" s="185"/>
      <c r="R265" s="185"/>
      <c r="S265" s="185"/>
      <c r="T265" s="185"/>
      <c r="U265" s="185"/>
      <c r="V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184" t="str">
        <f>IFERROR(__xludf.DUMMYFUNCTION("ifna(IF(and(D266=""Saída"",J266=""Sangria""),if(sum(QUERY(IMPORTRANGE(""https://docs.google.com/spreadsheets/d/1E4szPcLzsqlw4uyBAoJ61L1ChCgpz4wVP8tHfHW1g_c"",""BD M Sangrias!a:i""),""select Col6 where Col7 = 'Depositada' and Col9 = '""&amp;K266&amp;""' and Col6 ="&amp;" ""&amp;M266&amp;"" and Col4 = date '""&amp;YEAR(C266)&amp;""-""&amp;MONTH(C266)&amp;""-""&amp;DAY(C266)&amp;""'""))&gt;0,""Depositada"",if(sum(QUERY(IMPORTRANGE(""https://docs.google.com/spreadsheets/d/1EcLIvUgMoBC5as4ikW0wuQsGH5yVZ6cQ1y16qEfgPnk"",""BD M Sangrias!a:i""),""select Col6 whe"&amp;"re Col7 = 'Caixa Atendimento' and Col9 = '""&amp;K266&amp;""' and Col6 = ""&amp;M266&amp;"" and Col4 = date '""&amp;YEAR(C266)&amp;""-""&amp;MONTH(C266)&amp;""-""&amp;DAY(C266)&amp;""'""))&gt;0,""Caixa Atendimento"",""Caixa Sangria"")),""""),""Caixa Sangria"")"),"")</f>
        <v/>
      </c>
      <c r="M266" s="185" t="str">
        <f>IFERROR(__xludf.DUMMYFUNCTION("ifna(VALUE(REGEXEXTRACT(E266,""[0-9.]+[,]+[0-9]+"")))"),"")</f>
        <v/>
      </c>
      <c r="N266" s="185"/>
      <c r="O266" s="185"/>
      <c r="P266" s="185"/>
      <c r="Q266" s="185"/>
      <c r="R266" s="185"/>
      <c r="S266" s="185"/>
      <c r="T266" s="185"/>
      <c r="U266" s="185"/>
      <c r="V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184" t="str">
        <f>IFERROR(__xludf.DUMMYFUNCTION("ifna(IF(and(D267=""Saída"",J267=""Sangria""),if(sum(QUERY(IMPORTRANGE(""https://docs.google.com/spreadsheets/d/1E4szPcLzsqlw4uyBAoJ61L1ChCgpz4wVP8tHfHW1g_c"",""BD M Sangrias!a:i""),""select Col6 where Col7 = 'Depositada' and Col9 = '""&amp;K267&amp;""' and Col6 ="&amp;" ""&amp;M267&amp;"" and Col4 = date '""&amp;YEAR(C267)&amp;""-""&amp;MONTH(C267)&amp;""-""&amp;DAY(C267)&amp;""'""))&gt;0,""Depositada"",if(sum(QUERY(IMPORTRANGE(""https://docs.google.com/spreadsheets/d/1EcLIvUgMoBC5as4ikW0wuQsGH5yVZ6cQ1y16qEfgPnk"",""BD M Sangrias!a:i""),""select Col6 whe"&amp;"re Col7 = 'Caixa Atendimento' and Col9 = '""&amp;K267&amp;""' and Col6 = ""&amp;M267&amp;"" and Col4 = date '""&amp;YEAR(C267)&amp;""-""&amp;MONTH(C267)&amp;""-""&amp;DAY(C267)&amp;""'""))&gt;0,""Caixa Atendimento"",""Caixa Sangria"")),""""),""Caixa Sangria"")"),"")</f>
        <v/>
      </c>
      <c r="M267" s="185" t="str">
        <f>IFERROR(__xludf.DUMMYFUNCTION("ifna(VALUE(REGEXEXTRACT(E267,""[0-9.]+[,]+[0-9]+"")))"),"")</f>
        <v/>
      </c>
      <c r="N267" s="185"/>
      <c r="O267" s="185"/>
      <c r="P267" s="185"/>
      <c r="Q267" s="185"/>
      <c r="R267" s="185"/>
      <c r="S267" s="185"/>
      <c r="T267" s="185"/>
      <c r="U267" s="185"/>
      <c r="V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184" t="str">
        <f>IFERROR(__xludf.DUMMYFUNCTION("ifna(IF(and(D268=""Saída"",J268=""Sangria""),if(sum(QUERY(IMPORTRANGE(""https://docs.google.com/spreadsheets/d/1E4szPcLzsqlw4uyBAoJ61L1ChCgpz4wVP8tHfHW1g_c"",""BD M Sangrias!a:i""),""select Col6 where Col7 = 'Depositada' and Col9 = '""&amp;K268&amp;""' and Col6 ="&amp;" ""&amp;M268&amp;"" and Col4 = date '""&amp;YEAR(C268)&amp;""-""&amp;MONTH(C268)&amp;""-""&amp;DAY(C268)&amp;""'""))&gt;0,""Depositada"",if(sum(QUERY(IMPORTRANGE(""https://docs.google.com/spreadsheets/d/1EcLIvUgMoBC5as4ikW0wuQsGH5yVZ6cQ1y16qEfgPnk"",""BD M Sangrias!a:i""),""select Col6 whe"&amp;"re Col7 = 'Caixa Atendimento' and Col9 = '""&amp;K268&amp;""' and Col6 = ""&amp;M268&amp;"" and Col4 = date '""&amp;YEAR(C268)&amp;""-""&amp;MONTH(C268)&amp;""-""&amp;DAY(C268)&amp;""'""))&gt;0,""Caixa Atendimento"",""Caixa Sangria"")),""""),""Caixa Sangria"")"),"")</f>
        <v/>
      </c>
      <c r="M268" s="185" t="str">
        <f>IFERROR(__xludf.DUMMYFUNCTION("ifna(VALUE(REGEXEXTRACT(E268,""[0-9.]+[,]+[0-9]+"")))"),"")</f>
        <v/>
      </c>
      <c r="N268" s="185"/>
      <c r="O268" s="185"/>
      <c r="P268" s="185"/>
      <c r="Q268" s="185"/>
      <c r="R268" s="185"/>
      <c r="S268" s="185"/>
      <c r="T268" s="185"/>
      <c r="U268" s="185"/>
      <c r="V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184" t="str">
        <f>IFERROR(__xludf.DUMMYFUNCTION("ifna(IF(and(D269=""Saída"",J269=""Sangria""),if(sum(QUERY(IMPORTRANGE(""https://docs.google.com/spreadsheets/d/1E4szPcLzsqlw4uyBAoJ61L1ChCgpz4wVP8tHfHW1g_c"",""BD M Sangrias!a:i""),""select Col6 where Col7 = 'Depositada' and Col9 = '""&amp;K269&amp;""' and Col6 ="&amp;" ""&amp;M269&amp;"" and Col4 = date '""&amp;YEAR(C269)&amp;""-""&amp;MONTH(C269)&amp;""-""&amp;DAY(C269)&amp;""'""))&gt;0,""Depositada"",if(sum(QUERY(IMPORTRANGE(""https://docs.google.com/spreadsheets/d/1EcLIvUgMoBC5as4ikW0wuQsGH5yVZ6cQ1y16qEfgPnk"",""BD M Sangrias!a:i""),""select Col6 whe"&amp;"re Col7 = 'Caixa Atendimento' and Col9 = '""&amp;K269&amp;""' and Col6 = ""&amp;M269&amp;"" and Col4 = date '""&amp;YEAR(C269)&amp;""-""&amp;MONTH(C269)&amp;""-""&amp;DAY(C269)&amp;""'""))&gt;0,""Caixa Atendimento"",""Caixa Sangria"")),""""),""Caixa Sangria"")"),"")</f>
        <v/>
      </c>
      <c r="M269" s="185" t="str">
        <f>IFERROR(__xludf.DUMMYFUNCTION("ifna(VALUE(REGEXEXTRACT(E269,""[0-9.]+[,]+[0-9]+"")))"),"")</f>
        <v/>
      </c>
      <c r="N269" s="185"/>
      <c r="O269" s="185"/>
      <c r="P269" s="185"/>
      <c r="Q269" s="185"/>
      <c r="R269" s="185"/>
      <c r="S269" s="185"/>
      <c r="T269" s="185"/>
      <c r="U269" s="185"/>
      <c r="V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184" t="str">
        <f>IFERROR(__xludf.DUMMYFUNCTION("ifna(IF(and(D270=""Saída"",J270=""Sangria""),if(sum(QUERY(IMPORTRANGE(""https://docs.google.com/spreadsheets/d/1E4szPcLzsqlw4uyBAoJ61L1ChCgpz4wVP8tHfHW1g_c"",""BD M Sangrias!a:i""),""select Col6 where Col7 = 'Depositada' and Col9 = '""&amp;K270&amp;""' and Col6 ="&amp;" ""&amp;M270&amp;"" and Col4 = date '""&amp;YEAR(C270)&amp;""-""&amp;MONTH(C270)&amp;""-""&amp;DAY(C270)&amp;""'""))&gt;0,""Depositada"",if(sum(QUERY(IMPORTRANGE(""https://docs.google.com/spreadsheets/d/1EcLIvUgMoBC5as4ikW0wuQsGH5yVZ6cQ1y16qEfgPnk"",""BD M Sangrias!a:i""),""select Col6 whe"&amp;"re Col7 = 'Caixa Atendimento' and Col9 = '""&amp;K270&amp;""' and Col6 = ""&amp;M270&amp;"" and Col4 = date '""&amp;YEAR(C270)&amp;""-""&amp;MONTH(C270)&amp;""-""&amp;DAY(C270)&amp;""'""))&gt;0,""Caixa Atendimento"",""Caixa Sangria"")),""""),""Caixa Sangria"")"),"")</f>
        <v/>
      </c>
      <c r="M270" s="185" t="str">
        <f>IFERROR(__xludf.DUMMYFUNCTION("ifna(VALUE(REGEXEXTRACT(E270,""[0-9.]+[,]+[0-9]+"")))"),"")</f>
        <v/>
      </c>
      <c r="N270" s="185"/>
      <c r="O270" s="185"/>
      <c r="P270" s="185"/>
      <c r="Q270" s="185"/>
      <c r="R270" s="185"/>
      <c r="S270" s="185"/>
      <c r="T270" s="185"/>
      <c r="U270" s="185"/>
      <c r="V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184" t="str">
        <f>IFERROR(__xludf.DUMMYFUNCTION("ifna(IF(and(D271=""Saída"",J271=""Sangria""),if(sum(QUERY(IMPORTRANGE(""https://docs.google.com/spreadsheets/d/1E4szPcLzsqlw4uyBAoJ61L1ChCgpz4wVP8tHfHW1g_c"",""BD M Sangrias!a:i""),""select Col6 where Col7 = 'Depositada' and Col9 = '""&amp;K271&amp;""' and Col6 ="&amp;" ""&amp;M271&amp;"" and Col4 = date '""&amp;YEAR(C271)&amp;""-""&amp;MONTH(C271)&amp;""-""&amp;DAY(C271)&amp;""'""))&gt;0,""Depositada"",if(sum(QUERY(IMPORTRANGE(""https://docs.google.com/spreadsheets/d/1EcLIvUgMoBC5as4ikW0wuQsGH5yVZ6cQ1y16qEfgPnk"",""BD M Sangrias!a:i""),""select Col6 whe"&amp;"re Col7 = 'Caixa Atendimento' and Col9 = '""&amp;K271&amp;""' and Col6 = ""&amp;M271&amp;"" and Col4 = date '""&amp;YEAR(C271)&amp;""-""&amp;MONTH(C271)&amp;""-""&amp;DAY(C271)&amp;""'""))&gt;0,""Caixa Atendimento"",""Caixa Sangria"")),""""),""Caixa Sangria"")"),"")</f>
        <v/>
      </c>
      <c r="M271" s="185" t="str">
        <f>IFERROR(__xludf.DUMMYFUNCTION("ifna(VALUE(REGEXEXTRACT(E271,""[0-9.]+[,]+[0-9]+"")))"),"")</f>
        <v/>
      </c>
      <c r="N271" s="185"/>
      <c r="O271" s="185"/>
      <c r="P271" s="185"/>
      <c r="Q271" s="185"/>
      <c r="R271" s="185"/>
      <c r="S271" s="185"/>
      <c r="T271" s="185"/>
      <c r="U271" s="185"/>
      <c r="V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184" t="str">
        <f>IFERROR(__xludf.DUMMYFUNCTION("ifna(IF(and(D272=""Saída"",J272=""Sangria""),if(sum(QUERY(IMPORTRANGE(""https://docs.google.com/spreadsheets/d/1E4szPcLzsqlw4uyBAoJ61L1ChCgpz4wVP8tHfHW1g_c"",""BD M Sangrias!a:i""),""select Col6 where Col7 = 'Depositada' and Col9 = '""&amp;K272&amp;""' and Col6 ="&amp;" ""&amp;M272&amp;"" and Col4 = date '""&amp;YEAR(C272)&amp;""-""&amp;MONTH(C272)&amp;""-""&amp;DAY(C272)&amp;""'""))&gt;0,""Depositada"",if(sum(QUERY(IMPORTRANGE(""https://docs.google.com/spreadsheets/d/1EcLIvUgMoBC5as4ikW0wuQsGH5yVZ6cQ1y16qEfgPnk"",""BD M Sangrias!a:i""),""select Col6 whe"&amp;"re Col7 = 'Caixa Atendimento' and Col9 = '""&amp;K272&amp;""' and Col6 = ""&amp;M272&amp;"" and Col4 = date '""&amp;YEAR(C272)&amp;""-""&amp;MONTH(C272)&amp;""-""&amp;DAY(C272)&amp;""'""))&gt;0,""Caixa Atendimento"",""Caixa Sangria"")),""""),""Caixa Sangria"")"),"")</f>
        <v/>
      </c>
      <c r="M272" s="185" t="str">
        <f>IFERROR(__xludf.DUMMYFUNCTION("ifna(VALUE(REGEXEXTRACT(E272,""[0-9.]+[,]+[0-9]+"")))"),"")</f>
        <v/>
      </c>
      <c r="N272" s="185"/>
      <c r="O272" s="185"/>
      <c r="P272" s="185"/>
      <c r="Q272" s="185"/>
      <c r="R272" s="185"/>
      <c r="S272" s="185"/>
      <c r="T272" s="185"/>
      <c r="U272" s="185"/>
      <c r="V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184" t="str">
        <f>IFERROR(__xludf.DUMMYFUNCTION("ifna(IF(and(D273=""Saída"",J273=""Sangria""),if(sum(QUERY(IMPORTRANGE(""https://docs.google.com/spreadsheets/d/1E4szPcLzsqlw4uyBAoJ61L1ChCgpz4wVP8tHfHW1g_c"",""BD M Sangrias!a:i""),""select Col6 where Col7 = 'Depositada' and Col9 = '""&amp;K273&amp;""' and Col6 ="&amp;" ""&amp;M273&amp;"" and Col4 = date '""&amp;YEAR(C273)&amp;""-""&amp;MONTH(C273)&amp;""-""&amp;DAY(C273)&amp;""'""))&gt;0,""Depositada"",if(sum(QUERY(IMPORTRANGE(""https://docs.google.com/spreadsheets/d/1EcLIvUgMoBC5as4ikW0wuQsGH5yVZ6cQ1y16qEfgPnk"",""BD M Sangrias!a:i""),""select Col6 whe"&amp;"re Col7 = 'Caixa Atendimento' and Col9 = '""&amp;K273&amp;""' and Col6 = ""&amp;M273&amp;"" and Col4 = date '""&amp;YEAR(C273)&amp;""-""&amp;MONTH(C273)&amp;""-""&amp;DAY(C273)&amp;""'""))&gt;0,""Caixa Atendimento"",""Caixa Sangria"")),""""),""Caixa Sangria"")"),"")</f>
        <v/>
      </c>
      <c r="M273" s="185" t="str">
        <f>IFERROR(__xludf.DUMMYFUNCTION("ifna(VALUE(REGEXEXTRACT(E273,""[0-9.]+[,]+[0-9]+"")))"),"")</f>
        <v/>
      </c>
      <c r="N273" s="185"/>
      <c r="O273" s="185"/>
      <c r="P273" s="185"/>
      <c r="Q273" s="185"/>
      <c r="R273" s="185"/>
      <c r="S273" s="185"/>
      <c r="T273" s="185"/>
      <c r="U273" s="185"/>
      <c r="V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184" t="str">
        <f>IFERROR(__xludf.DUMMYFUNCTION("ifna(IF(and(D274=""Saída"",J274=""Sangria""),if(sum(QUERY(IMPORTRANGE(""https://docs.google.com/spreadsheets/d/1E4szPcLzsqlw4uyBAoJ61L1ChCgpz4wVP8tHfHW1g_c"",""BD M Sangrias!a:i""),""select Col6 where Col7 = 'Depositada' and Col9 = '""&amp;K274&amp;""' and Col6 ="&amp;" ""&amp;M274&amp;"" and Col4 = date '""&amp;YEAR(C274)&amp;""-""&amp;MONTH(C274)&amp;""-""&amp;DAY(C274)&amp;""'""))&gt;0,""Depositada"",if(sum(QUERY(IMPORTRANGE(""https://docs.google.com/spreadsheets/d/1EcLIvUgMoBC5as4ikW0wuQsGH5yVZ6cQ1y16qEfgPnk"",""BD M Sangrias!a:i""),""select Col6 whe"&amp;"re Col7 = 'Caixa Atendimento' and Col9 = '""&amp;K274&amp;""' and Col6 = ""&amp;M274&amp;"" and Col4 = date '""&amp;YEAR(C274)&amp;""-""&amp;MONTH(C274)&amp;""-""&amp;DAY(C274)&amp;""'""))&gt;0,""Caixa Atendimento"",""Caixa Sangria"")),""""),""Caixa Sangria"")"),"")</f>
        <v/>
      </c>
      <c r="M274" s="185" t="str">
        <f>IFERROR(__xludf.DUMMYFUNCTION("ifna(VALUE(REGEXEXTRACT(E274,""[0-9.]+[,]+[0-9]+"")))"),"")</f>
        <v/>
      </c>
      <c r="N274" s="185"/>
      <c r="O274" s="185"/>
      <c r="P274" s="185"/>
      <c r="Q274" s="185"/>
      <c r="R274" s="185"/>
      <c r="S274" s="185"/>
      <c r="T274" s="185"/>
      <c r="U274" s="185"/>
      <c r="V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184" t="str">
        <f>IFERROR(__xludf.DUMMYFUNCTION("ifna(IF(and(D275=""Saída"",J275=""Sangria""),if(sum(QUERY(IMPORTRANGE(""https://docs.google.com/spreadsheets/d/1E4szPcLzsqlw4uyBAoJ61L1ChCgpz4wVP8tHfHW1g_c"",""BD M Sangrias!a:i""),""select Col6 where Col7 = 'Depositada' and Col9 = '""&amp;K275&amp;""' and Col6 ="&amp;" ""&amp;M275&amp;"" and Col4 = date '""&amp;YEAR(C275)&amp;""-""&amp;MONTH(C275)&amp;""-""&amp;DAY(C275)&amp;""'""))&gt;0,""Depositada"",if(sum(QUERY(IMPORTRANGE(""https://docs.google.com/spreadsheets/d/1EcLIvUgMoBC5as4ikW0wuQsGH5yVZ6cQ1y16qEfgPnk"",""BD M Sangrias!a:i""),""select Col6 whe"&amp;"re Col7 = 'Caixa Atendimento' and Col9 = '""&amp;K275&amp;""' and Col6 = ""&amp;M275&amp;"" and Col4 = date '""&amp;YEAR(C275)&amp;""-""&amp;MONTH(C275)&amp;""-""&amp;DAY(C275)&amp;""'""))&gt;0,""Caixa Atendimento"",""Caixa Sangria"")),""""),""Caixa Sangria"")"),"")</f>
        <v/>
      </c>
      <c r="M275" s="185" t="str">
        <f>IFERROR(__xludf.DUMMYFUNCTION("ifna(VALUE(REGEXEXTRACT(E275,""[0-9.]+[,]+[0-9]+"")))"),"")</f>
        <v/>
      </c>
      <c r="N275" s="185"/>
      <c r="O275" s="185"/>
      <c r="P275" s="185"/>
      <c r="Q275" s="185"/>
      <c r="R275" s="185"/>
      <c r="S275" s="185"/>
      <c r="T275" s="185"/>
      <c r="U275" s="185"/>
      <c r="V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184" t="str">
        <f>IFERROR(__xludf.DUMMYFUNCTION("ifna(IF(and(D276=""Saída"",J276=""Sangria""),if(sum(QUERY(IMPORTRANGE(""https://docs.google.com/spreadsheets/d/1E4szPcLzsqlw4uyBAoJ61L1ChCgpz4wVP8tHfHW1g_c"",""BD M Sangrias!a:i""),""select Col6 where Col7 = 'Depositada' and Col9 = '""&amp;K276&amp;""' and Col6 ="&amp;" ""&amp;M276&amp;"" and Col4 = date '""&amp;YEAR(C276)&amp;""-""&amp;MONTH(C276)&amp;""-""&amp;DAY(C276)&amp;""'""))&gt;0,""Depositada"",if(sum(QUERY(IMPORTRANGE(""https://docs.google.com/spreadsheets/d/1EcLIvUgMoBC5as4ikW0wuQsGH5yVZ6cQ1y16qEfgPnk"",""BD M Sangrias!a:i""),""select Col6 whe"&amp;"re Col7 = 'Caixa Atendimento' and Col9 = '""&amp;K276&amp;""' and Col6 = ""&amp;M276&amp;"" and Col4 = date '""&amp;YEAR(C276)&amp;""-""&amp;MONTH(C276)&amp;""-""&amp;DAY(C276)&amp;""'""))&gt;0,""Caixa Atendimento"",""Caixa Sangria"")),""""),""Caixa Sangria"")"),"")</f>
        <v/>
      </c>
      <c r="M276" s="185" t="str">
        <f>IFERROR(__xludf.DUMMYFUNCTION("ifna(VALUE(REGEXEXTRACT(E276,""[0-9.]+[,]+[0-9]+"")))"),"")</f>
        <v/>
      </c>
      <c r="N276" s="185"/>
      <c r="O276" s="185"/>
      <c r="P276" s="185"/>
      <c r="Q276" s="185"/>
      <c r="R276" s="185"/>
      <c r="S276" s="185"/>
      <c r="T276" s="185"/>
      <c r="U276" s="185"/>
      <c r="V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184" t="str">
        <f>IFERROR(__xludf.DUMMYFUNCTION("ifna(IF(and(D277=""Saída"",J277=""Sangria""),if(sum(QUERY(IMPORTRANGE(""https://docs.google.com/spreadsheets/d/1E4szPcLzsqlw4uyBAoJ61L1ChCgpz4wVP8tHfHW1g_c"",""BD M Sangrias!a:i""),""select Col6 where Col7 = 'Depositada' and Col9 = '""&amp;K277&amp;""' and Col6 ="&amp;" ""&amp;M277&amp;"" and Col4 = date '""&amp;YEAR(C277)&amp;""-""&amp;MONTH(C277)&amp;""-""&amp;DAY(C277)&amp;""'""))&gt;0,""Depositada"",if(sum(QUERY(IMPORTRANGE(""https://docs.google.com/spreadsheets/d/1EcLIvUgMoBC5as4ikW0wuQsGH5yVZ6cQ1y16qEfgPnk"",""BD M Sangrias!a:i""),""select Col6 whe"&amp;"re Col7 = 'Caixa Atendimento' and Col9 = '""&amp;K277&amp;""' and Col6 = ""&amp;M277&amp;"" and Col4 = date '""&amp;YEAR(C277)&amp;""-""&amp;MONTH(C277)&amp;""-""&amp;DAY(C277)&amp;""'""))&gt;0,""Caixa Atendimento"",""Caixa Sangria"")),""""),""Caixa Sangria"")"),"")</f>
        <v/>
      </c>
      <c r="M277" s="185" t="str">
        <f>IFERROR(__xludf.DUMMYFUNCTION("ifna(VALUE(REGEXEXTRACT(E277,""[0-9.]+[,]+[0-9]+"")))"),"")</f>
        <v/>
      </c>
      <c r="N277" s="185"/>
      <c r="O277" s="185"/>
      <c r="P277" s="185"/>
      <c r="Q277" s="185"/>
      <c r="R277" s="185"/>
      <c r="S277" s="185"/>
      <c r="T277" s="185"/>
      <c r="U277" s="185"/>
      <c r="V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184" t="str">
        <f>IFERROR(__xludf.DUMMYFUNCTION("ifna(IF(and(D278=""Saída"",J278=""Sangria""),if(sum(QUERY(IMPORTRANGE(""https://docs.google.com/spreadsheets/d/1E4szPcLzsqlw4uyBAoJ61L1ChCgpz4wVP8tHfHW1g_c"",""BD M Sangrias!a:i""),""select Col6 where Col7 = 'Depositada' and Col9 = '""&amp;K278&amp;""' and Col6 ="&amp;" ""&amp;M278&amp;"" and Col4 = date '""&amp;YEAR(C278)&amp;""-""&amp;MONTH(C278)&amp;""-""&amp;DAY(C278)&amp;""'""))&gt;0,""Depositada"",if(sum(QUERY(IMPORTRANGE(""https://docs.google.com/spreadsheets/d/1EcLIvUgMoBC5as4ikW0wuQsGH5yVZ6cQ1y16qEfgPnk"",""BD M Sangrias!a:i""),""select Col6 whe"&amp;"re Col7 = 'Caixa Atendimento' and Col9 = '""&amp;K278&amp;""' and Col6 = ""&amp;M278&amp;"" and Col4 = date '""&amp;YEAR(C278)&amp;""-""&amp;MONTH(C278)&amp;""-""&amp;DAY(C278)&amp;""'""))&gt;0,""Caixa Atendimento"",""Caixa Sangria"")),""""),""Caixa Sangria"")"),"")</f>
        <v/>
      </c>
      <c r="M278" s="185" t="str">
        <f>IFERROR(__xludf.DUMMYFUNCTION("ifna(VALUE(REGEXEXTRACT(E278,""[0-9.]+[,]+[0-9]+"")))"),"")</f>
        <v/>
      </c>
      <c r="N278" s="185"/>
      <c r="O278" s="185"/>
      <c r="P278" s="185"/>
      <c r="Q278" s="185"/>
      <c r="R278" s="185"/>
      <c r="S278" s="185"/>
      <c r="T278" s="185"/>
      <c r="U278" s="185"/>
      <c r="V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184" t="str">
        <f>IFERROR(__xludf.DUMMYFUNCTION("ifna(IF(and(D279=""Saída"",J279=""Sangria""),if(sum(QUERY(IMPORTRANGE(""https://docs.google.com/spreadsheets/d/1E4szPcLzsqlw4uyBAoJ61L1ChCgpz4wVP8tHfHW1g_c"",""BD M Sangrias!a:i""),""select Col6 where Col7 = 'Depositada' and Col9 = '""&amp;K279&amp;""' and Col6 ="&amp;" ""&amp;M279&amp;"" and Col4 = date '""&amp;YEAR(C279)&amp;""-""&amp;MONTH(C279)&amp;""-""&amp;DAY(C279)&amp;""'""))&gt;0,""Depositada"",if(sum(QUERY(IMPORTRANGE(""https://docs.google.com/spreadsheets/d/1EcLIvUgMoBC5as4ikW0wuQsGH5yVZ6cQ1y16qEfgPnk"",""BD M Sangrias!a:i""),""select Col6 whe"&amp;"re Col7 = 'Caixa Atendimento' and Col9 = '""&amp;K279&amp;""' and Col6 = ""&amp;M279&amp;"" and Col4 = date '""&amp;YEAR(C279)&amp;""-""&amp;MONTH(C279)&amp;""-""&amp;DAY(C279)&amp;""'""))&gt;0,""Caixa Atendimento"",""Caixa Sangria"")),""""),""Caixa Sangria"")"),"")</f>
        <v/>
      </c>
      <c r="M279" s="185" t="str">
        <f>IFERROR(__xludf.DUMMYFUNCTION("ifna(VALUE(REGEXEXTRACT(E279,""[0-9.]+[,]+[0-9]+"")))"),"")</f>
        <v/>
      </c>
      <c r="N279" s="185"/>
      <c r="O279" s="185"/>
      <c r="P279" s="185"/>
      <c r="Q279" s="185"/>
      <c r="R279" s="185"/>
      <c r="S279" s="185"/>
      <c r="T279" s="185"/>
      <c r="U279" s="185"/>
      <c r="V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184" t="str">
        <f>IFERROR(__xludf.DUMMYFUNCTION("ifna(IF(and(D280=""Saída"",J280=""Sangria""),if(sum(QUERY(IMPORTRANGE(""https://docs.google.com/spreadsheets/d/1E4szPcLzsqlw4uyBAoJ61L1ChCgpz4wVP8tHfHW1g_c"",""BD M Sangrias!a:i""),""select Col6 where Col7 = 'Depositada' and Col9 = '""&amp;K280&amp;""' and Col6 ="&amp;" ""&amp;M280&amp;"" and Col4 = date '""&amp;YEAR(C280)&amp;""-""&amp;MONTH(C280)&amp;""-""&amp;DAY(C280)&amp;""'""))&gt;0,""Depositada"",if(sum(QUERY(IMPORTRANGE(""https://docs.google.com/spreadsheets/d/1EcLIvUgMoBC5as4ikW0wuQsGH5yVZ6cQ1y16qEfgPnk"",""BD M Sangrias!a:i""),""select Col6 whe"&amp;"re Col7 = 'Caixa Atendimento' and Col9 = '""&amp;K280&amp;""' and Col6 = ""&amp;M280&amp;"" and Col4 = date '""&amp;YEAR(C280)&amp;""-""&amp;MONTH(C280)&amp;""-""&amp;DAY(C280)&amp;""'""))&gt;0,""Caixa Atendimento"",""Caixa Sangria"")),""""),""Caixa Sangria"")"),"")</f>
        <v/>
      </c>
      <c r="M280" s="185" t="str">
        <f>IFERROR(__xludf.DUMMYFUNCTION("ifna(VALUE(REGEXEXTRACT(E280,""[0-9.]+[,]+[0-9]+"")))"),"")</f>
        <v/>
      </c>
      <c r="N280" s="185"/>
      <c r="O280" s="185"/>
      <c r="P280" s="185"/>
      <c r="Q280" s="185"/>
      <c r="R280" s="185"/>
      <c r="S280" s="185"/>
      <c r="T280" s="185"/>
      <c r="U280" s="185"/>
      <c r="V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184" t="str">
        <f>IFERROR(__xludf.DUMMYFUNCTION("ifna(IF(and(D281=""Saída"",J281=""Sangria""),if(sum(QUERY(IMPORTRANGE(""https://docs.google.com/spreadsheets/d/1E4szPcLzsqlw4uyBAoJ61L1ChCgpz4wVP8tHfHW1g_c"",""BD M Sangrias!a:i""),""select Col6 where Col7 = 'Depositada' and Col9 = '""&amp;K281&amp;""' and Col6 ="&amp;" ""&amp;M281&amp;"" and Col4 = date '""&amp;YEAR(C281)&amp;""-""&amp;MONTH(C281)&amp;""-""&amp;DAY(C281)&amp;""'""))&gt;0,""Depositada"",if(sum(QUERY(IMPORTRANGE(""https://docs.google.com/spreadsheets/d/1EcLIvUgMoBC5as4ikW0wuQsGH5yVZ6cQ1y16qEfgPnk"",""BD M Sangrias!a:i""),""select Col6 whe"&amp;"re Col7 = 'Caixa Atendimento' and Col9 = '""&amp;K281&amp;""' and Col6 = ""&amp;M281&amp;"" and Col4 = date '""&amp;YEAR(C281)&amp;""-""&amp;MONTH(C281)&amp;""-""&amp;DAY(C281)&amp;""'""))&gt;0,""Caixa Atendimento"",""Caixa Sangria"")),""""),""Caixa Sangria"")"),"")</f>
        <v/>
      </c>
      <c r="M281" s="185" t="str">
        <f>IFERROR(__xludf.DUMMYFUNCTION("ifna(VALUE(REGEXEXTRACT(E281,""[0-9.]+[,]+[0-9]+"")))"),"")</f>
        <v/>
      </c>
      <c r="N281" s="185"/>
      <c r="O281" s="185"/>
      <c r="P281" s="185"/>
      <c r="Q281" s="185"/>
      <c r="R281" s="185"/>
      <c r="S281" s="185"/>
      <c r="T281" s="185"/>
      <c r="U281" s="185"/>
      <c r="V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184" t="str">
        <f>IFERROR(__xludf.DUMMYFUNCTION("ifna(IF(and(D282=""Saída"",J282=""Sangria""),if(sum(QUERY(IMPORTRANGE(""https://docs.google.com/spreadsheets/d/1E4szPcLzsqlw4uyBAoJ61L1ChCgpz4wVP8tHfHW1g_c"",""BD M Sangrias!a:i""),""select Col6 where Col7 = 'Depositada' and Col9 = '""&amp;K282&amp;""' and Col6 ="&amp;" ""&amp;M282&amp;"" and Col4 = date '""&amp;YEAR(C282)&amp;""-""&amp;MONTH(C282)&amp;""-""&amp;DAY(C282)&amp;""'""))&gt;0,""Depositada"",if(sum(QUERY(IMPORTRANGE(""https://docs.google.com/spreadsheets/d/1EcLIvUgMoBC5as4ikW0wuQsGH5yVZ6cQ1y16qEfgPnk"",""BD M Sangrias!a:i""),""select Col6 whe"&amp;"re Col7 = 'Caixa Atendimento' and Col9 = '""&amp;K282&amp;""' and Col6 = ""&amp;M282&amp;"" and Col4 = date '""&amp;YEAR(C282)&amp;""-""&amp;MONTH(C282)&amp;""-""&amp;DAY(C282)&amp;""'""))&gt;0,""Caixa Atendimento"",""Caixa Sangria"")),""""),""Caixa Sangria"")"),"")</f>
        <v/>
      </c>
      <c r="M282" s="185" t="str">
        <f>IFERROR(__xludf.DUMMYFUNCTION("ifna(VALUE(REGEXEXTRACT(E282,""[0-9.]+[,]+[0-9]+"")))"),"")</f>
        <v/>
      </c>
      <c r="N282" s="185"/>
      <c r="O282" s="185"/>
      <c r="P282" s="185"/>
      <c r="Q282" s="185"/>
      <c r="R282" s="185"/>
      <c r="S282" s="185"/>
      <c r="T282" s="185"/>
      <c r="U282" s="185"/>
      <c r="V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184" t="str">
        <f>IFERROR(__xludf.DUMMYFUNCTION("ifna(IF(and(D283=""Saída"",J283=""Sangria""),if(sum(QUERY(IMPORTRANGE(""https://docs.google.com/spreadsheets/d/1E4szPcLzsqlw4uyBAoJ61L1ChCgpz4wVP8tHfHW1g_c"",""BD M Sangrias!a:i""),""select Col6 where Col7 = 'Depositada' and Col9 = '""&amp;K283&amp;""' and Col6 ="&amp;" ""&amp;M283&amp;"" and Col4 = date '""&amp;YEAR(C283)&amp;""-""&amp;MONTH(C283)&amp;""-""&amp;DAY(C283)&amp;""'""))&gt;0,""Depositada"",if(sum(QUERY(IMPORTRANGE(""https://docs.google.com/spreadsheets/d/1EcLIvUgMoBC5as4ikW0wuQsGH5yVZ6cQ1y16qEfgPnk"",""BD M Sangrias!a:i""),""select Col6 whe"&amp;"re Col7 = 'Caixa Atendimento' and Col9 = '""&amp;K283&amp;""' and Col6 = ""&amp;M283&amp;"" and Col4 = date '""&amp;YEAR(C283)&amp;""-""&amp;MONTH(C283)&amp;""-""&amp;DAY(C283)&amp;""'""))&gt;0,""Caixa Atendimento"",""Caixa Sangria"")),""""),""Caixa Sangria"")"),"")</f>
        <v/>
      </c>
      <c r="M283" s="185" t="str">
        <f>IFERROR(__xludf.DUMMYFUNCTION("ifna(VALUE(REGEXEXTRACT(E283,""[0-9.]+[,]+[0-9]+"")))"),"")</f>
        <v/>
      </c>
      <c r="N283" s="185"/>
      <c r="O283" s="185"/>
      <c r="P283" s="185"/>
      <c r="Q283" s="185"/>
      <c r="R283" s="185"/>
      <c r="S283" s="185"/>
      <c r="T283" s="185"/>
      <c r="U283" s="185"/>
      <c r="V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184" t="str">
        <f>IFERROR(__xludf.DUMMYFUNCTION("ifna(IF(and(D284=""Saída"",J284=""Sangria""),if(sum(QUERY(IMPORTRANGE(""https://docs.google.com/spreadsheets/d/1E4szPcLzsqlw4uyBAoJ61L1ChCgpz4wVP8tHfHW1g_c"",""BD M Sangrias!a:i""),""select Col6 where Col7 = 'Depositada' and Col9 = '""&amp;K284&amp;""' and Col6 ="&amp;" ""&amp;M284&amp;"" and Col4 = date '""&amp;YEAR(C284)&amp;""-""&amp;MONTH(C284)&amp;""-""&amp;DAY(C284)&amp;""'""))&gt;0,""Depositada"",if(sum(QUERY(IMPORTRANGE(""https://docs.google.com/spreadsheets/d/1EcLIvUgMoBC5as4ikW0wuQsGH5yVZ6cQ1y16qEfgPnk"",""BD M Sangrias!a:i""),""select Col6 whe"&amp;"re Col7 = 'Caixa Atendimento' and Col9 = '""&amp;K284&amp;""' and Col6 = ""&amp;M284&amp;"" and Col4 = date '""&amp;YEAR(C284)&amp;""-""&amp;MONTH(C284)&amp;""-""&amp;DAY(C284)&amp;""'""))&gt;0,""Caixa Atendimento"",""Caixa Sangria"")),""""),""Caixa Sangria"")"),"")</f>
        <v/>
      </c>
      <c r="M284" s="185" t="str">
        <f>IFERROR(__xludf.DUMMYFUNCTION("ifna(VALUE(REGEXEXTRACT(E284,""[0-9.]+[,]+[0-9]+"")))"),"")</f>
        <v/>
      </c>
      <c r="N284" s="185"/>
      <c r="O284" s="185"/>
      <c r="P284" s="185"/>
      <c r="Q284" s="185"/>
      <c r="R284" s="185"/>
      <c r="S284" s="185"/>
      <c r="T284" s="185"/>
      <c r="U284" s="185"/>
      <c r="V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184" t="str">
        <f>IFERROR(__xludf.DUMMYFUNCTION("ifna(IF(and(D285=""Saída"",J285=""Sangria""),if(sum(QUERY(IMPORTRANGE(""https://docs.google.com/spreadsheets/d/1E4szPcLzsqlw4uyBAoJ61L1ChCgpz4wVP8tHfHW1g_c"",""BD M Sangrias!a:i""),""select Col6 where Col7 = 'Depositada' and Col9 = '""&amp;K285&amp;""' and Col6 ="&amp;" ""&amp;M285&amp;"" and Col4 = date '""&amp;YEAR(C285)&amp;""-""&amp;MONTH(C285)&amp;""-""&amp;DAY(C285)&amp;""'""))&gt;0,""Depositada"",if(sum(QUERY(IMPORTRANGE(""https://docs.google.com/spreadsheets/d/1EcLIvUgMoBC5as4ikW0wuQsGH5yVZ6cQ1y16qEfgPnk"",""BD M Sangrias!a:i""),""select Col6 whe"&amp;"re Col7 = 'Caixa Atendimento' and Col9 = '""&amp;K285&amp;""' and Col6 = ""&amp;M285&amp;"" and Col4 = date '""&amp;YEAR(C285)&amp;""-""&amp;MONTH(C285)&amp;""-""&amp;DAY(C285)&amp;""'""))&gt;0,""Caixa Atendimento"",""Caixa Sangria"")),""""),""Caixa Sangria"")"),"")</f>
        <v/>
      </c>
      <c r="M285" s="185" t="str">
        <f>IFERROR(__xludf.DUMMYFUNCTION("ifna(VALUE(REGEXEXTRACT(E285,""[0-9.]+[,]+[0-9]+"")))"),"")</f>
        <v/>
      </c>
      <c r="N285" s="185"/>
      <c r="O285" s="185"/>
      <c r="P285" s="185"/>
      <c r="Q285" s="185"/>
      <c r="R285" s="185"/>
      <c r="S285" s="185"/>
      <c r="T285" s="185"/>
      <c r="U285" s="185"/>
      <c r="V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184" t="str">
        <f>IFERROR(__xludf.DUMMYFUNCTION("ifna(IF(and(D286=""Saída"",J286=""Sangria""),if(sum(QUERY(IMPORTRANGE(""https://docs.google.com/spreadsheets/d/1E4szPcLzsqlw4uyBAoJ61L1ChCgpz4wVP8tHfHW1g_c"",""BD M Sangrias!a:i""),""select Col6 where Col7 = 'Depositada' and Col9 = '""&amp;K286&amp;""' and Col6 ="&amp;" ""&amp;M286&amp;"" and Col4 = date '""&amp;YEAR(C286)&amp;""-""&amp;MONTH(C286)&amp;""-""&amp;DAY(C286)&amp;""'""))&gt;0,""Depositada"",if(sum(QUERY(IMPORTRANGE(""https://docs.google.com/spreadsheets/d/1EcLIvUgMoBC5as4ikW0wuQsGH5yVZ6cQ1y16qEfgPnk"",""BD M Sangrias!a:i""),""select Col6 whe"&amp;"re Col7 = 'Caixa Atendimento' and Col9 = '""&amp;K286&amp;""' and Col6 = ""&amp;M286&amp;"" and Col4 = date '""&amp;YEAR(C286)&amp;""-""&amp;MONTH(C286)&amp;""-""&amp;DAY(C286)&amp;""'""))&gt;0,""Caixa Atendimento"",""Caixa Sangria"")),""""),""Caixa Sangria"")"),"")</f>
        <v/>
      </c>
      <c r="M286" s="185" t="str">
        <f>IFERROR(__xludf.DUMMYFUNCTION("ifna(VALUE(REGEXEXTRACT(E286,""[0-9.]+[,]+[0-9]+"")))"),"")</f>
        <v/>
      </c>
      <c r="N286" s="185"/>
      <c r="O286" s="185"/>
      <c r="P286" s="185"/>
      <c r="Q286" s="185"/>
      <c r="R286" s="185"/>
      <c r="S286" s="185"/>
      <c r="T286" s="185"/>
      <c r="U286" s="185"/>
      <c r="V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184" t="str">
        <f>IFERROR(__xludf.DUMMYFUNCTION("ifna(IF(and(D287=""Saída"",J287=""Sangria""),if(sum(QUERY(IMPORTRANGE(""https://docs.google.com/spreadsheets/d/1E4szPcLzsqlw4uyBAoJ61L1ChCgpz4wVP8tHfHW1g_c"",""BD M Sangrias!a:i""),""select Col6 where Col7 = 'Depositada' and Col9 = '""&amp;K287&amp;""' and Col6 ="&amp;" ""&amp;M287&amp;"" and Col4 = date '""&amp;YEAR(C287)&amp;""-""&amp;MONTH(C287)&amp;""-""&amp;DAY(C287)&amp;""'""))&gt;0,""Depositada"",if(sum(QUERY(IMPORTRANGE(""https://docs.google.com/spreadsheets/d/1EcLIvUgMoBC5as4ikW0wuQsGH5yVZ6cQ1y16qEfgPnk"",""BD M Sangrias!a:i""),""select Col6 whe"&amp;"re Col7 = 'Caixa Atendimento' and Col9 = '""&amp;K287&amp;""' and Col6 = ""&amp;M287&amp;"" and Col4 = date '""&amp;YEAR(C287)&amp;""-""&amp;MONTH(C287)&amp;""-""&amp;DAY(C287)&amp;""'""))&gt;0,""Caixa Atendimento"",""Caixa Sangria"")),""""),""Caixa Sangria"")"),"")</f>
        <v/>
      </c>
      <c r="M287" s="185" t="str">
        <f>IFERROR(__xludf.DUMMYFUNCTION("ifna(VALUE(REGEXEXTRACT(E287,""[0-9.]+[,]+[0-9]+"")))"),"")</f>
        <v/>
      </c>
      <c r="N287" s="185"/>
      <c r="O287" s="185"/>
      <c r="P287" s="185"/>
      <c r="Q287" s="185"/>
      <c r="R287" s="185"/>
      <c r="S287" s="185"/>
      <c r="T287" s="185"/>
      <c r="U287" s="185"/>
      <c r="V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184" t="str">
        <f>IFERROR(__xludf.DUMMYFUNCTION("ifna(IF(and(D288=""Saída"",J288=""Sangria""),if(sum(QUERY(IMPORTRANGE(""https://docs.google.com/spreadsheets/d/1E4szPcLzsqlw4uyBAoJ61L1ChCgpz4wVP8tHfHW1g_c"",""BD M Sangrias!a:i""),""select Col6 where Col7 = 'Depositada' and Col9 = '""&amp;K288&amp;""' and Col6 ="&amp;" ""&amp;M288&amp;"" and Col4 = date '""&amp;YEAR(C288)&amp;""-""&amp;MONTH(C288)&amp;""-""&amp;DAY(C288)&amp;""'""))&gt;0,""Depositada"",if(sum(QUERY(IMPORTRANGE(""https://docs.google.com/spreadsheets/d/1EcLIvUgMoBC5as4ikW0wuQsGH5yVZ6cQ1y16qEfgPnk"",""BD M Sangrias!a:i""),""select Col6 whe"&amp;"re Col7 = 'Caixa Atendimento' and Col9 = '""&amp;K288&amp;""' and Col6 = ""&amp;M288&amp;"" and Col4 = date '""&amp;YEAR(C288)&amp;""-""&amp;MONTH(C288)&amp;""-""&amp;DAY(C288)&amp;""'""))&gt;0,""Caixa Atendimento"",""Caixa Sangria"")),""""),""Caixa Sangria"")"),"")</f>
        <v/>
      </c>
      <c r="M288" s="185" t="str">
        <f>IFERROR(__xludf.DUMMYFUNCTION("ifna(VALUE(REGEXEXTRACT(E288,""[0-9.]+[,]+[0-9]+"")))"),"")</f>
        <v/>
      </c>
      <c r="N288" s="185"/>
      <c r="O288" s="185"/>
      <c r="P288" s="185"/>
      <c r="Q288" s="185"/>
      <c r="R288" s="185"/>
      <c r="S288" s="185"/>
      <c r="T288" s="185"/>
      <c r="U288" s="185"/>
      <c r="V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184" t="str">
        <f>IFERROR(__xludf.DUMMYFUNCTION("ifna(IF(and(D289=""Saída"",J289=""Sangria""),if(sum(QUERY(IMPORTRANGE(""https://docs.google.com/spreadsheets/d/1E4szPcLzsqlw4uyBAoJ61L1ChCgpz4wVP8tHfHW1g_c"",""BD M Sangrias!a:i""),""select Col6 where Col7 = 'Depositada' and Col9 = '""&amp;K289&amp;""' and Col6 ="&amp;" ""&amp;M289&amp;"" and Col4 = date '""&amp;YEAR(C289)&amp;""-""&amp;MONTH(C289)&amp;""-""&amp;DAY(C289)&amp;""'""))&gt;0,""Depositada"",if(sum(QUERY(IMPORTRANGE(""https://docs.google.com/spreadsheets/d/1EcLIvUgMoBC5as4ikW0wuQsGH5yVZ6cQ1y16qEfgPnk"",""BD M Sangrias!a:i""),""select Col6 whe"&amp;"re Col7 = 'Caixa Atendimento' and Col9 = '""&amp;K289&amp;""' and Col6 = ""&amp;M289&amp;"" and Col4 = date '""&amp;YEAR(C289)&amp;""-""&amp;MONTH(C289)&amp;""-""&amp;DAY(C289)&amp;""'""))&gt;0,""Caixa Atendimento"",""Caixa Sangria"")),""""),""Caixa Sangria"")"),"")</f>
        <v/>
      </c>
      <c r="M289" s="185" t="str">
        <f>IFERROR(__xludf.DUMMYFUNCTION("ifna(VALUE(REGEXEXTRACT(E289,""[0-9.]+[,]+[0-9]+"")))"),"")</f>
        <v/>
      </c>
      <c r="N289" s="185"/>
      <c r="O289" s="185"/>
      <c r="P289" s="185"/>
      <c r="Q289" s="185"/>
      <c r="R289" s="185"/>
      <c r="S289" s="185"/>
      <c r="T289" s="185"/>
      <c r="U289" s="185"/>
      <c r="V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184" t="str">
        <f>IFERROR(__xludf.DUMMYFUNCTION("ifna(IF(and(D290=""Saída"",J290=""Sangria""),if(sum(QUERY(IMPORTRANGE(""https://docs.google.com/spreadsheets/d/1E4szPcLzsqlw4uyBAoJ61L1ChCgpz4wVP8tHfHW1g_c"",""BD M Sangrias!a:i""),""select Col6 where Col7 = 'Depositada' and Col9 = '""&amp;K290&amp;""' and Col6 ="&amp;" ""&amp;M290&amp;"" and Col4 = date '""&amp;YEAR(C290)&amp;""-""&amp;MONTH(C290)&amp;""-""&amp;DAY(C290)&amp;""'""))&gt;0,""Depositada"",if(sum(QUERY(IMPORTRANGE(""https://docs.google.com/spreadsheets/d/1EcLIvUgMoBC5as4ikW0wuQsGH5yVZ6cQ1y16qEfgPnk"",""BD M Sangrias!a:i""),""select Col6 whe"&amp;"re Col7 = 'Caixa Atendimento' and Col9 = '""&amp;K290&amp;""' and Col6 = ""&amp;M290&amp;"" and Col4 = date '""&amp;YEAR(C290)&amp;""-""&amp;MONTH(C290)&amp;""-""&amp;DAY(C290)&amp;""'""))&gt;0,""Caixa Atendimento"",""Caixa Sangria"")),""""),""Caixa Sangria"")"),"")</f>
        <v/>
      </c>
      <c r="M290" s="185" t="str">
        <f>IFERROR(__xludf.DUMMYFUNCTION("ifna(VALUE(REGEXEXTRACT(E290,""[0-9.]+[,]+[0-9]+"")))"),"")</f>
        <v/>
      </c>
      <c r="N290" s="185"/>
      <c r="O290" s="185"/>
      <c r="P290" s="185"/>
      <c r="Q290" s="185"/>
      <c r="R290" s="185"/>
      <c r="S290" s="185"/>
      <c r="T290" s="185"/>
      <c r="U290" s="185"/>
      <c r="V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184" t="str">
        <f>IFERROR(__xludf.DUMMYFUNCTION("ifna(IF(and(D291=""Saída"",J291=""Sangria""),if(sum(QUERY(IMPORTRANGE(""https://docs.google.com/spreadsheets/d/1E4szPcLzsqlw4uyBAoJ61L1ChCgpz4wVP8tHfHW1g_c"",""BD M Sangrias!a:i""),""select Col6 where Col7 = 'Depositada' and Col9 = '""&amp;K291&amp;""' and Col6 ="&amp;" ""&amp;M291&amp;"" and Col4 = date '""&amp;YEAR(C291)&amp;""-""&amp;MONTH(C291)&amp;""-""&amp;DAY(C291)&amp;""'""))&gt;0,""Depositada"",if(sum(QUERY(IMPORTRANGE(""https://docs.google.com/spreadsheets/d/1EcLIvUgMoBC5as4ikW0wuQsGH5yVZ6cQ1y16qEfgPnk"",""BD M Sangrias!a:i""),""select Col6 whe"&amp;"re Col7 = 'Caixa Atendimento' and Col9 = '""&amp;K291&amp;""' and Col6 = ""&amp;M291&amp;"" and Col4 = date '""&amp;YEAR(C291)&amp;""-""&amp;MONTH(C291)&amp;""-""&amp;DAY(C291)&amp;""'""))&gt;0,""Caixa Atendimento"",""Caixa Sangria"")),""""),""Caixa Sangria"")"),"")</f>
        <v/>
      </c>
      <c r="M291" s="185" t="str">
        <f>IFERROR(__xludf.DUMMYFUNCTION("ifna(VALUE(REGEXEXTRACT(E291,""[0-9.]+[,]+[0-9]+"")))"),"")</f>
        <v/>
      </c>
      <c r="N291" s="185"/>
      <c r="O291" s="185"/>
      <c r="P291" s="185"/>
      <c r="Q291" s="185"/>
      <c r="R291" s="185"/>
      <c r="S291" s="185"/>
      <c r="T291" s="185"/>
      <c r="U291" s="185"/>
      <c r="V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184" t="str">
        <f>IFERROR(__xludf.DUMMYFUNCTION("ifna(IF(and(D292=""Saída"",J292=""Sangria""),if(sum(QUERY(IMPORTRANGE(""https://docs.google.com/spreadsheets/d/1E4szPcLzsqlw4uyBAoJ61L1ChCgpz4wVP8tHfHW1g_c"",""BD M Sangrias!a:i""),""select Col6 where Col7 = 'Depositada' and Col9 = '""&amp;K292&amp;""' and Col6 ="&amp;" ""&amp;M292&amp;"" and Col4 = date '""&amp;YEAR(C292)&amp;""-""&amp;MONTH(C292)&amp;""-""&amp;DAY(C292)&amp;""'""))&gt;0,""Depositada"",if(sum(QUERY(IMPORTRANGE(""https://docs.google.com/spreadsheets/d/1EcLIvUgMoBC5as4ikW0wuQsGH5yVZ6cQ1y16qEfgPnk"",""BD M Sangrias!a:i""),""select Col6 whe"&amp;"re Col7 = 'Caixa Atendimento' and Col9 = '""&amp;K292&amp;""' and Col6 = ""&amp;M292&amp;"" and Col4 = date '""&amp;YEAR(C292)&amp;""-""&amp;MONTH(C292)&amp;""-""&amp;DAY(C292)&amp;""'""))&gt;0,""Caixa Atendimento"",""Caixa Sangria"")),""""),""Caixa Sangria"")"),"")</f>
        <v/>
      </c>
      <c r="M292" s="185" t="str">
        <f>IFERROR(__xludf.DUMMYFUNCTION("ifna(VALUE(REGEXEXTRACT(E292,""[0-9.]+[,]+[0-9]+"")))"),"")</f>
        <v/>
      </c>
      <c r="N292" s="185"/>
      <c r="O292" s="185"/>
      <c r="P292" s="185"/>
      <c r="Q292" s="185"/>
      <c r="R292" s="185"/>
      <c r="S292" s="185"/>
      <c r="T292" s="185"/>
      <c r="U292" s="185"/>
      <c r="V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184" t="str">
        <f>IFERROR(__xludf.DUMMYFUNCTION("ifna(IF(and(D293=""Saída"",J293=""Sangria""),if(sum(QUERY(IMPORTRANGE(""https://docs.google.com/spreadsheets/d/1E4szPcLzsqlw4uyBAoJ61L1ChCgpz4wVP8tHfHW1g_c"",""BD M Sangrias!a:i""),""select Col6 where Col7 = 'Depositada' and Col9 = '""&amp;K293&amp;""' and Col6 ="&amp;" ""&amp;M293&amp;"" and Col4 = date '""&amp;YEAR(C293)&amp;""-""&amp;MONTH(C293)&amp;""-""&amp;DAY(C293)&amp;""'""))&gt;0,""Depositada"",if(sum(QUERY(IMPORTRANGE(""https://docs.google.com/spreadsheets/d/1EcLIvUgMoBC5as4ikW0wuQsGH5yVZ6cQ1y16qEfgPnk"",""BD M Sangrias!a:i""),""select Col6 whe"&amp;"re Col7 = 'Caixa Atendimento' and Col9 = '""&amp;K293&amp;""' and Col6 = ""&amp;M293&amp;"" and Col4 = date '""&amp;YEAR(C293)&amp;""-""&amp;MONTH(C293)&amp;""-""&amp;DAY(C293)&amp;""'""))&gt;0,""Caixa Atendimento"",""Caixa Sangria"")),""""),""Caixa Sangria"")"),"")</f>
        <v/>
      </c>
      <c r="M293" s="185" t="str">
        <f>IFERROR(__xludf.DUMMYFUNCTION("ifna(VALUE(REGEXEXTRACT(E293,""[0-9.]+[,]+[0-9]+"")))"),"")</f>
        <v/>
      </c>
      <c r="N293" s="185"/>
      <c r="O293" s="185"/>
      <c r="P293" s="185"/>
      <c r="Q293" s="185"/>
      <c r="R293" s="185"/>
      <c r="S293" s="185"/>
      <c r="T293" s="185"/>
      <c r="U293" s="185"/>
      <c r="V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184" t="str">
        <f>IFERROR(__xludf.DUMMYFUNCTION("ifna(IF(and(D294=""Saída"",J294=""Sangria""),if(sum(QUERY(IMPORTRANGE(""https://docs.google.com/spreadsheets/d/1E4szPcLzsqlw4uyBAoJ61L1ChCgpz4wVP8tHfHW1g_c"",""BD M Sangrias!a:i""),""select Col6 where Col7 = 'Depositada' and Col9 = '""&amp;K294&amp;""' and Col6 ="&amp;" ""&amp;M294&amp;"" and Col4 = date '""&amp;YEAR(C294)&amp;""-""&amp;MONTH(C294)&amp;""-""&amp;DAY(C294)&amp;""'""))&gt;0,""Depositada"",if(sum(QUERY(IMPORTRANGE(""https://docs.google.com/spreadsheets/d/1EcLIvUgMoBC5as4ikW0wuQsGH5yVZ6cQ1y16qEfgPnk"",""BD M Sangrias!a:i""),""select Col6 whe"&amp;"re Col7 = 'Caixa Atendimento' and Col9 = '""&amp;K294&amp;""' and Col6 = ""&amp;M294&amp;"" and Col4 = date '""&amp;YEAR(C294)&amp;""-""&amp;MONTH(C294)&amp;""-""&amp;DAY(C294)&amp;""'""))&gt;0,""Caixa Atendimento"",""Caixa Sangria"")),""""),""Caixa Sangria"")"),"")</f>
        <v/>
      </c>
      <c r="M294" s="185" t="str">
        <f>IFERROR(__xludf.DUMMYFUNCTION("ifna(VALUE(REGEXEXTRACT(E294,""[0-9.]+[,]+[0-9]+"")))"),"")</f>
        <v/>
      </c>
      <c r="N294" s="185"/>
      <c r="O294" s="185"/>
      <c r="P294" s="185"/>
      <c r="Q294" s="185"/>
      <c r="R294" s="185"/>
      <c r="S294" s="185"/>
      <c r="T294" s="185"/>
      <c r="U294" s="185"/>
      <c r="V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184" t="str">
        <f>IFERROR(__xludf.DUMMYFUNCTION("ifna(IF(and(D295=""Saída"",J295=""Sangria""),if(sum(QUERY(IMPORTRANGE(""https://docs.google.com/spreadsheets/d/1E4szPcLzsqlw4uyBAoJ61L1ChCgpz4wVP8tHfHW1g_c"",""BD M Sangrias!a:i""),""select Col6 where Col7 = 'Depositada' and Col9 = '""&amp;K295&amp;""' and Col6 ="&amp;" ""&amp;M295&amp;"" and Col4 = date '""&amp;YEAR(C295)&amp;""-""&amp;MONTH(C295)&amp;""-""&amp;DAY(C295)&amp;""'""))&gt;0,""Depositada"",if(sum(QUERY(IMPORTRANGE(""https://docs.google.com/spreadsheets/d/1EcLIvUgMoBC5as4ikW0wuQsGH5yVZ6cQ1y16qEfgPnk"",""BD M Sangrias!a:i""),""select Col6 whe"&amp;"re Col7 = 'Caixa Atendimento' and Col9 = '""&amp;K295&amp;""' and Col6 = ""&amp;M295&amp;"" and Col4 = date '""&amp;YEAR(C295)&amp;""-""&amp;MONTH(C295)&amp;""-""&amp;DAY(C295)&amp;""'""))&gt;0,""Caixa Atendimento"",""Caixa Sangria"")),""""),""Caixa Sangria"")"),"")</f>
        <v/>
      </c>
      <c r="M295" s="185" t="str">
        <f>IFERROR(__xludf.DUMMYFUNCTION("ifna(VALUE(REGEXEXTRACT(E295,""[0-9.]+[,]+[0-9]+"")))"),"")</f>
        <v/>
      </c>
      <c r="N295" s="185"/>
      <c r="O295" s="185"/>
      <c r="P295" s="185"/>
      <c r="Q295" s="185"/>
      <c r="R295" s="185"/>
      <c r="S295" s="185"/>
      <c r="T295" s="185"/>
      <c r="U295" s="185"/>
      <c r="V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184" t="str">
        <f>IFERROR(__xludf.DUMMYFUNCTION("ifna(IF(and(D296=""Saída"",J296=""Sangria""),if(sum(QUERY(IMPORTRANGE(""https://docs.google.com/spreadsheets/d/1E4szPcLzsqlw4uyBAoJ61L1ChCgpz4wVP8tHfHW1g_c"",""BD M Sangrias!a:i""),""select Col6 where Col7 = 'Depositada' and Col9 = '""&amp;K296&amp;""' and Col6 ="&amp;" ""&amp;M296&amp;"" and Col4 = date '""&amp;YEAR(C296)&amp;""-""&amp;MONTH(C296)&amp;""-""&amp;DAY(C296)&amp;""'""))&gt;0,""Depositada"",if(sum(QUERY(IMPORTRANGE(""https://docs.google.com/spreadsheets/d/1EcLIvUgMoBC5as4ikW0wuQsGH5yVZ6cQ1y16qEfgPnk"",""BD M Sangrias!a:i""),""select Col6 whe"&amp;"re Col7 = 'Caixa Atendimento' and Col9 = '""&amp;K296&amp;""' and Col6 = ""&amp;M296&amp;"" and Col4 = date '""&amp;YEAR(C296)&amp;""-""&amp;MONTH(C296)&amp;""-""&amp;DAY(C296)&amp;""'""))&gt;0,""Caixa Atendimento"",""Caixa Sangria"")),""""),""Caixa Sangria"")"),"")</f>
        <v/>
      </c>
      <c r="M296" s="185" t="str">
        <f>IFERROR(__xludf.DUMMYFUNCTION("ifna(VALUE(REGEXEXTRACT(E296,""[0-9.]+[,]+[0-9]+"")))"),"")</f>
        <v/>
      </c>
      <c r="N296" s="185"/>
      <c r="O296" s="185"/>
      <c r="P296" s="185"/>
      <c r="Q296" s="185"/>
      <c r="R296" s="185"/>
      <c r="S296" s="185"/>
      <c r="T296" s="185"/>
      <c r="U296" s="185"/>
      <c r="V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184" t="str">
        <f>IFERROR(__xludf.DUMMYFUNCTION("ifna(IF(and(D297=""Saída"",J297=""Sangria""),if(sum(QUERY(IMPORTRANGE(""https://docs.google.com/spreadsheets/d/1E4szPcLzsqlw4uyBAoJ61L1ChCgpz4wVP8tHfHW1g_c"",""BD M Sangrias!a:i""),""select Col6 where Col7 = 'Depositada' and Col9 = '""&amp;K297&amp;""' and Col6 ="&amp;" ""&amp;M297&amp;"" and Col4 = date '""&amp;YEAR(C297)&amp;""-""&amp;MONTH(C297)&amp;""-""&amp;DAY(C297)&amp;""'""))&gt;0,""Depositada"",if(sum(QUERY(IMPORTRANGE(""https://docs.google.com/spreadsheets/d/1EcLIvUgMoBC5as4ikW0wuQsGH5yVZ6cQ1y16qEfgPnk"",""BD M Sangrias!a:i""),""select Col6 whe"&amp;"re Col7 = 'Caixa Atendimento' and Col9 = '""&amp;K297&amp;""' and Col6 = ""&amp;M297&amp;"" and Col4 = date '""&amp;YEAR(C297)&amp;""-""&amp;MONTH(C297)&amp;""-""&amp;DAY(C297)&amp;""'""))&gt;0,""Caixa Atendimento"",""Caixa Sangria"")),""""),""Caixa Sangria"")"),"")</f>
        <v/>
      </c>
      <c r="M297" s="185" t="str">
        <f>IFERROR(__xludf.DUMMYFUNCTION("ifna(VALUE(REGEXEXTRACT(E297,""[0-9.]+[,]+[0-9]+"")))"),"")</f>
        <v/>
      </c>
      <c r="N297" s="185"/>
      <c r="O297" s="185"/>
      <c r="P297" s="185"/>
      <c r="Q297" s="185"/>
      <c r="R297" s="185"/>
      <c r="S297" s="185"/>
      <c r="T297" s="185"/>
      <c r="U297" s="185"/>
      <c r="V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184" t="str">
        <f>IFERROR(__xludf.DUMMYFUNCTION("ifna(IF(and(D298=""Saída"",J298=""Sangria""),if(sum(QUERY(IMPORTRANGE(""https://docs.google.com/spreadsheets/d/1E4szPcLzsqlw4uyBAoJ61L1ChCgpz4wVP8tHfHW1g_c"",""BD M Sangrias!a:i""),""select Col6 where Col7 = 'Depositada' and Col9 = '""&amp;K298&amp;""' and Col6 ="&amp;" ""&amp;M298&amp;"" and Col4 = date '""&amp;YEAR(C298)&amp;""-""&amp;MONTH(C298)&amp;""-""&amp;DAY(C298)&amp;""'""))&gt;0,""Depositada"",if(sum(QUERY(IMPORTRANGE(""https://docs.google.com/spreadsheets/d/1EcLIvUgMoBC5as4ikW0wuQsGH5yVZ6cQ1y16qEfgPnk"",""BD M Sangrias!a:i""),""select Col6 whe"&amp;"re Col7 = 'Caixa Atendimento' and Col9 = '""&amp;K298&amp;""' and Col6 = ""&amp;M298&amp;"" and Col4 = date '""&amp;YEAR(C298)&amp;""-""&amp;MONTH(C298)&amp;""-""&amp;DAY(C298)&amp;""'""))&gt;0,""Caixa Atendimento"",""Caixa Sangria"")),""""),""Caixa Sangria"")"),"")</f>
        <v/>
      </c>
      <c r="M298" s="185" t="str">
        <f>IFERROR(__xludf.DUMMYFUNCTION("ifna(VALUE(REGEXEXTRACT(E298,""[0-9.]+[,]+[0-9]+"")))"),"")</f>
        <v/>
      </c>
      <c r="N298" s="185"/>
      <c r="O298" s="185"/>
      <c r="P298" s="185"/>
      <c r="Q298" s="185"/>
      <c r="R298" s="185"/>
      <c r="S298" s="185"/>
      <c r="T298" s="185"/>
      <c r="U298" s="185"/>
      <c r="V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184" t="str">
        <f>IFERROR(__xludf.DUMMYFUNCTION("ifna(IF(and(D299=""Saída"",J299=""Sangria""),if(sum(QUERY(IMPORTRANGE(""https://docs.google.com/spreadsheets/d/1E4szPcLzsqlw4uyBAoJ61L1ChCgpz4wVP8tHfHW1g_c"",""BD M Sangrias!a:i""),""select Col6 where Col7 = 'Depositada' and Col9 = '""&amp;K299&amp;""' and Col6 ="&amp;" ""&amp;M299&amp;"" and Col4 = date '""&amp;YEAR(C299)&amp;""-""&amp;MONTH(C299)&amp;""-""&amp;DAY(C299)&amp;""'""))&gt;0,""Depositada"",if(sum(QUERY(IMPORTRANGE(""https://docs.google.com/spreadsheets/d/1EcLIvUgMoBC5as4ikW0wuQsGH5yVZ6cQ1y16qEfgPnk"",""BD M Sangrias!a:i""),""select Col6 whe"&amp;"re Col7 = 'Caixa Atendimento' and Col9 = '""&amp;K299&amp;""' and Col6 = ""&amp;M299&amp;"" and Col4 = date '""&amp;YEAR(C299)&amp;""-""&amp;MONTH(C299)&amp;""-""&amp;DAY(C299)&amp;""'""))&gt;0,""Caixa Atendimento"",""Caixa Sangria"")),""""),""Caixa Sangria"")"),"")</f>
        <v/>
      </c>
      <c r="M299" s="185" t="str">
        <f>IFERROR(__xludf.DUMMYFUNCTION("ifna(VALUE(REGEXEXTRACT(E299,""[0-9.]+[,]+[0-9]+"")))"),"")</f>
        <v/>
      </c>
      <c r="N299" s="185"/>
      <c r="O299" s="185"/>
      <c r="P299" s="185"/>
      <c r="Q299" s="185"/>
      <c r="R299" s="185"/>
      <c r="S299" s="185"/>
      <c r="T299" s="185"/>
      <c r="U299" s="185"/>
      <c r="V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184" t="str">
        <f>IFERROR(__xludf.DUMMYFUNCTION("ifna(IF(and(D300=""Saída"",J300=""Sangria""),if(sum(QUERY(IMPORTRANGE(""https://docs.google.com/spreadsheets/d/1E4szPcLzsqlw4uyBAoJ61L1ChCgpz4wVP8tHfHW1g_c"",""BD M Sangrias!a:i""),""select Col6 where Col7 = 'Depositada' and Col9 = '""&amp;K300&amp;""' and Col6 ="&amp;" ""&amp;M300&amp;"" and Col4 = date '""&amp;YEAR(C300)&amp;""-""&amp;MONTH(C300)&amp;""-""&amp;DAY(C300)&amp;""'""))&gt;0,""Depositada"",if(sum(QUERY(IMPORTRANGE(""https://docs.google.com/spreadsheets/d/1EcLIvUgMoBC5as4ikW0wuQsGH5yVZ6cQ1y16qEfgPnk"",""BD M Sangrias!a:i""),""select Col6 whe"&amp;"re Col7 = 'Caixa Atendimento' and Col9 = '""&amp;K300&amp;""' and Col6 = ""&amp;M300&amp;"" and Col4 = date '""&amp;YEAR(C300)&amp;""-""&amp;MONTH(C300)&amp;""-""&amp;DAY(C300)&amp;""'""))&gt;0,""Caixa Atendimento"",""Caixa Sangria"")),""""),""Caixa Sangria"")"),"")</f>
        <v/>
      </c>
      <c r="M300" s="185" t="str">
        <f>IFERROR(__xludf.DUMMYFUNCTION("ifna(VALUE(REGEXEXTRACT(E300,""[0-9.]+[,]+[0-9]+"")))"),"")</f>
        <v/>
      </c>
      <c r="N300" s="185"/>
      <c r="O300" s="185"/>
      <c r="P300" s="185"/>
      <c r="Q300" s="185"/>
      <c r="R300" s="185"/>
      <c r="S300" s="185"/>
      <c r="T300" s="185"/>
      <c r="U300" s="185"/>
      <c r="V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184" t="str">
        <f>IFERROR(__xludf.DUMMYFUNCTION("ifna(IF(and(D301=""Saída"",J301=""Sangria""),if(sum(QUERY(IMPORTRANGE(""https://docs.google.com/spreadsheets/d/1E4szPcLzsqlw4uyBAoJ61L1ChCgpz4wVP8tHfHW1g_c"",""BD M Sangrias!a:i""),""select Col6 where Col7 = 'Depositada' and Col9 = '""&amp;K301&amp;""' and Col6 ="&amp;" ""&amp;M301&amp;"" and Col4 = date '""&amp;YEAR(C301)&amp;""-""&amp;MONTH(C301)&amp;""-""&amp;DAY(C301)&amp;""'""))&gt;0,""Depositada"",if(sum(QUERY(IMPORTRANGE(""https://docs.google.com/spreadsheets/d/1EcLIvUgMoBC5as4ikW0wuQsGH5yVZ6cQ1y16qEfgPnk"",""BD M Sangrias!a:i""),""select Col6 whe"&amp;"re Col7 = 'Caixa Atendimento' and Col9 = '""&amp;K301&amp;""' and Col6 = ""&amp;M301&amp;"" and Col4 = date '""&amp;YEAR(C301)&amp;""-""&amp;MONTH(C301)&amp;""-""&amp;DAY(C301)&amp;""'""))&gt;0,""Caixa Atendimento"",""Caixa Sangria"")),""""),""Caixa Sangria"")"),"")</f>
        <v/>
      </c>
      <c r="M301" s="185" t="str">
        <f>IFERROR(__xludf.DUMMYFUNCTION("ifna(VALUE(REGEXEXTRACT(E301,""[0-9.]+[,]+[0-9]+"")))"),"")</f>
        <v/>
      </c>
      <c r="N301" s="185"/>
      <c r="O301" s="185"/>
      <c r="P301" s="185"/>
      <c r="Q301" s="185"/>
      <c r="R301" s="185"/>
      <c r="S301" s="185"/>
      <c r="T301" s="185"/>
      <c r="U301" s="185"/>
      <c r="V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184" t="str">
        <f>IFERROR(__xludf.DUMMYFUNCTION("ifna(IF(and(D302=""Saída"",J302=""Sangria""),if(sum(QUERY(IMPORTRANGE(""https://docs.google.com/spreadsheets/d/1E4szPcLzsqlw4uyBAoJ61L1ChCgpz4wVP8tHfHW1g_c"",""BD M Sangrias!a:i""),""select Col6 where Col7 = 'Depositada' and Col9 = '""&amp;K302&amp;""' and Col6 ="&amp;" ""&amp;M302&amp;"" and Col4 = date '""&amp;YEAR(C302)&amp;""-""&amp;MONTH(C302)&amp;""-""&amp;DAY(C302)&amp;""'""))&gt;0,""Depositada"",if(sum(QUERY(IMPORTRANGE(""https://docs.google.com/spreadsheets/d/1EcLIvUgMoBC5as4ikW0wuQsGH5yVZ6cQ1y16qEfgPnk"",""BD M Sangrias!a:i""),""select Col6 whe"&amp;"re Col7 = 'Caixa Atendimento' and Col9 = '""&amp;K302&amp;""' and Col6 = ""&amp;M302&amp;"" and Col4 = date '""&amp;YEAR(C302)&amp;""-""&amp;MONTH(C302)&amp;""-""&amp;DAY(C302)&amp;""'""))&gt;0,""Caixa Atendimento"",""Caixa Sangria"")),""""),""Caixa Sangria"")"),"")</f>
        <v/>
      </c>
      <c r="M302" s="185" t="str">
        <f>IFERROR(__xludf.DUMMYFUNCTION("ifna(VALUE(REGEXEXTRACT(E302,""[0-9.]+[,]+[0-9]+"")))"),"")</f>
        <v/>
      </c>
      <c r="N302" s="185"/>
      <c r="O302" s="185"/>
      <c r="P302" s="185"/>
      <c r="Q302" s="185"/>
      <c r="R302" s="185"/>
      <c r="S302" s="185"/>
      <c r="T302" s="185"/>
      <c r="U302" s="185"/>
      <c r="V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184" t="str">
        <f>IFERROR(__xludf.DUMMYFUNCTION("ifna(IF(and(D303=""Saída"",J303=""Sangria""),if(sum(QUERY(IMPORTRANGE(""https://docs.google.com/spreadsheets/d/1E4szPcLzsqlw4uyBAoJ61L1ChCgpz4wVP8tHfHW1g_c"",""BD M Sangrias!a:i""),""select Col6 where Col7 = 'Depositada' and Col9 = '""&amp;K303&amp;""' and Col6 ="&amp;" ""&amp;M303&amp;"" and Col4 = date '""&amp;YEAR(C303)&amp;""-""&amp;MONTH(C303)&amp;""-""&amp;DAY(C303)&amp;""'""))&gt;0,""Depositada"",if(sum(QUERY(IMPORTRANGE(""https://docs.google.com/spreadsheets/d/1EcLIvUgMoBC5as4ikW0wuQsGH5yVZ6cQ1y16qEfgPnk"",""BD M Sangrias!a:i""),""select Col6 whe"&amp;"re Col7 = 'Caixa Atendimento' and Col9 = '""&amp;K303&amp;""' and Col6 = ""&amp;M303&amp;"" and Col4 = date '""&amp;YEAR(C303)&amp;""-""&amp;MONTH(C303)&amp;""-""&amp;DAY(C303)&amp;""'""))&gt;0,""Caixa Atendimento"",""Caixa Sangria"")),""""),""Caixa Sangria"")"),"")</f>
        <v/>
      </c>
      <c r="M303" s="185" t="str">
        <f>IFERROR(__xludf.DUMMYFUNCTION("ifna(VALUE(REGEXEXTRACT(E303,""[0-9.]+[,]+[0-9]+"")))"),"")</f>
        <v/>
      </c>
      <c r="N303" s="185"/>
      <c r="O303" s="185"/>
      <c r="P303" s="185"/>
      <c r="Q303" s="185"/>
      <c r="R303" s="185"/>
      <c r="S303" s="185"/>
      <c r="T303" s="185"/>
      <c r="U303" s="185"/>
      <c r="V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184" t="str">
        <f>IFERROR(__xludf.DUMMYFUNCTION("ifna(IF(and(D304=""Saída"",J304=""Sangria""),if(sum(QUERY(IMPORTRANGE(""https://docs.google.com/spreadsheets/d/1E4szPcLzsqlw4uyBAoJ61L1ChCgpz4wVP8tHfHW1g_c"",""BD M Sangrias!a:i""),""select Col6 where Col7 = 'Depositada' and Col9 = '""&amp;K304&amp;""' and Col6 ="&amp;" ""&amp;M304&amp;"" and Col4 = date '""&amp;YEAR(C304)&amp;""-""&amp;MONTH(C304)&amp;""-""&amp;DAY(C304)&amp;""'""))&gt;0,""Depositada"",if(sum(QUERY(IMPORTRANGE(""https://docs.google.com/spreadsheets/d/1EcLIvUgMoBC5as4ikW0wuQsGH5yVZ6cQ1y16qEfgPnk"",""BD M Sangrias!a:i""),""select Col6 whe"&amp;"re Col7 = 'Caixa Atendimento' and Col9 = '""&amp;K304&amp;""' and Col6 = ""&amp;M304&amp;"" and Col4 = date '""&amp;YEAR(C304)&amp;""-""&amp;MONTH(C304)&amp;""-""&amp;DAY(C304)&amp;""'""))&gt;0,""Caixa Atendimento"",""Caixa Sangria"")),""""),""Caixa Sangria"")"),"")</f>
        <v/>
      </c>
      <c r="M304" s="185" t="str">
        <f>IFERROR(__xludf.DUMMYFUNCTION("ifna(VALUE(REGEXEXTRACT(E304,""[0-9.]+[,]+[0-9]+"")))"),"")</f>
        <v/>
      </c>
      <c r="N304" s="185"/>
      <c r="O304" s="185"/>
      <c r="P304" s="185"/>
      <c r="Q304" s="185"/>
      <c r="R304" s="185"/>
      <c r="S304" s="185"/>
      <c r="T304" s="185"/>
      <c r="U304" s="185"/>
      <c r="V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184" t="str">
        <f>IFERROR(__xludf.DUMMYFUNCTION("ifna(IF(and(D305=""Saída"",J305=""Sangria""),if(sum(QUERY(IMPORTRANGE(""https://docs.google.com/spreadsheets/d/1E4szPcLzsqlw4uyBAoJ61L1ChCgpz4wVP8tHfHW1g_c"",""BD M Sangrias!a:i""),""select Col6 where Col7 = 'Depositada' and Col9 = '""&amp;K305&amp;""' and Col6 ="&amp;" ""&amp;M305&amp;"" and Col4 = date '""&amp;YEAR(C305)&amp;""-""&amp;MONTH(C305)&amp;""-""&amp;DAY(C305)&amp;""'""))&gt;0,""Depositada"",if(sum(QUERY(IMPORTRANGE(""https://docs.google.com/spreadsheets/d/1EcLIvUgMoBC5as4ikW0wuQsGH5yVZ6cQ1y16qEfgPnk"",""BD M Sangrias!a:i""),""select Col6 whe"&amp;"re Col7 = 'Caixa Atendimento' and Col9 = '""&amp;K305&amp;""' and Col6 = ""&amp;M305&amp;"" and Col4 = date '""&amp;YEAR(C305)&amp;""-""&amp;MONTH(C305)&amp;""-""&amp;DAY(C305)&amp;""'""))&gt;0,""Caixa Atendimento"",""Caixa Sangria"")),""""),""Caixa Sangria"")"),"")</f>
        <v/>
      </c>
      <c r="M305" s="185" t="str">
        <f>IFERROR(__xludf.DUMMYFUNCTION("ifna(VALUE(REGEXEXTRACT(E305,""[0-9.]+[,]+[0-9]+"")))"),"")</f>
        <v/>
      </c>
      <c r="N305" s="185"/>
      <c r="O305" s="185"/>
      <c r="P305" s="185"/>
      <c r="Q305" s="185"/>
      <c r="R305" s="185"/>
      <c r="S305" s="185"/>
      <c r="T305" s="185"/>
      <c r="U305" s="185"/>
      <c r="V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184" t="str">
        <f>IFERROR(__xludf.DUMMYFUNCTION("ifna(IF(and(D306=""Saída"",J306=""Sangria""),if(sum(QUERY(IMPORTRANGE(""https://docs.google.com/spreadsheets/d/1E4szPcLzsqlw4uyBAoJ61L1ChCgpz4wVP8tHfHW1g_c"",""BD M Sangrias!a:i""),""select Col6 where Col7 = 'Depositada' and Col9 = '""&amp;K306&amp;""' and Col6 ="&amp;" ""&amp;M306&amp;"" and Col4 = date '""&amp;YEAR(C306)&amp;""-""&amp;MONTH(C306)&amp;""-""&amp;DAY(C306)&amp;""'""))&gt;0,""Depositada"",if(sum(QUERY(IMPORTRANGE(""https://docs.google.com/spreadsheets/d/1EcLIvUgMoBC5as4ikW0wuQsGH5yVZ6cQ1y16qEfgPnk"",""BD M Sangrias!a:i""),""select Col6 whe"&amp;"re Col7 = 'Caixa Atendimento' and Col9 = '""&amp;K306&amp;""' and Col6 = ""&amp;M306&amp;"" and Col4 = date '""&amp;YEAR(C306)&amp;""-""&amp;MONTH(C306)&amp;""-""&amp;DAY(C306)&amp;""'""))&gt;0,""Caixa Atendimento"",""Caixa Sangria"")),""""),""Caixa Sangria"")"),"")</f>
        <v/>
      </c>
      <c r="M306" s="185" t="str">
        <f>IFERROR(__xludf.DUMMYFUNCTION("ifna(VALUE(REGEXEXTRACT(E306,""[0-9.]+[,]+[0-9]+"")))"),"")</f>
        <v/>
      </c>
      <c r="N306" s="185"/>
      <c r="O306" s="185"/>
      <c r="P306" s="185"/>
      <c r="Q306" s="185"/>
      <c r="R306" s="185"/>
      <c r="S306" s="185"/>
      <c r="T306" s="185"/>
      <c r="U306" s="185"/>
      <c r="V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184" t="str">
        <f>IFERROR(__xludf.DUMMYFUNCTION("ifna(IF(and(D307=""Saída"",J307=""Sangria""),if(sum(QUERY(IMPORTRANGE(""https://docs.google.com/spreadsheets/d/1E4szPcLzsqlw4uyBAoJ61L1ChCgpz4wVP8tHfHW1g_c"",""BD M Sangrias!a:i""),""select Col6 where Col7 = 'Depositada' and Col9 = '""&amp;K307&amp;""' and Col6 ="&amp;" ""&amp;M307&amp;"" and Col4 = date '""&amp;YEAR(C307)&amp;""-""&amp;MONTH(C307)&amp;""-""&amp;DAY(C307)&amp;""'""))&gt;0,""Depositada"",if(sum(QUERY(IMPORTRANGE(""https://docs.google.com/spreadsheets/d/1EcLIvUgMoBC5as4ikW0wuQsGH5yVZ6cQ1y16qEfgPnk"",""BD M Sangrias!a:i""),""select Col6 whe"&amp;"re Col7 = 'Caixa Atendimento' and Col9 = '""&amp;K307&amp;""' and Col6 = ""&amp;M307&amp;"" and Col4 = date '""&amp;YEAR(C307)&amp;""-""&amp;MONTH(C307)&amp;""-""&amp;DAY(C307)&amp;""'""))&gt;0,""Caixa Atendimento"",""Caixa Sangria"")),""""),""Caixa Sangria"")"),"")</f>
        <v/>
      </c>
      <c r="M307" s="185" t="str">
        <f>IFERROR(__xludf.DUMMYFUNCTION("ifna(VALUE(REGEXEXTRACT(E307,""[0-9.]+[,]+[0-9]+"")))"),"")</f>
        <v/>
      </c>
      <c r="N307" s="185"/>
      <c r="O307" s="185"/>
      <c r="P307" s="185"/>
      <c r="Q307" s="185"/>
      <c r="R307" s="185"/>
      <c r="S307" s="185"/>
      <c r="T307" s="185"/>
      <c r="U307" s="185"/>
      <c r="V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184" t="str">
        <f>IFERROR(__xludf.DUMMYFUNCTION("ifna(IF(and(D308=""Saída"",J308=""Sangria""),if(sum(QUERY(IMPORTRANGE(""https://docs.google.com/spreadsheets/d/1E4szPcLzsqlw4uyBAoJ61L1ChCgpz4wVP8tHfHW1g_c"",""BD M Sangrias!a:i""),""select Col6 where Col7 = 'Depositada' and Col9 = '""&amp;K308&amp;""' and Col6 ="&amp;" ""&amp;M308&amp;"" and Col4 = date '""&amp;YEAR(C308)&amp;""-""&amp;MONTH(C308)&amp;""-""&amp;DAY(C308)&amp;""'""))&gt;0,""Depositada"",if(sum(QUERY(IMPORTRANGE(""https://docs.google.com/spreadsheets/d/1EcLIvUgMoBC5as4ikW0wuQsGH5yVZ6cQ1y16qEfgPnk"",""BD M Sangrias!a:i""),""select Col6 whe"&amp;"re Col7 = 'Caixa Atendimento' and Col9 = '""&amp;K308&amp;""' and Col6 = ""&amp;M308&amp;"" and Col4 = date '""&amp;YEAR(C308)&amp;""-""&amp;MONTH(C308)&amp;""-""&amp;DAY(C308)&amp;""'""))&gt;0,""Caixa Atendimento"",""Caixa Sangria"")),""""),""Caixa Sangria"")"),"")</f>
        <v/>
      </c>
      <c r="M308" s="185" t="str">
        <f>IFERROR(__xludf.DUMMYFUNCTION("ifna(VALUE(REGEXEXTRACT(E308,""[0-9.]+[,]+[0-9]+"")))"),"")</f>
        <v/>
      </c>
      <c r="N308" s="185"/>
      <c r="O308" s="185"/>
      <c r="P308" s="185"/>
      <c r="Q308" s="185"/>
      <c r="R308" s="185"/>
      <c r="S308" s="185"/>
      <c r="T308" s="185"/>
      <c r="U308" s="185"/>
      <c r="V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184" t="str">
        <f>IFERROR(__xludf.DUMMYFUNCTION("ifna(IF(and(D309=""Saída"",J309=""Sangria""),if(sum(QUERY(IMPORTRANGE(""https://docs.google.com/spreadsheets/d/1E4szPcLzsqlw4uyBAoJ61L1ChCgpz4wVP8tHfHW1g_c"",""BD M Sangrias!a:i""),""select Col6 where Col7 = 'Depositada' and Col9 = '""&amp;K309&amp;""' and Col6 ="&amp;" ""&amp;M309&amp;"" and Col4 = date '""&amp;YEAR(C309)&amp;""-""&amp;MONTH(C309)&amp;""-""&amp;DAY(C309)&amp;""'""))&gt;0,""Depositada"",if(sum(QUERY(IMPORTRANGE(""https://docs.google.com/spreadsheets/d/1EcLIvUgMoBC5as4ikW0wuQsGH5yVZ6cQ1y16qEfgPnk"",""BD M Sangrias!a:i""),""select Col6 whe"&amp;"re Col7 = 'Caixa Atendimento' and Col9 = '""&amp;K309&amp;""' and Col6 = ""&amp;M309&amp;"" and Col4 = date '""&amp;YEAR(C309)&amp;""-""&amp;MONTH(C309)&amp;""-""&amp;DAY(C309)&amp;""'""))&gt;0,""Caixa Atendimento"",""Caixa Sangria"")),""""),""Caixa Sangria"")"),"")</f>
        <v/>
      </c>
      <c r="M309" s="185" t="str">
        <f>IFERROR(__xludf.DUMMYFUNCTION("ifna(VALUE(REGEXEXTRACT(E309,""[0-9.]+[,]+[0-9]+"")))"),"")</f>
        <v/>
      </c>
      <c r="N309" s="185"/>
      <c r="O309" s="185"/>
      <c r="P309" s="185"/>
      <c r="Q309" s="185"/>
      <c r="R309" s="185"/>
      <c r="S309" s="185"/>
      <c r="T309" s="185"/>
      <c r="U309" s="185"/>
      <c r="V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184" t="str">
        <f>IFERROR(__xludf.DUMMYFUNCTION("ifna(IF(and(D310=""Saída"",J310=""Sangria""),if(sum(QUERY(IMPORTRANGE(""https://docs.google.com/spreadsheets/d/1E4szPcLzsqlw4uyBAoJ61L1ChCgpz4wVP8tHfHW1g_c"",""BD M Sangrias!a:i""),""select Col6 where Col7 = 'Depositada' and Col9 = '""&amp;K310&amp;""' and Col6 ="&amp;" ""&amp;M310&amp;"" and Col4 = date '""&amp;YEAR(C310)&amp;""-""&amp;MONTH(C310)&amp;""-""&amp;DAY(C310)&amp;""'""))&gt;0,""Depositada"",if(sum(QUERY(IMPORTRANGE(""https://docs.google.com/spreadsheets/d/1EcLIvUgMoBC5as4ikW0wuQsGH5yVZ6cQ1y16qEfgPnk"",""BD M Sangrias!a:i""),""select Col6 whe"&amp;"re Col7 = 'Caixa Atendimento' and Col9 = '""&amp;K310&amp;""' and Col6 = ""&amp;M310&amp;"" and Col4 = date '""&amp;YEAR(C310)&amp;""-""&amp;MONTH(C310)&amp;""-""&amp;DAY(C310)&amp;""'""))&gt;0,""Caixa Atendimento"",""Caixa Sangria"")),""""),""Caixa Sangria"")"),"")</f>
        <v/>
      </c>
      <c r="M310" s="185" t="str">
        <f>IFERROR(__xludf.DUMMYFUNCTION("ifna(VALUE(REGEXEXTRACT(E310,""[0-9.]+[,]+[0-9]+"")))"),"")</f>
        <v/>
      </c>
      <c r="N310" s="185"/>
      <c r="O310" s="185"/>
      <c r="P310" s="185"/>
      <c r="Q310" s="185"/>
      <c r="R310" s="185"/>
      <c r="S310" s="185"/>
      <c r="T310" s="185"/>
      <c r="U310" s="185"/>
      <c r="V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184" t="str">
        <f>IFERROR(__xludf.DUMMYFUNCTION("ifna(IF(and(D311=""Saída"",J311=""Sangria""),if(sum(QUERY(IMPORTRANGE(""https://docs.google.com/spreadsheets/d/1E4szPcLzsqlw4uyBAoJ61L1ChCgpz4wVP8tHfHW1g_c"",""BD M Sangrias!a:i""),""select Col6 where Col7 = 'Depositada' and Col9 = '""&amp;K311&amp;""' and Col6 ="&amp;" ""&amp;M311&amp;"" and Col4 = date '""&amp;YEAR(C311)&amp;""-""&amp;MONTH(C311)&amp;""-""&amp;DAY(C311)&amp;""'""))&gt;0,""Depositada"",if(sum(QUERY(IMPORTRANGE(""https://docs.google.com/spreadsheets/d/1EcLIvUgMoBC5as4ikW0wuQsGH5yVZ6cQ1y16qEfgPnk"",""BD M Sangrias!a:i""),""select Col6 whe"&amp;"re Col7 = 'Caixa Atendimento' and Col9 = '""&amp;K311&amp;""' and Col6 = ""&amp;M311&amp;"" and Col4 = date '""&amp;YEAR(C311)&amp;""-""&amp;MONTH(C311)&amp;""-""&amp;DAY(C311)&amp;""'""))&gt;0,""Caixa Atendimento"",""Caixa Sangria"")),""""),""Caixa Sangria"")"),"")</f>
        <v/>
      </c>
      <c r="M311" s="185" t="str">
        <f>IFERROR(__xludf.DUMMYFUNCTION("ifna(VALUE(REGEXEXTRACT(E311,""[0-9.]+[,]+[0-9]+"")))"),"")</f>
        <v/>
      </c>
      <c r="N311" s="185"/>
      <c r="O311" s="185"/>
      <c r="P311" s="185"/>
      <c r="Q311" s="185"/>
      <c r="R311" s="185"/>
      <c r="S311" s="185"/>
      <c r="T311" s="185"/>
      <c r="U311" s="185"/>
      <c r="V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184" t="str">
        <f>IFERROR(__xludf.DUMMYFUNCTION("ifna(IF(and(D312=""Saída"",J312=""Sangria""),if(sum(QUERY(IMPORTRANGE(""https://docs.google.com/spreadsheets/d/1E4szPcLzsqlw4uyBAoJ61L1ChCgpz4wVP8tHfHW1g_c"",""BD M Sangrias!a:i""),""select Col6 where Col7 = 'Depositada' and Col9 = '""&amp;K312&amp;""' and Col6 ="&amp;" ""&amp;M312&amp;"" and Col4 = date '""&amp;YEAR(C312)&amp;""-""&amp;MONTH(C312)&amp;""-""&amp;DAY(C312)&amp;""'""))&gt;0,""Depositada"",if(sum(QUERY(IMPORTRANGE(""https://docs.google.com/spreadsheets/d/1EcLIvUgMoBC5as4ikW0wuQsGH5yVZ6cQ1y16qEfgPnk"",""BD M Sangrias!a:i""),""select Col6 whe"&amp;"re Col7 = 'Caixa Atendimento' and Col9 = '""&amp;K312&amp;""' and Col6 = ""&amp;M312&amp;"" and Col4 = date '""&amp;YEAR(C312)&amp;""-""&amp;MONTH(C312)&amp;""-""&amp;DAY(C312)&amp;""'""))&gt;0,""Caixa Atendimento"",""Caixa Sangria"")),""""),""Caixa Sangria"")"),"")</f>
        <v/>
      </c>
      <c r="M312" s="185" t="str">
        <f>IFERROR(__xludf.DUMMYFUNCTION("ifna(VALUE(REGEXEXTRACT(E312,""[0-9.]+[,]+[0-9]+"")))"),"")</f>
        <v/>
      </c>
      <c r="N312" s="185"/>
      <c r="O312" s="185"/>
      <c r="P312" s="185"/>
      <c r="Q312" s="185"/>
      <c r="R312" s="185"/>
      <c r="S312" s="185"/>
      <c r="T312" s="185"/>
      <c r="U312" s="185"/>
      <c r="V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184" t="str">
        <f>IFERROR(__xludf.DUMMYFUNCTION("ifna(IF(and(D313=""Saída"",J313=""Sangria""),if(sum(QUERY(IMPORTRANGE(""https://docs.google.com/spreadsheets/d/1E4szPcLzsqlw4uyBAoJ61L1ChCgpz4wVP8tHfHW1g_c"",""BD M Sangrias!a:i""),""select Col6 where Col7 = 'Depositada' and Col9 = '""&amp;K313&amp;""' and Col6 ="&amp;" ""&amp;M313&amp;"" and Col4 = date '""&amp;YEAR(C313)&amp;""-""&amp;MONTH(C313)&amp;""-""&amp;DAY(C313)&amp;""'""))&gt;0,""Depositada"",if(sum(QUERY(IMPORTRANGE(""https://docs.google.com/spreadsheets/d/1EcLIvUgMoBC5as4ikW0wuQsGH5yVZ6cQ1y16qEfgPnk"",""BD M Sangrias!a:i""),""select Col6 whe"&amp;"re Col7 = 'Caixa Atendimento' and Col9 = '""&amp;K313&amp;""' and Col6 = ""&amp;M313&amp;"" and Col4 = date '""&amp;YEAR(C313)&amp;""-""&amp;MONTH(C313)&amp;""-""&amp;DAY(C313)&amp;""'""))&gt;0,""Caixa Atendimento"",""Caixa Sangria"")),""""),""Caixa Sangria"")"),"")</f>
        <v/>
      </c>
      <c r="M313" s="185" t="str">
        <f>IFERROR(__xludf.DUMMYFUNCTION("ifna(VALUE(REGEXEXTRACT(E313,""[0-9.]+[,]+[0-9]+"")))"),"")</f>
        <v/>
      </c>
      <c r="N313" s="185"/>
      <c r="O313" s="185"/>
      <c r="P313" s="185"/>
      <c r="Q313" s="185"/>
      <c r="R313" s="185"/>
      <c r="S313" s="185"/>
      <c r="T313" s="185"/>
      <c r="U313" s="185"/>
      <c r="V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184" t="str">
        <f>IFERROR(__xludf.DUMMYFUNCTION("ifna(IF(and(D314=""Saída"",J314=""Sangria""),if(sum(QUERY(IMPORTRANGE(""https://docs.google.com/spreadsheets/d/1E4szPcLzsqlw4uyBAoJ61L1ChCgpz4wVP8tHfHW1g_c"",""BD M Sangrias!a:i""),""select Col6 where Col7 = 'Depositada' and Col9 = '""&amp;K314&amp;""' and Col6 ="&amp;" ""&amp;M314&amp;"" and Col4 = date '""&amp;YEAR(C314)&amp;""-""&amp;MONTH(C314)&amp;""-""&amp;DAY(C314)&amp;""'""))&gt;0,""Depositada"",if(sum(QUERY(IMPORTRANGE(""https://docs.google.com/spreadsheets/d/1EcLIvUgMoBC5as4ikW0wuQsGH5yVZ6cQ1y16qEfgPnk"",""BD M Sangrias!a:i""),""select Col6 whe"&amp;"re Col7 = 'Caixa Atendimento' and Col9 = '""&amp;K314&amp;""' and Col6 = ""&amp;M314&amp;"" and Col4 = date '""&amp;YEAR(C314)&amp;""-""&amp;MONTH(C314)&amp;""-""&amp;DAY(C314)&amp;""'""))&gt;0,""Caixa Atendimento"",""Caixa Sangria"")),""""),""Caixa Sangria"")"),"")</f>
        <v/>
      </c>
      <c r="M314" s="185" t="str">
        <f>IFERROR(__xludf.DUMMYFUNCTION("ifna(VALUE(REGEXEXTRACT(E314,""[0-9.]+[,]+[0-9]+"")))"),"")</f>
        <v/>
      </c>
      <c r="N314" s="185"/>
      <c r="O314" s="185"/>
      <c r="P314" s="185"/>
      <c r="Q314" s="185"/>
      <c r="R314" s="185"/>
      <c r="S314" s="185"/>
      <c r="T314" s="185"/>
      <c r="U314" s="185"/>
      <c r="V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184" t="str">
        <f>IFERROR(__xludf.DUMMYFUNCTION("ifna(IF(and(D315=""Saída"",J315=""Sangria""),if(sum(QUERY(IMPORTRANGE(""https://docs.google.com/spreadsheets/d/1E4szPcLzsqlw4uyBAoJ61L1ChCgpz4wVP8tHfHW1g_c"",""BD M Sangrias!a:i""),""select Col6 where Col7 = 'Depositada' and Col9 = '""&amp;K315&amp;""' and Col6 ="&amp;" ""&amp;M315&amp;"" and Col4 = date '""&amp;YEAR(C315)&amp;""-""&amp;MONTH(C315)&amp;""-""&amp;DAY(C315)&amp;""'""))&gt;0,""Depositada"",if(sum(QUERY(IMPORTRANGE(""https://docs.google.com/spreadsheets/d/1EcLIvUgMoBC5as4ikW0wuQsGH5yVZ6cQ1y16qEfgPnk"",""BD M Sangrias!a:i""),""select Col6 whe"&amp;"re Col7 = 'Caixa Atendimento' and Col9 = '""&amp;K315&amp;""' and Col6 = ""&amp;M315&amp;"" and Col4 = date '""&amp;YEAR(C315)&amp;""-""&amp;MONTH(C315)&amp;""-""&amp;DAY(C315)&amp;""'""))&gt;0,""Caixa Atendimento"",""Caixa Sangria"")),""""),""Caixa Sangria"")"),"")</f>
        <v/>
      </c>
      <c r="M315" s="185" t="str">
        <f>IFERROR(__xludf.DUMMYFUNCTION("ifna(VALUE(REGEXEXTRACT(E315,""[0-9.]+[,]+[0-9]+"")))"),"")</f>
        <v/>
      </c>
      <c r="N315" s="185"/>
      <c r="O315" s="185"/>
      <c r="P315" s="185"/>
      <c r="Q315" s="185"/>
      <c r="R315" s="185"/>
      <c r="S315" s="185"/>
      <c r="T315" s="185"/>
      <c r="U315" s="185"/>
      <c r="V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184" t="str">
        <f>IFERROR(__xludf.DUMMYFUNCTION("ifna(IF(and(D316=""Saída"",J316=""Sangria""),if(sum(QUERY(IMPORTRANGE(""https://docs.google.com/spreadsheets/d/1E4szPcLzsqlw4uyBAoJ61L1ChCgpz4wVP8tHfHW1g_c"",""BD M Sangrias!a:i""),""select Col6 where Col7 = 'Depositada' and Col9 = '""&amp;K316&amp;""' and Col6 ="&amp;" ""&amp;M316&amp;"" and Col4 = date '""&amp;YEAR(C316)&amp;""-""&amp;MONTH(C316)&amp;""-""&amp;DAY(C316)&amp;""'""))&gt;0,""Depositada"",if(sum(QUERY(IMPORTRANGE(""https://docs.google.com/spreadsheets/d/1EcLIvUgMoBC5as4ikW0wuQsGH5yVZ6cQ1y16qEfgPnk"",""BD M Sangrias!a:i""),""select Col6 whe"&amp;"re Col7 = 'Caixa Atendimento' and Col9 = '""&amp;K316&amp;""' and Col6 = ""&amp;M316&amp;"" and Col4 = date '""&amp;YEAR(C316)&amp;""-""&amp;MONTH(C316)&amp;""-""&amp;DAY(C316)&amp;""'""))&gt;0,""Caixa Atendimento"",""Caixa Sangria"")),""""),""Caixa Sangria"")"),"")</f>
        <v/>
      </c>
      <c r="M316" s="185" t="str">
        <f>IFERROR(__xludf.DUMMYFUNCTION("ifna(VALUE(REGEXEXTRACT(E316,""[0-9.]+[,]+[0-9]+"")))"),"")</f>
        <v/>
      </c>
      <c r="N316" s="185"/>
      <c r="O316" s="185"/>
      <c r="P316" s="185"/>
      <c r="Q316" s="185"/>
      <c r="R316" s="185"/>
      <c r="S316" s="185"/>
      <c r="T316" s="185"/>
      <c r="U316" s="185"/>
      <c r="V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184" t="str">
        <f>IFERROR(__xludf.DUMMYFUNCTION("ifna(IF(and(D317=""Saída"",J317=""Sangria""),if(sum(QUERY(IMPORTRANGE(""https://docs.google.com/spreadsheets/d/1E4szPcLzsqlw4uyBAoJ61L1ChCgpz4wVP8tHfHW1g_c"",""BD M Sangrias!a:i""),""select Col6 where Col7 = 'Depositada' and Col9 = '""&amp;K317&amp;""' and Col6 ="&amp;" ""&amp;M317&amp;"" and Col4 = date '""&amp;YEAR(C317)&amp;""-""&amp;MONTH(C317)&amp;""-""&amp;DAY(C317)&amp;""'""))&gt;0,""Depositada"",if(sum(QUERY(IMPORTRANGE(""https://docs.google.com/spreadsheets/d/1EcLIvUgMoBC5as4ikW0wuQsGH5yVZ6cQ1y16qEfgPnk"",""BD M Sangrias!a:i""),""select Col6 whe"&amp;"re Col7 = 'Caixa Atendimento' and Col9 = '""&amp;K317&amp;""' and Col6 = ""&amp;M317&amp;"" and Col4 = date '""&amp;YEAR(C317)&amp;""-""&amp;MONTH(C317)&amp;""-""&amp;DAY(C317)&amp;""'""))&gt;0,""Caixa Atendimento"",""Caixa Sangria"")),""""),""Caixa Sangria"")"),"")</f>
        <v/>
      </c>
      <c r="M317" s="185" t="str">
        <f>IFERROR(__xludf.DUMMYFUNCTION("ifna(VALUE(REGEXEXTRACT(E317,""[0-9.]+[,]+[0-9]+"")))"),"")</f>
        <v/>
      </c>
      <c r="N317" s="185"/>
      <c r="O317" s="185"/>
      <c r="P317" s="185"/>
      <c r="Q317" s="185"/>
      <c r="R317" s="185"/>
      <c r="S317" s="185"/>
      <c r="T317" s="185"/>
      <c r="U317" s="185"/>
      <c r="V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184" t="str">
        <f>IFERROR(__xludf.DUMMYFUNCTION("ifna(IF(and(D318=""Saída"",J318=""Sangria""),if(sum(QUERY(IMPORTRANGE(""https://docs.google.com/spreadsheets/d/1E4szPcLzsqlw4uyBAoJ61L1ChCgpz4wVP8tHfHW1g_c"",""BD M Sangrias!a:i""),""select Col6 where Col7 = 'Depositada' and Col9 = '""&amp;K318&amp;""' and Col6 ="&amp;" ""&amp;M318&amp;"" and Col4 = date '""&amp;YEAR(C318)&amp;""-""&amp;MONTH(C318)&amp;""-""&amp;DAY(C318)&amp;""'""))&gt;0,""Depositada"",if(sum(QUERY(IMPORTRANGE(""https://docs.google.com/spreadsheets/d/1EcLIvUgMoBC5as4ikW0wuQsGH5yVZ6cQ1y16qEfgPnk"",""BD M Sangrias!a:i""),""select Col6 whe"&amp;"re Col7 = 'Caixa Atendimento' and Col9 = '""&amp;K318&amp;""' and Col6 = ""&amp;M318&amp;"" and Col4 = date '""&amp;YEAR(C318)&amp;""-""&amp;MONTH(C318)&amp;""-""&amp;DAY(C318)&amp;""'""))&gt;0,""Caixa Atendimento"",""Caixa Sangria"")),""""),""Caixa Sangria"")"),"")</f>
        <v/>
      </c>
      <c r="M318" s="185" t="str">
        <f>IFERROR(__xludf.DUMMYFUNCTION("ifna(VALUE(REGEXEXTRACT(E318,""[0-9.]+[,]+[0-9]+"")))"),"")</f>
        <v/>
      </c>
      <c r="N318" s="185"/>
      <c r="O318" s="185"/>
      <c r="P318" s="185"/>
      <c r="Q318" s="185"/>
      <c r="R318" s="185"/>
      <c r="S318" s="185"/>
      <c r="T318" s="185"/>
      <c r="U318" s="185"/>
      <c r="V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184" t="str">
        <f>IFERROR(__xludf.DUMMYFUNCTION("ifna(IF(and(D319=""Saída"",J319=""Sangria""),if(sum(QUERY(IMPORTRANGE(""https://docs.google.com/spreadsheets/d/1E4szPcLzsqlw4uyBAoJ61L1ChCgpz4wVP8tHfHW1g_c"",""BD M Sangrias!a:i""),""select Col6 where Col7 = 'Depositada' and Col9 = '""&amp;K319&amp;""' and Col6 ="&amp;" ""&amp;M319&amp;"" and Col4 = date '""&amp;YEAR(C319)&amp;""-""&amp;MONTH(C319)&amp;""-""&amp;DAY(C319)&amp;""'""))&gt;0,""Depositada"",if(sum(QUERY(IMPORTRANGE(""https://docs.google.com/spreadsheets/d/1EcLIvUgMoBC5as4ikW0wuQsGH5yVZ6cQ1y16qEfgPnk"",""BD M Sangrias!a:i""),""select Col6 whe"&amp;"re Col7 = 'Caixa Atendimento' and Col9 = '""&amp;K319&amp;""' and Col6 = ""&amp;M319&amp;"" and Col4 = date '""&amp;YEAR(C319)&amp;""-""&amp;MONTH(C319)&amp;""-""&amp;DAY(C319)&amp;""'""))&gt;0,""Caixa Atendimento"",""Caixa Sangria"")),""""),""Caixa Sangria"")"),"")</f>
        <v/>
      </c>
      <c r="M319" s="185" t="str">
        <f>IFERROR(__xludf.DUMMYFUNCTION("ifna(VALUE(REGEXEXTRACT(E319,""[0-9.]+[,]+[0-9]+"")))"),"")</f>
        <v/>
      </c>
      <c r="N319" s="185"/>
      <c r="O319" s="185"/>
      <c r="P319" s="185"/>
      <c r="Q319" s="185"/>
      <c r="R319" s="185"/>
      <c r="S319" s="185"/>
      <c r="T319" s="185"/>
      <c r="U319" s="185"/>
      <c r="V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184" t="str">
        <f>IFERROR(__xludf.DUMMYFUNCTION("ifna(IF(and(D320=""Saída"",J320=""Sangria""),if(sum(QUERY(IMPORTRANGE(""https://docs.google.com/spreadsheets/d/1E4szPcLzsqlw4uyBAoJ61L1ChCgpz4wVP8tHfHW1g_c"",""BD M Sangrias!a:i""),""select Col6 where Col7 = 'Depositada' and Col9 = '""&amp;K320&amp;""' and Col6 ="&amp;" ""&amp;M320&amp;"" and Col4 = date '""&amp;YEAR(C320)&amp;""-""&amp;MONTH(C320)&amp;""-""&amp;DAY(C320)&amp;""'""))&gt;0,""Depositada"",if(sum(QUERY(IMPORTRANGE(""https://docs.google.com/spreadsheets/d/1EcLIvUgMoBC5as4ikW0wuQsGH5yVZ6cQ1y16qEfgPnk"",""BD M Sangrias!a:i""),""select Col6 whe"&amp;"re Col7 = 'Caixa Atendimento' and Col9 = '""&amp;K320&amp;""' and Col6 = ""&amp;M320&amp;"" and Col4 = date '""&amp;YEAR(C320)&amp;""-""&amp;MONTH(C320)&amp;""-""&amp;DAY(C320)&amp;""'""))&gt;0,""Caixa Atendimento"",""Caixa Sangria"")),""""),""Caixa Sangria"")"),"")</f>
        <v/>
      </c>
      <c r="M320" s="185" t="str">
        <f>IFERROR(__xludf.DUMMYFUNCTION("ifna(VALUE(REGEXEXTRACT(E320,""[0-9.]+[,]+[0-9]+"")))"),"")</f>
        <v/>
      </c>
      <c r="N320" s="185"/>
      <c r="O320" s="185"/>
      <c r="P320" s="185"/>
      <c r="Q320" s="185"/>
      <c r="R320" s="185"/>
      <c r="S320" s="185"/>
      <c r="T320" s="185"/>
      <c r="U320" s="185"/>
      <c r="V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184" t="str">
        <f>IFERROR(__xludf.DUMMYFUNCTION("ifna(IF(and(D321=""Saída"",J321=""Sangria""),if(sum(QUERY(IMPORTRANGE(""https://docs.google.com/spreadsheets/d/1E4szPcLzsqlw4uyBAoJ61L1ChCgpz4wVP8tHfHW1g_c"",""BD M Sangrias!a:i""),""select Col6 where Col7 = 'Depositada' and Col9 = '""&amp;K321&amp;""' and Col6 ="&amp;" ""&amp;M321&amp;"" and Col4 = date '""&amp;YEAR(C321)&amp;""-""&amp;MONTH(C321)&amp;""-""&amp;DAY(C321)&amp;""'""))&gt;0,""Depositada"",if(sum(QUERY(IMPORTRANGE(""https://docs.google.com/spreadsheets/d/1EcLIvUgMoBC5as4ikW0wuQsGH5yVZ6cQ1y16qEfgPnk"",""BD M Sangrias!a:i""),""select Col6 whe"&amp;"re Col7 = 'Caixa Atendimento' and Col9 = '""&amp;K321&amp;""' and Col6 = ""&amp;M321&amp;"" and Col4 = date '""&amp;YEAR(C321)&amp;""-""&amp;MONTH(C321)&amp;""-""&amp;DAY(C321)&amp;""'""))&gt;0,""Caixa Atendimento"",""Caixa Sangria"")),""""),""Caixa Sangria"")"),"")</f>
        <v/>
      </c>
      <c r="M321" s="185" t="str">
        <f>IFERROR(__xludf.DUMMYFUNCTION("ifna(VALUE(REGEXEXTRACT(E321,""[0-9.]+[,]+[0-9]+"")))"),"")</f>
        <v/>
      </c>
      <c r="N321" s="185"/>
      <c r="O321" s="185"/>
      <c r="P321" s="185"/>
      <c r="Q321" s="185"/>
      <c r="R321" s="185"/>
      <c r="S321" s="185"/>
      <c r="T321" s="185"/>
      <c r="U321" s="185"/>
      <c r="V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184" t="str">
        <f>IFERROR(__xludf.DUMMYFUNCTION("ifna(IF(and(D322=""Saída"",J322=""Sangria""),if(sum(QUERY(IMPORTRANGE(""https://docs.google.com/spreadsheets/d/1E4szPcLzsqlw4uyBAoJ61L1ChCgpz4wVP8tHfHW1g_c"",""BD M Sangrias!a:i""),""select Col6 where Col7 = 'Depositada' and Col9 = '""&amp;K322&amp;""' and Col6 ="&amp;" ""&amp;M322&amp;"" and Col4 = date '""&amp;YEAR(C322)&amp;""-""&amp;MONTH(C322)&amp;""-""&amp;DAY(C322)&amp;""'""))&gt;0,""Depositada"",if(sum(QUERY(IMPORTRANGE(""https://docs.google.com/spreadsheets/d/1EcLIvUgMoBC5as4ikW0wuQsGH5yVZ6cQ1y16qEfgPnk"",""BD M Sangrias!a:i""),""select Col6 whe"&amp;"re Col7 = 'Caixa Atendimento' and Col9 = '""&amp;K322&amp;""' and Col6 = ""&amp;M322&amp;"" and Col4 = date '""&amp;YEAR(C322)&amp;""-""&amp;MONTH(C322)&amp;""-""&amp;DAY(C322)&amp;""'""))&gt;0,""Caixa Atendimento"",""Caixa Sangria"")),""""),""Caixa Sangria"")"),"")</f>
        <v/>
      </c>
      <c r="M322" s="185" t="str">
        <f>IFERROR(__xludf.DUMMYFUNCTION("ifna(VALUE(REGEXEXTRACT(E322,""[0-9.]+[,]+[0-9]+"")))"),"")</f>
        <v/>
      </c>
      <c r="N322" s="185"/>
      <c r="O322" s="185"/>
      <c r="P322" s="185"/>
      <c r="Q322" s="185"/>
      <c r="R322" s="185"/>
      <c r="S322" s="185"/>
      <c r="T322" s="185"/>
      <c r="U322" s="185"/>
      <c r="V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184" t="str">
        <f>IFERROR(__xludf.DUMMYFUNCTION("ifna(IF(and(D323=""Saída"",J323=""Sangria""),if(sum(QUERY(IMPORTRANGE(""https://docs.google.com/spreadsheets/d/1E4szPcLzsqlw4uyBAoJ61L1ChCgpz4wVP8tHfHW1g_c"",""BD M Sangrias!a:i""),""select Col6 where Col7 = 'Depositada' and Col9 = '""&amp;K323&amp;""' and Col6 ="&amp;" ""&amp;M323&amp;"" and Col4 = date '""&amp;YEAR(C323)&amp;""-""&amp;MONTH(C323)&amp;""-""&amp;DAY(C323)&amp;""'""))&gt;0,""Depositada"",if(sum(QUERY(IMPORTRANGE(""https://docs.google.com/spreadsheets/d/1EcLIvUgMoBC5as4ikW0wuQsGH5yVZ6cQ1y16qEfgPnk"",""BD M Sangrias!a:i""),""select Col6 whe"&amp;"re Col7 = 'Caixa Atendimento' and Col9 = '""&amp;K323&amp;""' and Col6 = ""&amp;M323&amp;"" and Col4 = date '""&amp;YEAR(C323)&amp;""-""&amp;MONTH(C323)&amp;""-""&amp;DAY(C323)&amp;""'""))&gt;0,""Caixa Atendimento"",""Caixa Sangria"")),""""),""Caixa Sangria"")"),"")</f>
        <v/>
      </c>
      <c r="M323" s="185" t="str">
        <f>IFERROR(__xludf.DUMMYFUNCTION("ifna(VALUE(REGEXEXTRACT(E323,""[0-9.]+[,]+[0-9]+"")))"),"")</f>
        <v/>
      </c>
      <c r="N323" s="185"/>
      <c r="O323" s="185"/>
      <c r="P323" s="185"/>
      <c r="Q323" s="185"/>
      <c r="R323" s="185"/>
      <c r="S323" s="185"/>
      <c r="T323" s="185"/>
      <c r="U323" s="185"/>
      <c r="V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184" t="str">
        <f>IFERROR(__xludf.DUMMYFUNCTION("ifna(IF(and(D324=""Saída"",J324=""Sangria""),if(sum(QUERY(IMPORTRANGE(""https://docs.google.com/spreadsheets/d/1E4szPcLzsqlw4uyBAoJ61L1ChCgpz4wVP8tHfHW1g_c"",""BD M Sangrias!a:i""),""select Col6 where Col7 = 'Depositada' and Col9 = '""&amp;K324&amp;""' and Col6 ="&amp;" ""&amp;M324&amp;"" and Col4 = date '""&amp;YEAR(C324)&amp;""-""&amp;MONTH(C324)&amp;""-""&amp;DAY(C324)&amp;""'""))&gt;0,""Depositada"",if(sum(QUERY(IMPORTRANGE(""https://docs.google.com/spreadsheets/d/1EcLIvUgMoBC5as4ikW0wuQsGH5yVZ6cQ1y16qEfgPnk"",""BD M Sangrias!a:i""),""select Col6 whe"&amp;"re Col7 = 'Caixa Atendimento' and Col9 = '""&amp;K324&amp;""' and Col6 = ""&amp;M324&amp;"" and Col4 = date '""&amp;YEAR(C324)&amp;""-""&amp;MONTH(C324)&amp;""-""&amp;DAY(C324)&amp;""'""))&gt;0,""Caixa Atendimento"",""Caixa Sangria"")),""""),""Caixa Sangria"")"),"")</f>
        <v/>
      </c>
      <c r="M324" s="185" t="str">
        <f>IFERROR(__xludf.DUMMYFUNCTION("ifna(VALUE(REGEXEXTRACT(E324,""[0-9.]+[,]+[0-9]+"")))"),"")</f>
        <v/>
      </c>
      <c r="N324" s="185"/>
      <c r="O324" s="185"/>
      <c r="P324" s="185"/>
      <c r="Q324" s="185"/>
      <c r="R324" s="185"/>
      <c r="S324" s="185"/>
      <c r="T324" s="185"/>
      <c r="U324" s="185"/>
      <c r="V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184" t="str">
        <f>IFERROR(__xludf.DUMMYFUNCTION("ifna(IF(and(D325=""Saída"",J325=""Sangria""),if(sum(QUERY(IMPORTRANGE(""https://docs.google.com/spreadsheets/d/1E4szPcLzsqlw4uyBAoJ61L1ChCgpz4wVP8tHfHW1g_c"",""BD M Sangrias!a:i""),""select Col6 where Col7 = 'Depositada' and Col9 = '""&amp;K325&amp;""' and Col6 ="&amp;" ""&amp;M325&amp;"" and Col4 = date '""&amp;YEAR(C325)&amp;""-""&amp;MONTH(C325)&amp;""-""&amp;DAY(C325)&amp;""'""))&gt;0,""Depositada"",if(sum(QUERY(IMPORTRANGE(""https://docs.google.com/spreadsheets/d/1EcLIvUgMoBC5as4ikW0wuQsGH5yVZ6cQ1y16qEfgPnk"",""BD M Sangrias!a:i""),""select Col6 whe"&amp;"re Col7 = 'Caixa Atendimento' and Col9 = '""&amp;K325&amp;""' and Col6 = ""&amp;M325&amp;"" and Col4 = date '""&amp;YEAR(C325)&amp;""-""&amp;MONTH(C325)&amp;""-""&amp;DAY(C325)&amp;""'""))&gt;0,""Caixa Atendimento"",""Caixa Sangria"")),""""),""Caixa Sangria"")"),"")</f>
        <v/>
      </c>
      <c r="M325" s="185" t="str">
        <f>IFERROR(__xludf.DUMMYFUNCTION("ifna(VALUE(REGEXEXTRACT(E325,""[0-9.]+[,]+[0-9]+"")))"),"")</f>
        <v/>
      </c>
      <c r="N325" s="185"/>
      <c r="O325" s="185"/>
      <c r="P325" s="185"/>
      <c r="Q325" s="185"/>
      <c r="R325" s="185"/>
      <c r="S325" s="185"/>
      <c r="T325" s="185"/>
      <c r="U325" s="185"/>
      <c r="V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184" t="str">
        <f>IFERROR(__xludf.DUMMYFUNCTION("ifna(IF(and(D326=""Saída"",J326=""Sangria""),if(sum(QUERY(IMPORTRANGE(""https://docs.google.com/spreadsheets/d/1E4szPcLzsqlw4uyBAoJ61L1ChCgpz4wVP8tHfHW1g_c"",""BD M Sangrias!a:i""),""select Col6 where Col7 = 'Depositada' and Col9 = '""&amp;K326&amp;""' and Col6 ="&amp;" ""&amp;M326&amp;"" and Col4 = date '""&amp;YEAR(C326)&amp;""-""&amp;MONTH(C326)&amp;""-""&amp;DAY(C326)&amp;""'""))&gt;0,""Depositada"",if(sum(QUERY(IMPORTRANGE(""https://docs.google.com/spreadsheets/d/1EcLIvUgMoBC5as4ikW0wuQsGH5yVZ6cQ1y16qEfgPnk"",""BD M Sangrias!a:i""),""select Col6 whe"&amp;"re Col7 = 'Caixa Atendimento' and Col9 = '""&amp;K326&amp;""' and Col6 = ""&amp;M326&amp;"" and Col4 = date '""&amp;YEAR(C326)&amp;""-""&amp;MONTH(C326)&amp;""-""&amp;DAY(C326)&amp;""'""))&gt;0,""Caixa Atendimento"",""Caixa Sangria"")),""""),""Caixa Sangria"")"),"")</f>
        <v/>
      </c>
      <c r="M326" s="185" t="str">
        <f>IFERROR(__xludf.DUMMYFUNCTION("ifna(VALUE(REGEXEXTRACT(E326,""[0-9.]+[,]+[0-9]+"")))"),"")</f>
        <v/>
      </c>
      <c r="N326" s="185"/>
      <c r="O326" s="185"/>
      <c r="P326" s="185"/>
      <c r="Q326" s="185"/>
      <c r="R326" s="185"/>
      <c r="S326" s="185"/>
      <c r="T326" s="185"/>
      <c r="U326" s="185"/>
      <c r="V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184" t="str">
        <f>IFERROR(__xludf.DUMMYFUNCTION("ifna(IF(and(D327=""Saída"",J327=""Sangria""),if(sum(QUERY(IMPORTRANGE(""https://docs.google.com/spreadsheets/d/1E4szPcLzsqlw4uyBAoJ61L1ChCgpz4wVP8tHfHW1g_c"",""BD M Sangrias!a:i""),""select Col6 where Col7 = 'Depositada' and Col9 = '""&amp;K327&amp;""' and Col6 ="&amp;" ""&amp;M327&amp;"" and Col4 = date '""&amp;YEAR(C327)&amp;""-""&amp;MONTH(C327)&amp;""-""&amp;DAY(C327)&amp;""'""))&gt;0,""Depositada"",if(sum(QUERY(IMPORTRANGE(""https://docs.google.com/spreadsheets/d/1EcLIvUgMoBC5as4ikW0wuQsGH5yVZ6cQ1y16qEfgPnk"",""BD M Sangrias!a:i""),""select Col6 whe"&amp;"re Col7 = 'Caixa Atendimento' and Col9 = '""&amp;K327&amp;""' and Col6 = ""&amp;M327&amp;"" and Col4 = date '""&amp;YEAR(C327)&amp;""-""&amp;MONTH(C327)&amp;""-""&amp;DAY(C327)&amp;""'""))&gt;0,""Caixa Atendimento"",""Caixa Sangria"")),""""),""Caixa Sangria"")"),"")</f>
        <v/>
      </c>
      <c r="M327" s="185" t="str">
        <f>IFERROR(__xludf.DUMMYFUNCTION("ifna(VALUE(REGEXEXTRACT(E327,""[0-9.]+[,]+[0-9]+"")))"),"")</f>
        <v/>
      </c>
      <c r="N327" s="185"/>
      <c r="O327" s="185"/>
      <c r="P327" s="185"/>
      <c r="Q327" s="185"/>
      <c r="R327" s="185"/>
      <c r="S327" s="185"/>
      <c r="T327" s="185"/>
      <c r="U327" s="185"/>
      <c r="V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184" t="str">
        <f>IFERROR(__xludf.DUMMYFUNCTION("ifna(IF(and(D328=""Saída"",J328=""Sangria""),if(sum(QUERY(IMPORTRANGE(""https://docs.google.com/spreadsheets/d/1E4szPcLzsqlw4uyBAoJ61L1ChCgpz4wVP8tHfHW1g_c"",""BD M Sangrias!a:i""),""select Col6 where Col7 = 'Depositada' and Col9 = '""&amp;K328&amp;""' and Col6 ="&amp;" ""&amp;M328&amp;"" and Col4 = date '""&amp;YEAR(C328)&amp;""-""&amp;MONTH(C328)&amp;""-""&amp;DAY(C328)&amp;""'""))&gt;0,""Depositada"",if(sum(QUERY(IMPORTRANGE(""https://docs.google.com/spreadsheets/d/1EcLIvUgMoBC5as4ikW0wuQsGH5yVZ6cQ1y16qEfgPnk"",""BD M Sangrias!a:i""),""select Col6 whe"&amp;"re Col7 = 'Caixa Atendimento' and Col9 = '""&amp;K328&amp;""' and Col6 = ""&amp;M328&amp;"" and Col4 = date '""&amp;YEAR(C328)&amp;""-""&amp;MONTH(C328)&amp;""-""&amp;DAY(C328)&amp;""'""))&gt;0,""Caixa Atendimento"",""Caixa Sangria"")),""""),""Caixa Sangria"")"),"")</f>
        <v/>
      </c>
      <c r="M328" s="185" t="str">
        <f>IFERROR(__xludf.DUMMYFUNCTION("ifna(VALUE(REGEXEXTRACT(E328,""[0-9.]+[,]+[0-9]+"")))"),"")</f>
        <v/>
      </c>
      <c r="N328" s="185"/>
      <c r="O328" s="185"/>
      <c r="P328" s="185"/>
      <c r="Q328" s="185"/>
      <c r="R328" s="185"/>
      <c r="S328" s="185"/>
      <c r="T328" s="185"/>
      <c r="U328" s="185"/>
      <c r="V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184" t="str">
        <f>IFERROR(__xludf.DUMMYFUNCTION("ifna(IF(and(D329=""Saída"",J329=""Sangria""),if(sum(QUERY(IMPORTRANGE(""https://docs.google.com/spreadsheets/d/1E4szPcLzsqlw4uyBAoJ61L1ChCgpz4wVP8tHfHW1g_c"",""BD M Sangrias!a:i""),""select Col6 where Col7 = 'Depositada' and Col9 = '""&amp;K329&amp;""' and Col6 ="&amp;" ""&amp;M329&amp;"" and Col4 = date '""&amp;YEAR(C329)&amp;""-""&amp;MONTH(C329)&amp;""-""&amp;DAY(C329)&amp;""'""))&gt;0,""Depositada"",if(sum(QUERY(IMPORTRANGE(""https://docs.google.com/spreadsheets/d/1EcLIvUgMoBC5as4ikW0wuQsGH5yVZ6cQ1y16qEfgPnk"",""BD M Sangrias!a:i""),""select Col6 whe"&amp;"re Col7 = 'Caixa Atendimento' and Col9 = '""&amp;K329&amp;""' and Col6 = ""&amp;M329&amp;"" and Col4 = date '""&amp;YEAR(C329)&amp;""-""&amp;MONTH(C329)&amp;""-""&amp;DAY(C329)&amp;""'""))&gt;0,""Caixa Atendimento"",""Caixa Sangria"")),""""),""Caixa Sangria"")"),"")</f>
        <v/>
      </c>
      <c r="M329" s="185" t="str">
        <f>IFERROR(__xludf.DUMMYFUNCTION("ifna(VALUE(REGEXEXTRACT(E329,""[0-9.]+[,]+[0-9]+"")))"),"")</f>
        <v/>
      </c>
      <c r="N329" s="185"/>
      <c r="O329" s="185"/>
      <c r="P329" s="185"/>
      <c r="Q329" s="185"/>
      <c r="R329" s="185"/>
      <c r="S329" s="185"/>
      <c r="T329" s="185"/>
      <c r="U329" s="185"/>
      <c r="V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184" t="str">
        <f>IFERROR(__xludf.DUMMYFUNCTION("ifna(IF(and(D330=""Saída"",J330=""Sangria""),if(sum(QUERY(IMPORTRANGE(""https://docs.google.com/spreadsheets/d/1E4szPcLzsqlw4uyBAoJ61L1ChCgpz4wVP8tHfHW1g_c"",""BD M Sangrias!a:i""),""select Col6 where Col7 = 'Depositada' and Col9 = '""&amp;K330&amp;""' and Col6 ="&amp;" ""&amp;M330&amp;"" and Col4 = date '""&amp;YEAR(C330)&amp;""-""&amp;MONTH(C330)&amp;""-""&amp;DAY(C330)&amp;""'""))&gt;0,""Depositada"",if(sum(QUERY(IMPORTRANGE(""https://docs.google.com/spreadsheets/d/1EcLIvUgMoBC5as4ikW0wuQsGH5yVZ6cQ1y16qEfgPnk"",""BD M Sangrias!a:i""),""select Col6 whe"&amp;"re Col7 = 'Caixa Atendimento' and Col9 = '""&amp;K330&amp;""' and Col6 = ""&amp;M330&amp;"" and Col4 = date '""&amp;YEAR(C330)&amp;""-""&amp;MONTH(C330)&amp;""-""&amp;DAY(C330)&amp;""'""))&gt;0,""Caixa Atendimento"",""Caixa Sangria"")),""""),""Caixa Sangria"")"),"")</f>
        <v/>
      </c>
      <c r="M330" s="185" t="str">
        <f>IFERROR(__xludf.DUMMYFUNCTION("ifna(VALUE(REGEXEXTRACT(E330,""[0-9.]+[,]+[0-9]+"")))"),"")</f>
        <v/>
      </c>
      <c r="N330" s="185"/>
      <c r="O330" s="185"/>
      <c r="P330" s="185"/>
      <c r="Q330" s="185"/>
      <c r="R330" s="185"/>
      <c r="S330" s="185"/>
      <c r="T330" s="185"/>
      <c r="U330" s="185"/>
      <c r="V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184" t="str">
        <f>IFERROR(__xludf.DUMMYFUNCTION("ifna(IF(and(D331=""Saída"",J331=""Sangria""),if(sum(QUERY(IMPORTRANGE(""https://docs.google.com/spreadsheets/d/1E4szPcLzsqlw4uyBAoJ61L1ChCgpz4wVP8tHfHW1g_c"",""BD M Sangrias!a:i""),""select Col6 where Col7 = 'Depositada' and Col9 = '""&amp;K331&amp;""' and Col6 ="&amp;" ""&amp;M331&amp;"" and Col4 = date '""&amp;YEAR(C331)&amp;""-""&amp;MONTH(C331)&amp;""-""&amp;DAY(C331)&amp;""'""))&gt;0,""Depositada"",if(sum(QUERY(IMPORTRANGE(""https://docs.google.com/spreadsheets/d/1EcLIvUgMoBC5as4ikW0wuQsGH5yVZ6cQ1y16qEfgPnk"",""BD M Sangrias!a:i""),""select Col6 whe"&amp;"re Col7 = 'Caixa Atendimento' and Col9 = '""&amp;K331&amp;""' and Col6 = ""&amp;M331&amp;"" and Col4 = date '""&amp;YEAR(C331)&amp;""-""&amp;MONTH(C331)&amp;""-""&amp;DAY(C331)&amp;""'""))&gt;0,""Caixa Atendimento"",""Caixa Sangria"")),""""),""Caixa Sangria"")"),"")</f>
        <v/>
      </c>
      <c r="M331" s="185" t="str">
        <f>IFERROR(__xludf.DUMMYFUNCTION("ifna(VALUE(REGEXEXTRACT(E331,""[0-9.]+[,]+[0-9]+"")))"),"")</f>
        <v/>
      </c>
      <c r="N331" s="185"/>
      <c r="O331" s="185"/>
      <c r="P331" s="185"/>
      <c r="Q331" s="185"/>
      <c r="R331" s="185"/>
      <c r="S331" s="185"/>
      <c r="T331" s="185"/>
      <c r="U331" s="185"/>
      <c r="V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184" t="str">
        <f>IFERROR(__xludf.DUMMYFUNCTION("ifna(IF(and(D332=""Saída"",J332=""Sangria""),if(sum(QUERY(IMPORTRANGE(""https://docs.google.com/spreadsheets/d/1E4szPcLzsqlw4uyBAoJ61L1ChCgpz4wVP8tHfHW1g_c"",""BD M Sangrias!a:i""),""select Col6 where Col7 = 'Depositada' and Col9 = '""&amp;K332&amp;""' and Col6 ="&amp;" ""&amp;M332&amp;"" and Col4 = date '""&amp;YEAR(C332)&amp;""-""&amp;MONTH(C332)&amp;""-""&amp;DAY(C332)&amp;""'""))&gt;0,""Depositada"",if(sum(QUERY(IMPORTRANGE(""https://docs.google.com/spreadsheets/d/1EcLIvUgMoBC5as4ikW0wuQsGH5yVZ6cQ1y16qEfgPnk"",""BD M Sangrias!a:i""),""select Col6 whe"&amp;"re Col7 = 'Caixa Atendimento' and Col9 = '""&amp;K332&amp;""' and Col6 = ""&amp;M332&amp;"" and Col4 = date '""&amp;YEAR(C332)&amp;""-""&amp;MONTH(C332)&amp;""-""&amp;DAY(C332)&amp;""'""))&gt;0,""Caixa Atendimento"",""Caixa Sangria"")),""""),""Caixa Sangria"")"),"")</f>
        <v/>
      </c>
      <c r="M332" s="185" t="str">
        <f>IFERROR(__xludf.DUMMYFUNCTION("ifna(VALUE(REGEXEXTRACT(E332,""[0-9.]+[,]+[0-9]+"")))"),"")</f>
        <v/>
      </c>
      <c r="N332" s="185"/>
      <c r="O332" s="185"/>
      <c r="P332" s="185"/>
      <c r="Q332" s="185"/>
      <c r="R332" s="185"/>
      <c r="S332" s="185"/>
      <c r="T332" s="185"/>
      <c r="U332" s="185"/>
      <c r="V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184" t="str">
        <f>IFERROR(__xludf.DUMMYFUNCTION("ifna(IF(and(D333=""Saída"",J333=""Sangria""),if(sum(QUERY(IMPORTRANGE(""https://docs.google.com/spreadsheets/d/1E4szPcLzsqlw4uyBAoJ61L1ChCgpz4wVP8tHfHW1g_c"",""BD M Sangrias!a:i""),""select Col6 where Col7 = 'Depositada' and Col9 = '""&amp;K333&amp;""' and Col6 ="&amp;" ""&amp;M333&amp;"" and Col4 = date '""&amp;YEAR(C333)&amp;""-""&amp;MONTH(C333)&amp;""-""&amp;DAY(C333)&amp;""'""))&gt;0,""Depositada"",if(sum(QUERY(IMPORTRANGE(""https://docs.google.com/spreadsheets/d/1EcLIvUgMoBC5as4ikW0wuQsGH5yVZ6cQ1y16qEfgPnk"",""BD M Sangrias!a:i""),""select Col6 whe"&amp;"re Col7 = 'Caixa Atendimento' and Col9 = '""&amp;K333&amp;""' and Col6 = ""&amp;M333&amp;"" and Col4 = date '""&amp;YEAR(C333)&amp;""-""&amp;MONTH(C333)&amp;""-""&amp;DAY(C333)&amp;""'""))&gt;0,""Caixa Atendimento"",""Caixa Sangria"")),""""),""Caixa Sangria"")"),"")</f>
        <v/>
      </c>
      <c r="M333" s="185" t="str">
        <f>IFERROR(__xludf.DUMMYFUNCTION("ifna(VALUE(REGEXEXTRACT(E333,""[0-9.]+[,]+[0-9]+"")))"),"")</f>
        <v/>
      </c>
      <c r="N333" s="185"/>
      <c r="O333" s="185"/>
      <c r="P333" s="185"/>
      <c r="Q333" s="185"/>
      <c r="R333" s="185"/>
      <c r="S333" s="185"/>
      <c r="T333" s="185"/>
      <c r="U333" s="185"/>
      <c r="V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184" t="str">
        <f>IFERROR(__xludf.DUMMYFUNCTION("ifna(IF(and(D334=""Saída"",J334=""Sangria""),if(sum(QUERY(IMPORTRANGE(""https://docs.google.com/spreadsheets/d/1E4szPcLzsqlw4uyBAoJ61L1ChCgpz4wVP8tHfHW1g_c"",""BD M Sangrias!a:i""),""select Col6 where Col7 = 'Depositada' and Col9 = '""&amp;K334&amp;""' and Col6 ="&amp;" ""&amp;M334&amp;"" and Col4 = date '""&amp;YEAR(C334)&amp;""-""&amp;MONTH(C334)&amp;""-""&amp;DAY(C334)&amp;""'""))&gt;0,""Depositada"",if(sum(QUERY(IMPORTRANGE(""https://docs.google.com/spreadsheets/d/1EcLIvUgMoBC5as4ikW0wuQsGH5yVZ6cQ1y16qEfgPnk"",""BD M Sangrias!a:i""),""select Col6 whe"&amp;"re Col7 = 'Caixa Atendimento' and Col9 = '""&amp;K334&amp;""' and Col6 = ""&amp;M334&amp;"" and Col4 = date '""&amp;YEAR(C334)&amp;""-""&amp;MONTH(C334)&amp;""-""&amp;DAY(C334)&amp;""'""))&gt;0,""Caixa Atendimento"",""Caixa Sangria"")),""""),""Caixa Sangria"")"),"")</f>
        <v/>
      </c>
      <c r="M334" s="185" t="str">
        <f>IFERROR(__xludf.DUMMYFUNCTION("ifna(VALUE(REGEXEXTRACT(E334,""[0-9.]+[,]+[0-9]+"")))"),"")</f>
        <v/>
      </c>
      <c r="N334" s="185"/>
      <c r="O334" s="185"/>
      <c r="P334" s="185"/>
      <c r="Q334" s="185"/>
      <c r="R334" s="185"/>
      <c r="S334" s="185"/>
      <c r="T334" s="185"/>
      <c r="U334" s="185"/>
      <c r="V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184" t="str">
        <f>IFERROR(__xludf.DUMMYFUNCTION("ifna(IF(and(D335=""Saída"",J335=""Sangria""),if(sum(QUERY(IMPORTRANGE(""https://docs.google.com/spreadsheets/d/1E4szPcLzsqlw4uyBAoJ61L1ChCgpz4wVP8tHfHW1g_c"",""BD M Sangrias!a:i""),""select Col6 where Col7 = 'Depositada' and Col9 = '""&amp;K335&amp;""' and Col6 ="&amp;" ""&amp;M335&amp;"" and Col4 = date '""&amp;YEAR(C335)&amp;""-""&amp;MONTH(C335)&amp;""-""&amp;DAY(C335)&amp;""'""))&gt;0,""Depositada"",if(sum(QUERY(IMPORTRANGE(""https://docs.google.com/spreadsheets/d/1EcLIvUgMoBC5as4ikW0wuQsGH5yVZ6cQ1y16qEfgPnk"",""BD M Sangrias!a:i""),""select Col6 whe"&amp;"re Col7 = 'Caixa Atendimento' and Col9 = '""&amp;K335&amp;""' and Col6 = ""&amp;M335&amp;"" and Col4 = date '""&amp;YEAR(C335)&amp;""-""&amp;MONTH(C335)&amp;""-""&amp;DAY(C335)&amp;""'""))&gt;0,""Caixa Atendimento"",""Caixa Sangria"")),""""),""Caixa Sangria"")"),"")</f>
        <v/>
      </c>
      <c r="M335" s="185" t="str">
        <f>IFERROR(__xludf.DUMMYFUNCTION("ifna(VALUE(REGEXEXTRACT(E335,""[0-9.]+[,]+[0-9]+"")))"),"")</f>
        <v/>
      </c>
      <c r="N335" s="185"/>
      <c r="O335" s="185"/>
      <c r="P335" s="185"/>
      <c r="Q335" s="185"/>
      <c r="R335" s="185"/>
      <c r="S335" s="185"/>
      <c r="T335" s="185"/>
      <c r="U335" s="185"/>
      <c r="V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184" t="str">
        <f>IFERROR(__xludf.DUMMYFUNCTION("ifna(IF(and(D336=""Saída"",J336=""Sangria""),if(sum(QUERY(IMPORTRANGE(""https://docs.google.com/spreadsheets/d/1E4szPcLzsqlw4uyBAoJ61L1ChCgpz4wVP8tHfHW1g_c"",""BD M Sangrias!a:i""),""select Col6 where Col7 = 'Depositada' and Col9 = '""&amp;K336&amp;""' and Col6 ="&amp;" ""&amp;M336&amp;"" and Col4 = date '""&amp;YEAR(C336)&amp;""-""&amp;MONTH(C336)&amp;""-""&amp;DAY(C336)&amp;""'""))&gt;0,""Depositada"",if(sum(QUERY(IMPORTRANGE(""https://docs.google.com/spreadsheets/d/1EcLIvUgMoBC5as4ikW0wuQsGH5yVZ6cQ1y16qEfgPnk"",""BD M Sangrias!a:i""),""select Col6 whe"&amp;"re Col7 = 'Caixa Atendimento' and Col9 = '""&amp;K336&amp;""' and Col6 = ""&amp;M336&amp;"" and Col4 = date '""&amp;YEAR(C336)&amp;""-""&amp;MONTH(C336)&amp;""-""&amp;DAY(C336)&amp;""'""))&gt;0,""Caixa Atendimento"",""Caixa Sangria"")),""""),""Caixa Sangria"")"),"")</f>
        <v/>
      </c>
      <c r="M336" s="185" t="str">
        <f>IFERROR(__xludf.DUMMYFUNCTION("ifna(VALUE(REGEXEXTRACT(E336,""[0-9.]+[,]+[0-9]+"")))"),"")</f>
        <v/>
      </c>
      <c r="N336" s="185"/>
      <c r="O336" s="185"/>
      <c r="P336" s="185"/>
      <c r="Q336" s="185"/>
      <c r="R336" s="185"/>
      <c r="S336" s="185"/>
      <c r="T336" s="185"/>
      <c r="U336" s="185"/>
      <c r="V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184" t="str">
        <f>IFERROR(__xludf.DUMMYFUNCTION("ifna(IF(and(D337=""Saída"",J337=""Sangria""),if(sum(QUERY(IMPORTRANGE(""https://docs.google.com/spreadsheets/d/1E4szPcLzsqlw4uyBAoJ61L1ChCgpz4wVP8tHfHW1g_c"",""BD M Sangrias!a:i""),""select Col6 where Col7 = 'Depositada' and Col9 = '""&amp;K337&amp;""' and Col6 ="&amp;" ""&amp;M337&amp;"" and Col4 = date '""&amp;YEAR(C337)&amp;""-""&amp;MONTH(C337)&amp;""-""&amp;DAY(C337)&amp;""'""))&gt;0,""Depositada"",if(sum(QUERY(IMPORTRANGE(""https://docs.google.com/spreadsheets/d/1EcLIvUgMoBC5as4ikW0wuQsGH5yVZ6cQ1y16qEfgPnk"",""BD M Sangrias!a:i""),""select Col6 whe"&amp;"re Col7 = 'Caixa Atendimento' and Col9 = '""&amp;K337&amp;""' and Col6 = ""&amp;M337&amp;"" and Col4 = date '""&amp;YEAR(C337)&amp;""-""&amp;MONTH(C337)&amp;""-""&amp;DAY(C337)&amp;""'""))&gt;0,""Caixa Atendimento"",""Caixa Sangria"")),""""),""Caixa Sangria"")"),"")</f>
        <v/>
      </c>
      <c r="M337" s="185" t="str">
        <f>IFERROR(__xludf.DUMMYFUNCTION("ifna(VALUE(REGEXEXTRACT(E337,""[0-9.]+[,]+[0-9]+"")))"),"")</f>
        <v/>
      </c>
      <c r="N337" s="185"/>
      <c r="O337" s="185"/>
      <c r="P337" s="185"/>
      <c r="Q337" s="185"/>
      <c r="R337" s="185"/>
      <c r="S337" s="185"/>
      <c r="T337" s="185"/>
      <c r="U337" s="185"/>
      <c r="V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184" t="str">
        <f>IFERROR(__xludf.DUMMYFUNCTION("ifna(IF(and(D338=""Saída"",J338=""Sangria""),if(sum(QUERY(IMPORTRANGE(""https://docs.google.com/spreadsheets/d/1E4szPcLzsqlw4uyBAoJ61L1ChCgpz4wVP8tHfHW1g_c"",""BD M Sangrias!a:i""),""select Col6 where Col7 = 'Depositada' and Col9 = '""&amp;K338&amp;""' and Col6 ="&amp;" ""&amp;M338&amp;"" and Col4 = date '""&amp;YEAR(C338)&amp;""-""&amp;MONTH(C338)&amp;""-""&amp;DAY(C338)&amp;""'""))&gt;0,""Depositada"",if(sum(QUERY(IMPORTRANGE(""https://docs.google.com/spreadsheets/d/1EcLIvUgMoBC5as4ikW0wuQsGH5yVZ6cQ1y16qEfgPnk"",""BD M Sangrias!a:i""),""select Col6 whe"&amp;"re Col7 = 'Caixa Atendimento' and Col9 = '""&amp;K338&amp;""' and Col6 = ""&amp;M338&amp;"" and Col4 = date '""&amp;YEAR(C338)&amp;""-""&amp;MONTH(C338)&amp;""-""&amp;DAY(C338)&amp;""'""))&gt;0,""Caixa Atendimento"",""Caixa Sangria"")),""""),""Caixa Sangria"")"),"")</f>
        <v/>
      </c>
      <c r="M338" s="185" t="str">
        <f>IFERROR(__xludf.DUMMYFUNCTION("ifna(VALUE(REGEXEXTRACT(E338,""[0-9.]+[,]+[0-9]+"")))"),"")</f>
        <v/>
      </c>
      <c r="N338" s="185"/>
      <c r="O338" s="185"/>
      <c r="P338" s="185"/>
      <c r="Q338" s="185"/>
      <c r="R338" s="185"/>
      <c r="S338" s="185"/>
      <c r="T338" s="185"/>
      <c r="U338" s="185"/>
      <c r="V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184" t="str">
        <f>IFERROR(__xludf.DUMMYFUNCTION("ifna(IF(and(D339=""Saída"",J339=""Sangria""),if(sum(QUERY(IMPORTRANGE(""https://docs.google.com/spreadsheets/d/1E4szPcLzsqlw4uyBAoJ61L1ChCgpz4wVP8tHfHW1g_c"",""BD M Sangrias!a:i""),""select Col6 where Col7 = 'Depositada' and Col9 = '""&amp;K339&amp;""' and Col6 ="&amp;" ""&amp;M339&amp;"" and Col4 = date '""&amp;YEAR(C339)&amp;""-""&amp;MONTH(C339)&amp;""-""&amp;DAY(C339)&amp;""'""))&gt;0,""Depositada"",if(sum(QUERY(IMPORTRANGE(""https://docs.google.com/spreadsheets/d/1EcLIvUgMoBC5as4ikW0wuQsGH5yVZ6cQ1y16qEfgPnk"",""BD M Sangrias!a:i""),""select Col6 whe"&amp;"re Col7 = 'Caixa Atendimento' and Col9 = '""&amp;K339&amp;""' and Col6 = ""&amp;M339&amp;"" and Col4 = date '""&amp;YEAR(C339)&amp;""-""&amp;MONTH(C339)&amp;""-""&amp;DAY(C339)&amp;""'""))&gt;0,""Caixa Atendimento"",""Caixa Sangria"")),""""),""Caixa Sangria"")"),"")</f>
        <v/>
      </c>
      <c r="M339" s="185" t="str">
        <f>IFERROR(__xludf.DUMMYFUNCTION("ifna(VALUE(REGEXEXTRACT(E339,""[0-9.]+[,]+[0-9]+"")))"),"")</f>
        <v/>
      </c>
      <c r="N339" s="185"/>
      <c r="O339" s="185"/>
      <c r="P339" s="185"/>
      <c r="Q339" s="185"/>
      <c r="R339" s="185"/>
      <c r="S339" s="185"/>
      <c r="T339" s="185"/>
      <c r="U339" s="185"/>
      <c r="V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184" t="str">
        <f>IFERROR(__xludf.DUMMYFUNCTION("ifna(IF(and(D340=""Saída"",J340=""Sangria""),if(sum(QUERY(IMPORTRANGE(""https://docs.google.com/spreadsheets/d/1E4szPcLzsqlw4uyBAoJ61L1ChCgpz4wVP8tHfHW1g_c"",""BD M Sangrias!a:i""),""select Col6 where Col7 = 'Depositada' and Col9 = '""&amp;K340&amp;""' and Col6 ="&amp;" ""&amp;M340&amp;"" and Col4 = date '""&amp;YEAR(C340)&amp;""-""&amp;MONTH(C340)&amp;""-""&amp;DAY(C340)&amp;""'""))&gt;0,""Depositada"",if(sum(QUERY(IMPORTRANGE(""https://docs.google.com/spreadsheets/d/1EcLIvUgMoBC5as4ikW0wuQsGH5yVZ6cQ1y16qEfgPnk"",""BD M Sangrias!a:i""),""select Col6 whe"&amp;"re Col7 = 'Caixa Atendimento' and Col9 = '""&amp;K340&amp;""' and Col6 = ""&amp;M340&amp;"" and Col4 = date '""&amp;YEAR(C340)&amp;""-""&amp;MONTH(C340)&amp;""-""&amp;DAY(C340)&amp;""'""))&gt;0,""Caixa Atendimento"",""Caixa Sangria"")),""""),""Caixa Sangria"")"),"")</f>
        <v/>
      </c>
      <c r="M340" s="185" t="str">
        <f>IFERROR(__xludf.DUMMYFUNCTION("ifna(VALUE(REGEXEXTRACT(E340,""[0-9.]+[,]+[0-9]+"")))"),"")</f>
        <v/>
      </c>
      <c r="N340" s="185"/>
      <c r="O340" s="185"/>
      <c r="P340" s="185"/>
      <c r="Q340" s="185"/>
      <c r="R340" s="185"/>
      <c r="S340" s="185"/>
      <c r="T340" s="185"/>
      <c r="U340" s="185"/>
      <c r="V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184" t="str">
        <f>IFERROR(__xludf.DUMMYFUNCTION("ifna(IF(and(D341=""Saída"",J341=""Sangria""),if(sum(QUERY(IMPORTRANGE(""https://docs.google.com/spreadsheets/d/1E4szPcLzsqlw4uyBAoJ61L1ChCgpz4wVP8tHfHW1g_c"",""BD M Sangrias!a:i""),""select Col6 where Col7 = 'Depositada' and Col9 = '""&amp;K341&amp;""' and Col6 ="&amp;" ""&amp;M341&amp;"" and Col4 = date '""&amp;YEAR(C341)&amp;""-""&amp;MONTH(C341)&amp;""-""&amp;DAY(C341)&amp;""'""))&gt;0,""Depositada"",if(sum(QUERY(IMPORTRANGE(""https://docs.google.com/spreadsheets/d/1EcLIvUgMoBC5as4ikW0wuQsGH5yVZ6cQ1y16qEfgPnk"",""BD M Sangrias!a:i""),""select Col6 whe"&amp;"re Col7 = 'Caixa Atendimento' and Col9 = '""&amp;K341&amp;""' and Col6 = ""&amp;M341&amp;"" and Col4 = date '""&amp;YEAR(C341)&amp;""-""&amp;MONTH(C341)&amp;""-""&amp;DAY(C341)&amp;""'""))&gt;0,""Caixa Atendimento"",""Caixa Sangria"")),""""),""Caixa Sangria"")"),"")</f>
        <v/>
      </c>
      <c r="M341" s="185" t="str">
        <f>IFERROR(__xludf.DUMMYFUNCTION("ifna(VALUE(REGEXEXTRACT(E341,""[0-9.]+[,]+[0-9]+"")))"),"")</f>
        <v/>
      </c>
      <c r="N341" s="185"/>
      <c r="O341" s="185"/>
      <c r="P341" s="185"/>
      <c r="Q341" s="185"/>
      <c r="R341" s="185"/>
      <c r="S341" s="185"/>
      <c r="T341" s="185"/>
      <c r="U341" s="185"/>
      <c r="V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184" t="str">
        <f>IFERROR(__xludf.DUMMYFUNCTION("ifna(IF(and(D342=""Saída"",J342=""Sangria""),if(sum(QUERY(IMPORTRANGE(""https://docs.google.com/spreadsheets/d/1E4szPcLzsqlw4uyBAoJ61L1ChCgpz4wVP8tHfHW1g_c"",""BD M Sangrias!a:i""),""select Col6 where Col7 = 'Depositada' and Col9 = '""&amp;K342&amp;""' and Col6 ="&amp;" ""&amp;M342&amp;"" and Col4 = date '""&amp;YEAR(C342)&amp;""-""&amp;MONTH(C342)&amp;""-""&amp;DAY(C342)&amp;""'""))&gt;0,""Depositada"",if(sum(QUERY(IMPORTRANGE(""https://docs.google.com/spreadsheets/d/1EcLIvUgMoBC5as4ikW0wuQsGH5yVZ6cQ1y16qEfgPnk"",""BD M Sangrias!a:i""),""select Col6 whe"&amp;"re Col7 = 'Caixa Atendimento' and Col9 = '""&amp;K342&amp;""' and Col6 = ""&amp;M342&amp;"" and Col4 = date '""&amp;YEAR(C342)&amp;""-""&amp;MONTH(C342)&amp;""-""&amp;DAY(C342)&amp;""'""))&gt;0,""Caixa Atendimento"",""Caixa Sangria"")),""""),""Caixa Sangria"")"),"")</f>
        <v/>
      </c>
      <c r="M342" s="185" t="str">
        <f>IFERROR(__xludf.DUMMYFUNCTION("ifna(VALUE(REGEXEXTRACT(E342,""[0-9.]+[,]+[0-9]+"")))"),"")</f>
        <v/>
      </c>
      <c r="N342" s="185"/>
      <c r="O342" s="185"/>
      <c r="P342" s="185"/>
      <c r="Q342" s="185"/>
      <c r="R342" s="185"/>
      <c r="S342" s="185"/>
      <c r="T342" s="185"/>
      <c r="U342" s="185"/>
      <c r="V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184" t="str">
        <f>IFERROR(__xludf.DUMMYFUNCTION("ifna(IF(and(D343=""Saída"",J343=""Sangria""),if(sum(QUERY(IMPORTRANGE(""https://docs.google.com/spreadsheets/d/1E4szPcLzsqlw4uyBAoJ61L1ChCgpz4wVP8tHfHW1g_c"",""BD M Sangrias!a:i""),""select Col6 where Col7 = 'Depositada' and Col9 = '""&amp;K343&amp;""' and Col6 ="&amp;" ""&amp;M343&amp;"" and Col4 = date '""&amp;YEAR(C343)&amp;""-""&amp;MONTH(C343)&amp;""-""&amp;DAY(C343)&amp;""'""))&gt;0,""Depositada"",if(sum(QUERY(IMPORTRANGE(""https://docs.google.com/spreadsheets/d/1EcLIvUgMoBC5as4ikW0wuQsGH5yVZ6cQ1y16qEfgPnk"",""BD M Sangrias!a:i""),""select Col6 whe"&amp;"re Col7 = 'Caixa Atendimento' and Col9 = '""&amp;K343&amp;""' and Col6 = ""&amp;M343&amp;"" and Col4 = date '""&amp;YEAR(C343)&amp;""-""&amp;MONTH(C343)&amp;""-""&amp;DAY(C343)&amp;""'""))&gt;0,""Caixa Atendimento"",""Caixa Sangria"")),""""),""Caixa Sangria"")"),"")</f>
        <v/>
      </c>
      <c r="M343" s="185" t="str">
        <f>IFERROR(__xludf.DUMMYFUNCTION("ifna(VALUE(REGEXEXTRACT(E343,""[0-9.]+[,]+[0-9]+"")))"),"")</f>
        <v/>
      </c>
      <c r="N343" s="185"/>
      <c r="O343" s="185"/>
      <c r="P343" s="185"/>
      <c r="Q343" s="185"/>
      <c r="R343" s="185"/>
      <c r="S343" s="185"/>
      <c r="T343" s="185"/>
      <c r="U343" s="185"/>
      <c r="V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184" t="str">
        <f>IFERROR(__xludf.DUMMYFUNCTION("ifna(IF(and(D344=""Saída"",J344=""Sangria""),if(sum(QUERY(IMPORTRANGE(""https://docs.google.com/spreadsheets/d/1E4szPcLzsqlw4uyBAoJ61L1ChCgpz4wVP8tHfHW1g_c"",""BD M Sangrias!a:i""),""select Col6 where Col7 = 'Depositada' and Col9 = '""&amp;K344&amp;""' and Col6 ="&amp;" ""&amp;M344&amp;"" and Col4 = date '""&amp;YEAR(C344)&amp;""-""&amp;MONTH(C344)&amp;""-""&amp;DAY(C344)&amp;""'""))&gt;0,""Depositada"",if(sum(QUERY(IMPORTRANGE(""https://docs.google.com/spreadsheets/d/1EcLIvUgMoBC5as4ikW0wuQsGH5yVZ6cQ1y16qEfgPnk"",""BD M Sangrias!a:i""),""select Col6 whe"&amp;"re Col7 = 'Caixa Atendimento' and Col9 = '""&amp;K344&amp;""' and Col6 = ""&amp;M344&amp;"" and Col4 = date '""&amp;YEAR(C344)&amp;""-""&amp;MONTH(C344)&amp;""-""&amp;DAY(C344)&amp;""'""))&gt;0,""Caixa Atendimento"",""Caixa Sangria"")),""""),""Caixa Sangria"")"),"")</f>
        <v/>
      </c>
      <c r="M344" s="185" t="str">
        <f>IFERROR(__xludf.DUMMYFUNCTION("ifna(VALUE(REGEXEXTRACT(E344,""[0-9.]+[,]+[0-9]+"")))"),"")</f>
        <v/>
      </c>
      <c r="N344" s="185"/>
      <c r="O344" s="185"/>
      <c r="P344" s="185"/>
      <c r="Q344" s="185"/>
      <c r="R344" s="185"/>
      <c r="S344" s="185"/>
      <c r="T344" s="185"/>
      <c r="U344" s="185"/>
      <c r="V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184" t="str">
        <f>IFERROR(__xludf.DUMMYFUNCTION("ifna(IF(and(D345=""Saída"",J345=""Sangria""),if(sum(QUERY(IMPORTRANGE(""https://docs.google.com/spreadsheets/d/1E4szPcLzsqlw4uyBAoJ61L1ChCgpz4wVP8tHfHW1g_c"",""BD M Sangrias!a:i""),""select Col6 where Col7 = 'Depositada' and Col9 = '""&amp;K345&amp;""' and Col6 ="&amp;" ""&amp;M345&amp;"" and Col4 = date '""&amp;YEAR(C345)&amp;""-""&amp;MONTH(C345)&amp;""-""&amp;DAY(C345)&amp;""'""))&gt;0,""Depositada"",if(sum(QUERY(IMPORTRANGE(""https://docs.google.com/spreadsheets/d/1EcLIvUgMoBC5as4ikW0wuQsGH5yVZ6cQ1y16qEfgPnk"",""BD M Sangrias!a:i""),""select Col6 whe"&amp;"re Col7 = 'Caixa Atendimento' and Col9 = '""&amp;K345&amp;""' and Col6 = ""&amp;M345&amp;"" and Col4 = date '""&amp;YEAR(C345)&amp;""-""&amp;MONTH(C345)&amp;""-""&amp;DAY(C345)&amp;""'""))&gt;0,""Caixa Atendimento"",""Caixa Sangria"")),""""),""Caixa Sangria"")"),"")</f>
        <v/>
      </c>
      <c r="M345" s="185" t="str">
        <f>IFERROR(__xludf.DUMMYFUNCTION("ifna(VALUE(REGEXEXTRACT(E345,""[0-9.]+[,]+[0-9]+"")))"),"")</f>
        <v/>
      </c>
      <c r="N345" s="185"/>
      <c r="O345" s="185"/>
      <c r="P345" s="185"/>
      <c r="Q345" s="185"/>
      <c r="R345" s="185"/>
      <c r="S345" s="185"/>
      <c r="T345" s="185"/>
      <c r="U345" s="185"/>
      <c r="V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184" t="str">
        <f>IFERROR(__xludf.DUMMYFUNCTION("ifna(IF(and(D346=""Saída"",J346=""Sangria""),if(sum(QUERY(IMPORTRANGE(""https://docs.google.com/spreadsheets/d/1E4szPcLzsqlw4uyBAoJ61L1ChCgpz4wVP8tHfHW1g_c"",""BD M Sangrias!a:i""),""select Col6 where Col7 = 'Depositada' and Col9 = '""&amp;K346&amp;""' and Col6 ="&amp;" ""&amp;M346&amp;"" and Col4 = date '""&amp;YEAR(C346)&amp;""-""&amp;MONTH(C346)&amp;""-""&amp;DAY(C346)&amp;""'""))&gt;0,""Depositada"",if(sum(QUERY(IMPORTRANGE(""https://docs.google.com/spreadsheets/d/1EcLIvUgMoBC5as4ikW0wuQsGH5yVZ6cQ1y16qEfgPnk"",""BD M Sangrias!a:i""),""select Col6 whe"&amp;"re Col7 = 'Caixa Atendimento' and Col9 = '""&amp;K346&amp;""' and Col6 = ""&amp;M346&amp;"" and Col4 = date '""&amp;YEAR(C346)&amp;""-""&amp;MONTH(C346)&amp;""-""&amp;DAY(C346)&amp;""'""))&gt;0,""Caixa Atendimento"",""Caixa Sangria"")),""""),""Caixa Sangria"")"),"")</f>
        <v/>
      </c>
      <c r="M346" s="185" t="str">
        <f>IFERROR(__xludf.DUMMYFUNCTION("ifna(VALUE(REGEXEXTRACT(E346,""[0-9.]+[,]+[0-9]+"")))"),"")</f>
        <v/>
      </c>
      <c r="N346" s="185"/>
      <c r="O346" s="185"/>
      <c r="P346" s="185"/>
      <c r="Q346" s="185"/>
      <c r="R346" s="185"/>
      <c r="S346" s="185"/>
      <c r="T346" s="185"/>
      <c r="U346" s="185"/>
      <c r="V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184" t="str">
        <f>IFERROR(__xludf.DUMMYFUNCTION("ifna(IF(and(D347=""Saída"",J347=""Sangria""),if(sum(QUERY(IMPORTRANGE(""https://docs.google.com/spreadsheets/d/1E4szPcLzsqlw4uyBAoJ61L1ChCgpz4wVP8tHfHW1g_c"",""BD M Sangrias!a:i""),""select Col6 where Col7 = 'Depositada' and Col9 = '""&amp;K347&amp;""' and Col6 ="&amp;" ""&amp;M347&amp;"" and Col4 = date '""&amp;YEAR(C347)&amp;""-""&amp;MONTH(C347)&amp;""-""&amp;DAY(C347)&amp;""'""))&gt;0,""Depositada"",if(sum(QUERY(IMPORTRANGE(""https://docs.google.com/spreadsheets/d/1EcLIvUgMoBC5as4ikW0wuQsGH5yVZ6cQ1y16qEfgPnk"",""BD M Sangrias!a:i""),""select Col6 whe"&amp;"re Col7 = 'Caixa Atendimento' and Col9 = '""&amp;K347&amp;""' and Col6 = ""&amp;M347&amp;"" and Col4 = date '""&amp;YEAR(C347)&amp;""-""&amp;MONTH(C347)&amp;""-""&amp;DAY(C347)&amp;""'""))&gt;0,""Caixa Atendimento"",""Caixa Sangria"")),""""),""Caixa Sangria"")"),"")</f>
        <v/>
      </c>
      <c r="M347" s="185" t="str">
        <f>IFERROR(__xludf.DUMMYFUNCTION("ifna(VALUE(REGEXEXTRACT(E347,""[0-9.]+[,]+[0-9]+"")))"),"")</f>
        <v/>
      </c>
      <c r="N347" s="185"/>
      <c r="O347" s="185"/>
      <c r="P347" s="185"/>
      <c r="Q347" s="185"/>
      <c r="R347" s="185"/>
      <c r="S347" s="185"/>
      <c r="T347" s="185"/>
      <c r="U347" s="185"/>
      <c r="V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184" t="str">
        <f>IFERROR(__xludf.DUMMYFUNCTION("ifna(IF(and(D348=""Saída"",J348=""Sangria""),if(sum(QUERY(IMPORTRANGE(""https://docs.google.com/spreadsheets/d/1E4szPcLzsqlw4uyBAoJ61L1ChCgpz4wVP8tHfHW1g_c"",""BD M Sangrias!a:i""),""select Col6 where Col7 = 'Depositada' and Col9 = '""&amp;K348&amp;""' and Col6 ="&amp;" ""&amp;M348&amp;"" and Col4 = date '""&amp;YEAR(C348)&amp;""-""&amp;MONTH(C348)&amp;""-""&amp;DAY(C348)&amp;""'""))&gt;0,""Depositada"",if(sum(QUERY(IMPORTRANGE(""https://docs.google.com/spreadsheets/d/1EcLIvUgMoBC5as4ikW0wuQsGH5yVZ6cQ1y16qEfgPnk"",""BD M Sangrias!a:i""),""select Col6 whe"&amp;"re Col7 = 'Caixa Atendimento' and Col9 = '""&amp;K348&amp;""' and Col6 = ""&amp;M348&amp;"" and Col4 = date '""&amp;YEAR(C348)&amp;""-""&amp;MONTH(C348)&amp;""-""&amp;DAY(C348)&amp;""'""))&gt;0,""Caixa Atendimento"",""Caixa Sangria"")),""""),""Caixa Sangria"")"),"")</f>
        <v/>
      </c>
      <c r="M348" s="185" t="str">
        <f>IFERROR(__xludf.DUMMYFUNCTION("ifna(VALUE(REGEXEXTRACT(E348,""[0-9.]+[,]+[0-9]+"")))"),"")</f>
        <v/>
      </c>
      <c r="N348" s="185"/>
      <c r="O348" s="185"/>
      <c r="P348" s="185"/>
      <c r="Q348" s="185"/>
      <c r="R348" s="185"/>
      <c r="S348" s="185"/>
      <c r="T348" s="185"/>
      <c r="U348" s="185"/>
      <c r="V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184" t="str">
        <f>IFERROR(__xludf.DUMMYFUNCTION("ifna(IF(and(D349=""Saída"",J349=""Sangria""),if(sum(QUERY(IMPORTRANGE(""https://docs.google.com/spreadsheets/d/1E4szPcLzsqlw4uyBAoJ61L1ChCgpz4wVP8tHfHW1g_c"",""BD M Sangrias!a:i""),""select Col6 where Col7 = 'Depositada' and Col9 = '""&amp;K349&amp;""' and Col6 ="&amp;" ""&amp;M349&amp;"" and Col4 = date '""&amp;YEAR(C349)&amp;""-""&amp;MONTH(C349)&amp;""-""&amp;DAY(C349)&amp;""'""))&gt;0,""Depositada"",if(sum(QUERY(IMPORTRANGE(""https://docs.google.com/spreadsheets/d/1EcLIvUgMoBC5as4ikW0wuQsGH5yVZ6cQ1y16qEfgPnk"",""BD M Sangrias!a:i""),""select Col6 whe"&amp;"re Col7 = 'Caixa Atendimento' and Col9 = '""&amp;K349&amp;""' and Col6 = ""&amp;M349&amp;"" and Col4 = date '""&amp;YEAR(C349)&amp;""-""&amp;MONTH(C349)&amp;""-""&amp;DAY(C349)&amp;""'""))&gt;0,""Caixa Atendimento"",""Caixa Sangria"")),""""),""Caixa Sangria"")"),"")</f>
        <v/>
      </c>
      <c r="M349" s="185" t="str">
        <f>IFERROR(__xludf.DUMMYFUNCTION("ifna(VALUE(REGEXEXTRACT(E349,""[0-9.]+[,]+[0-9]+"")))"),"")</f>
        <v/>
      </c>
      <c r="N349" s="185"/>
      <c r="O349" s="185"/>
      <c r="P349" s="185"/>
      <c r="Q349" s="185"/>
      <c r="R349" s="185"/>
      <c r="S349" s="185"/>
      <c r="T349" s="185"/>
      <c r="U349" s="185"/>
      <c r="V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184" t="str">
        <f>IFERROR(__xludf.DUMMYFUNCTION("ifna(IF(and(D350=""Saída"",J350=""Sangria""),if(sum(QUERY(IMPORTRANGE(""https://docs.google.com/spreadsheets/d/1E4szPcLzsqlw4uyBAoJ61L1ChCgpz4wVP8tHfHW1g_c"",""BD M Sangrias!a:i""),""select Col6 where Col7 = 'Depositada' and Col9 = '""&amp;K350&amp;""' and Col6 ="&amp;" ""&amp;M350&amp;"" and Col4 = date '""&amp;YEAR(C350)&amp;""-""&amp;MONTH(C350)&amp;""-""&amp;DAY(C350)&amp;""'""))&gt;0,""Depositada"",if(sum(QUERY(IMPORTRANGE(""https://docs.google.com/spreadsheets/d/1EcLIvUgMoBC5as4ikW0wuQsGH5yVZ6cQ1y16qEfgPnk"",""BD M Sangrias!a:i""),""select Col6 whe"&amp;"re Col7 = 'Caixa Atendimento' and Col9 = '""&amp;K350&amp;""' and Col6 = ""&amp;M350&amp;"" and Col4 = date '""&amp;YEAR(C350)&amp;""-""&amp;MONTH(C350)&amp;""-""&amp;DAY(C350)&amp;""'""))&gt;0,""Caixa Atendimento"",""Caixa Sangria"")),""""),""Caixa Sangria"")"),"")</f>
        <v/>
      </c>
      <c r="M350" s="185" t="str">
        <f>IFERROR(__xludf.DUMMYFUNCTION("ifna(VALUE(REGEXEXTRACT(E350,""[0-9.]+[,]+[0-9]+"")))"),"")</f>
        <v/>
      </c>
      <c r="N350" s="185"/>
      <c r="O350" s="185"/>
      <c r="P350" s="185"/>
      <c r="Q350" s="185"/>
      <c r="R350" s="185"/>
      <c r="S350" s="185"/>
      <c r="T350" s="185"/>
      <c r="U350" s="185"/>
      <c r="V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184" t="str">
        <f>IFERROR(__xludf.DUMMYFUNCTION("ifna(IF(and(D351=""Saída"",J351=""Sangria""),if(sum(QUERY(IMPORTRANGE(""https://docs.google.com/spreadsheets/d/1E4szPcLzsqlw4uyBAoJ61L1ChCgpz4wVP8tHfHW1g_c"",""BD M Sangrias!a:i""),""select Col6 where Col7 = 'Depositada' and Col9 = '""&amp;K351&amp;""' and Col6 ="&amp;" ""&amp;M351&amp;"" and Col4 = date '""&amp;YEAR(C351)&amp;""-""&amp;MONTH(C351)&amp;""-""&amp;DAY(C351)&amp;""'""))&gt;0,""Depositada"",if(sum(QUERY(IMPORTRANGE(""https://docs.google.com/spreadsheets/d/1EcLIvUgMoBC5as4ikW0wuQsGH5yVZ6cQ1y16qEfgPnk"",""BD M Sangrias!a:i""),""select Col6 whe"&amp;"re Col7 = 'Caixa Atendimento' and Col9 = '""&amp;K351&amp;""' and Col6 = ""&amp;M351&amp;"" and Col4 = date '""&amp;YEAR(C351)&amp;""-""&amp;MONTH(C351)&amp;""-""&amp;DAY(C351)&amp;""'""))&gt;0,""Caixa Atendimento"",""Caixa Sangria"")),""""),""Caixa Sangria"")"),"")</f>
        <v/>
      </c>
      <c r="M351" s="185" t="str">
        <f>IFERROR(__xludf.DUMMYFUNCTION("ifna(VALUE(REGEXEXTRACT(E351,""[0-9.]+[,]+[0-9]+"")))"),"")</f>
        <v/>
      </c>
      <c r="N351" s="185"/>
      <c r="O351" s="185"/>
      <c r="P351" s="185"/>
      <c r="Q351" s="185"/>
      <c r="R351" s="185"/>
      <c r="S351" s="185"/>
      <c r="T351" s="185"/>
      <c r="U351" s="185"/>
      <c r="V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184" t="str">
        <f>IFERROR(__xludf.DUMMYFUNCTION("ifna(IF(and(D352=""Saída"",J352=""Sangria""),if(sum(QUERY(IMPORTRANGE(""https://docs.google.com/spreadsheets/d/1E4szPcLzsqlw4uyBAoJ61L1ChCgpz4wVP8tHfHW1g_c"",""BD M Sangrias!a:i""),""select Col6 where Col7 = 'Depositada' and Col9 = '""&amp;K352&amp;""' and Col6 ="&amp;" ""&amp;M352&amp;"" and Col4 = date '""&amp;YEAR(C352)&amp;""-""&amp;MONTH(C352)&amp;""-""&amp;DAY(C352)&amp;""'""))&gt;0,""Depositada"",if(sum(QUERY(IMPORTRANGE(""https://docs.google.com/spreadsheets/d/1EcLIvUgMoBC5as4ikW0wuQsGH5yVZ6cQ1y16qEfgPnk"",""BD M Sangrias!a:i""),""select Col6 whe"&amp;"re Col7 = 'Caixa Atendimento' and Col9 = '""&amp;K352&amp;""' and Col6 = ""&amp;M352&amp;"" and Col4 = date '""&amp;YEAR(C352)&amp;""-""&amp;MONTH(C352)&amp;""-""&amp;DAY(C352)&amp;""'""))&gt;0,""Caixa Atendimento"",""Caixa Sangria"")),""""),""Caixa Sangria"")"),"")</f>
        <v/>
      </c>
      <c r="M352" s="185" t="str">
        <f>IFERROR(__xludf.DUMMYFUNCTION("ifna(VALUE(REGEXEXTRACT(E352,""[0-9.]+[,]+[0-9]+"")))"),"")</f>
        <v/>
      </c>
      <c r="N352" s="185"/>
      <c r="O352" s="185"/>
      <c r="P352" s="185"/>
      <c r="Q352" s="185"/>
      <c r="R352" s="185"/>
      <c r="S352" s="185"/>
      <c r="T352" s="185"/>
      <c r="U352" s="185"/>
      <c r="V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184" t="str">
        <f>IFERROR(__xludf.DUMMYFUNCTION("ifna(IF(and(D353=""Saída"",J353=""Sangria""),if(sum(QUERY(IMPORTRANGE(""https://docs.google.com/spreadsheets/d/1E4szPcLzsqlw4uyBAoJ61L1ChCgpz4wVP8tHfHW1g_c"",""BD M Sangrias!a:i""),""select Col6 where Col7 = 'Depositada' and Col9 = '""&amp;K353&amp;""' and Col6 ="&amp;" ""&amp;M353&amp;"" and Col4 = date '""&amp;YEAR(C353)&amp;""-""&amp;MONTH(C353)&amp;""-""&amp;DAY(C353)&amp;""'""))&gt;0,""Depositada"",if(sum(QUERY(IMPORTRANGE(""https://docs.google.com/spreadsheets/d/1EcLIvUgMoBC5as4ikW0wuQsGH5yVZ6cQ1y16qEfgPnk"",""BD M Sangrias!a:i""),""select Col6 whe"&amp;"re Col7 = 'Caixa Atendimento' and Col9 = '""&amp;K353&amp;""' and Col6 = ""&amp;M353&amp;"" and Col4 = date '""&amp;YEAR(C353)&amp;""-""&amp;MONTH(C353)&amp;""-""&amp;DAY(C353)&amp;""'""))&gt;0,""Caixa Atendimento"",""Caixa Sangria"")),""""),""Caixa Sangria"")"),"")</f>
        <v/>
      </c>
      <c r="M353" s="185" t="str">
        <f>IFERROR(__xludf.DUMMYFUNCTION("ifna(VALUE(REGEXEXTRACT(E353,""[0-9.]+[,]+[0-9]+"")))"),"")</f>
        <v/>
      </c>
      <c r="N353" s="185"/>
      <c r="O353" s="185"/>
      <c r="P353" s="185"/>
      <c r="Q353" s="185"/>
      <c r="R353" s="185"/>
      <c r="S353" s="185"/>
      <c r="T353" s="185"/>
      <c r="U353" s="185"/>
      <c r="V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184" t="str">
        <f>IFERROR(__xludf.DUMMYFUNCTION("ifna(IF(and(D354=""Saída"",J354=""Sangria""),if(sum(QUERY(IMPORTRANGE(""https://docs.google.com/spreadsheets/d/1E4szPcLzsqlw4uyBAoJ61L1ChCgpz4wVP8tHfHW1g_c"",""BD M Sangrias!a:i""),""select Col6 where Col7 = 'Depositada' and Col9 = '""&amp;K354&amp;""' and Col6 ="&amp;" ""&amp;M354&amp;"" and Col4 = date '""&amp;YEAR(C354)&amp;""-""&amp;MONTH(C354)&amp;""-""&amp;DAY(C354)&amp;""'""))&gt;0,""Depositada"",if(sum(QUERY(IMPORTRANGE(""https://docs.google.com/spreadsheets/d/1EcLIvUgMoBC5as4ikW0wuQsGH5yVZ6cQ1y16qEfgPnk"",""BD M Sangrias!a:i""),""select Col6 whe"&amp;"re Col7 = 'Caixa Atendimento' and Col9 = '""&amp;K354&amp;""' and Col6 = ""&amp;M354&amp;"" and Col4 = date '""&amp;YEAR(C354)&amp;""-""&amp;MONTH(C354)&amp;""-""&amp;DAY(C354)&amp;""'""))&gt;0,""Caixa Atendimento"",""Caixa Sangria"")),""""),""Caixa Sangria"")"),"")</f>
        <v/>
      </c>
      <c r="M354" s="185" t="str">
        <f>IFERROR(__xludf.DUMMYFUNCTION("ifna(VALUE(REGEXEXTRACT(E354,""[0-9.]+[,]+[0-9]+"")))"),"")</f>
        <v/>
      </c>
      <c r="N354" s="185"/>
      <c r="O354" s="185"/>
      <c r="P354" s="185"/>
      <c r="Q354" s="185"/>
      <c r="R354" s="185"/>
      <c r="S354" s="185"/>
      <c r="T354" s="185"/>
      <c r="U354" s="185"/>
      <c r="V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184" t="str">
        <f>IFERROR(__xludf.DUMMYFUNCTION("ifna(IF(and(D355=""Saída"",J355=""Sangria""),if(sum(QUERY(IMPORTRANGE(""https://docs.google.com/spreadsheets/d/1E4szPcLzsqlw4uyBAoJ61L1ChCgpz4wVP8tHfHW1g_c"",""BD M Sangrias!a:i""),""select Col6 where Col7 = 'Depositada' and Col9 = '""&amp;K355&amp;""' and Col6 ="&amp;" ""&amp;M355&amp;"" and Col4 = date '""&amp;YEAR(C355)&amp;""-""&amp;MONTH(C355)&amp;""-""&amp;DAY(C355)&amp;""'""))&gt;0,""Depositada"",if(sum(QUERY(IMPORTRANGE(""https://docs.google.com/spreadsheets/d/1EcLIvUgMoBC5as4ikW0wuQsGH5yVZ6cQ1y16qEfgPnk"",""BD M Sangrias!a:i""),""select Col6 whe"&amp;"re Col7 = 'Caixa Atendimento' and Col9 = '""&amp;K355&amp;""' and Col6 = ""&amp;M355&amp;"" and Col4 = date '""&amp;YEAR(C355)&amp;""-""&amp;MONTH(C355)&amp;""-""&amp;DAY(C355)&amp;""'""))&gt;0,""Caixa Atendimento"",""Caixa Sangria"")),""""),""Caixa Sangria"")"),"")</f>
        <v/>
      </c>
      <c r="M355" s="185" t="str">
        <f>IFERROR(__xludf.DUMMYFUNCTION("ifna(VALUE(REGEXEXTRACT(E355,""[0-9.]+[,]+[0-9]+"")))"),"")</f>
        <v/>
      </c>
      <c r="N355" s="185"/>
      <c r="O355" s="185"/>
      <c r="P355" s="185"/>
      <c r="Q355" s="185"/>
      <c r="R355" s="185"/>
      <c r="S355" s="185"/>
      <c r="T355" s="185"/>
      <c r="U355" s="185"/>
      <c r="V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184" t="str">
        <f>IFERROR(__xludf.DUMMYFUNCTION("ifna(IF(and(D356=""Saída"",J356=""Sangria""),if(sum(QUERY(IMPORTRANGE(""https://docs.google.com/spreadsheets/d/1E4szPcLzsqlw4uyBAoJ61L1ChCgpz4wVP8tHfHW1g_c"",""BD M Sangrias!a:i""),""select Col6 where Col7 = 'Depositada' and Col9 = '""&amp;K356&amp;""' and Col6 ="&amp;" ""&amp;M356&amp;"" and Col4 = date '""&amp;YEAR(C356)&amp;""-""&amp;MONTH(C356)&amp;""-""&amp;DAY(C356)&amp;""'""))&gt;0,""Depositada"",if(sum(QUERY(IMPORTRANGE(""https://docs.google.com/spreadsheets/d/1EcLIvUgMoBC5as4ikW0wuQsGH5yVZ6cQ1y16qEfgPnk"",""BD M Sangrias!a:i""),""select Col6 whe"&amp;"re Col7 = 'Caixa Atendimento' and Col9 = '""&amp;K356&amp;""' and Col6 = ""&amp;M356&amp;"" and Col4 = date '""&amp;YEAR(C356)&amp;""-""&amp;MONTH(C356)&amp;""-""&amp;DAY(C356)&amp;""'""))&gt;0,""Caixa Atendimento"",""Caixa Sangria"")),""""),""Caixa Sangria"")"),"")</f>
        <v/>
      </c>
      <c r="M356" s="185" t="str">
        <f>IFERROR(__xludf.DUMMYFUNCTION("ifna(VALUE(REGEXEXTRACT(E356,""[0-9.]+[,]+[0-9]+"")))"),"")</f>
        <v/>
      </c>
      <c r="N356" s="185"/>
      <c r="O356" s="185"/>
      <c r="P356" s="185"/>
      <c r="Q356" s="185"/>
      <c r="R356" s="185"/>
      <c r="S356" s="185"/>
      <c r="T356" s="185"/>
      <c r="U356" s="185"/>
      <c r="V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184" t="str">
        <f>IFERROR(__xludf.DUMMYFUNCTION("ifna(IF(and(D357=""Saída"",J357=""Sangria""),if(sum(QUERY(IMPORTRANGE(""https://docs.google.com/spreadsheets/d/1E4szPcLzsqlw4uyBAoJ61L1ChCgpz4wVP8tHfHW1g_c"",""BD M Sangrias!a:i""),""select Col6 where Col7 = 'Depositada' and Col9 = '""&amp;K357&amp;""' and Col6 ="&amp;" ""&amp;M357&amp;"" and Col4 = date '""&amp;YEAR(C357)&amp;""-""&amp;MONTH(C357)&amp;""-""&amp;DAY(C357)&amp;""'""))&gt;0,""Depositada"",if(sum(QUERY(IMPORTRANGE(""https://docs.google.com/spreadsheets/d/1EcLIvUgMoBC5as4ikW0wuQsGH5yVZ6cQ1y16qEfgPnk"",""BD M Sangrias!a:i""),""select Col6 whe"&amp;"re Col7 = 'Caixa Atendimento' and Col9 = '""&amp;K357&amp;""' and Col6 = ""&amp;M357&amp;"" and Col4 = date '""&amp;YEAR(C357)&amp;""-""&amp;MONTH(C357)&amp;""-""&amp;DAY(C357)&amp;""'""))&gt;0,""Caixa Atendimento"",""Caixa Sangria"")),""""),""Caixa Sangria"")"),"")</f>
        <v/>
      </c>
      <c r="M357" s="185" t="str">
        <f>IFERROR(__xludf.DUMMYFUNCTION("ifna(VALUE(REGEXEXTRACT(E357,""[0-9.]+[,]+[0-9]+"")))"),"")</f>
        <v/>
      </c>
      <c r="N357" s="185"/>
      <c r="O357" s="185"/>
      <c r="P357" s="185"/>
      <c r="Q357" s="185"/>
      <c r="R357" s="185"/>
      <c r="S357" s="185"/>
      <c r="T357" s="185"/>
      <c r="U357" s="185"/>
      <c r="V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184" t="str">
        <f>IFERROR(__xludf.DUMMYFUNCTION("ifna(IF(and(D358=""Saída"",J358=""Sangria""),if(sum(QUERY(IMPORTRANGE(""https://docs.google.com/spreadsheets/d/1E4szPcLzsqlw4uyBAoJ61L1ChCgpz4wVP8tHfHW1g_c"",""BD M Sangrias!a:i""),""select Col6 where Col7 = 'Depositada' and Col9 = '""&amp;K358&amp;""' and Col6 ="&amp;" ""&amp;M358&amp;"" and Col4 = date '""&amp;YEAR(C358)&amp;""-""&amp;MONTH(C358)&amp;""-""&amp;DAY(C358)&amp;""'""))&gt;0,""Depositada"",if(sum(QUERY(IMPORTRANGE(""https://docs.google.com/spreadsheets/d/1EcLIvUgMoBC5as4ikW0wuQsGH5yVZ6cQ1y16qEfgPnk"",""BD M Sangrias!a:i""),""select Col6 whe"&amp;"re Col7 = 'Caixa Atendimento' and Col9 = '""&amp;K358&amp;""' and Col6 = ""&amp;M358&amp;"" and Col4 = date '""&amp;YEAR(C358)&amp;""-""&amp;MONTH(C358)&amp;""-""&amp;DAY(C358)&amp;""'""))&gt;0,""Caixa Atendimento"",""Caixa Sangria"")),""""),""Caixa Sangria"")"),"")</f>
        <v/>
      </c>
      <c r="M358" s="185" t="str">
        <f>IFERROR(__xludf.DUMMYFUNCTION("ifna(VALUE(REGEXEXTRACT(E358,""[0-9.]+[,]+[0-9]+"")))"),"")</f>
        <v/>
      </c>
      <c r="N358" s="185"/>
      <c r="O358" s="185"/>
      <c r="P358" s="185"/>
      <c r="Q358" s="185"/>
      <c r="R358" s="185"/>
      <c r="S358" s="185"/>
      <c r="T358" s="185"/>
      <c r="U358" s="185"/>
      <c r="V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184" t="str">
        <f>IFERROR(__xludf.DUMMYFUNCTION("ifna(IF(and(D359=""Saída"",J359=""Sangria""),if(sum(QUERY(IMPORTRANGE(""https://docs.google.com/spreadsheets/d/1E4szPcLzsqlw4uyBAoJ61L1ChCgpz4wVP8tHfHW1g_c"",""BD M Sangrias!a:i""),""select Col6 where Col7 = 'Depositada' and Col9 = '""&amp;K359&amp;""' and Col6 ="&amp;" ""&amp;M359&amp;"" and Col4 = date '""&amp;YEAR(C359)&amp;""-""&amp;MONTH(C359)&amp;""-""&amp;DAY(C359)&amp;""'""))&gt;0,""Depositada"",if(sum(QUERY(IMPORTRANGE(""https://docs.google.com/spreadsheets/d/1EcLIvUgMoBC5as4ikW0wuQsGH5yVZ6cQ1y16qEfgPnk"",""BD M Sangrias!a:i""),""select Col6 whe"&amp;"re Col7 = 'Caixa Atendimento' and Col9 = '""&amp;K359&amp;""' and Col6 = ""&amp;M359&amp;"" and Col4 = date '""&amp;YEAR(C359)&amp;""-""&amp;MONTH(C359)&amp;""-""&amp;DAY(C359)&amp;""'""))&gt;0,""Caixa Atendimento"",""Caixa Sangria"")),""""),""Caixa Sangria"")"),"")</f>
        <v/>
      </c>
      <c r="M359" s="185" t="str">
        <f>IFERROR(__xludf.DUMMYFUNCTION("ifna(VALUE(REGEXEXTRACT(E359,""[0-9.]+[,]+[0-9]+"")))"),"")</f>
        <v/>
      </c>
      <c r="N359" s="185"/>
      <c r="O359" s="185"/>
      <c r="P359" s="185"/>
      <c r="Q359" s="185"/>
      <c r="R359" s="185"/>
      <c r="S359" s="185"/>
      <c r="T359" s="185"/>
      <c r="U359" s="185"/>
      <c r="V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184" t="str">
        <f>IFERROR(__xludf.DUMMYFUNCTION("ifna(IF(and(D360=""Saída"",J360=""Sangria""),if(sum(QUERY(IMPORTRANGE(""https://docs.google.com/spreadsheets/d/1E4szPcLzsqlw4uyBAoJ61L1ChCgpz4wVP8tHfHW1g_c"",""BD M Sangrias!a:i""),""select Col6 where Col7 = 'Depositada' and Col9 = '""&amp;K360&amp;""' and Col6 ="&amp;" ""&amp;M360&amp;"" and Col4 = date '""&amp;YEAR(C360)&amp;""-""&amp;MONTH(C360)&amp;""-""&amp;DAY(C360)&amp;""'""))&gt;0,""Depositada"",if(sum(QUERY(IMPORTRANGE(""https://docs.google.com/spreadsheets/d/1EcLIvUgMoBC5as4ikW0wuQsGH5yVZ6cQ1y16qEfgPnk"",""BD M Sangrias!a:i""),""select Col6 whe"&amp;"re Col7 = 'Caixa Atendimento' and Col9 = '""&amp;K360&amp;""' and Col6 = ""&amp;M360&amp;"" and Col4 = date '""&amp;YEAR(C360)&amp;""-""&amp;MONTH(C360)&amp;""-""&amp;DAY(C360)&amp;""'""))&gt;0,""Caixa Atendimento"",""Caixa Sangria"")),""""),""Caixa Sangria"")"),"")</f>
        <v/>
      </c>
      <c r="M360" s="185" t="str">
        <f>IFERROR(__xludf.DUMMYFUNCTION("ifna(VALUE(REGEXEXTRACT(E360,""[0-9.]+[,]+[0-9]+"")))"),"")</f>
        <v/>
      </c>
      <c r="N360" s="185"/>
      <c r="O360" s="185"/>
      <c r="P360" s="185"/>
      <c r="Q360" s="185"/>
      <c r="R360" s="185"/>
      <c r="S360" s="185"/>
      <c r="T360" s="185"/>
      <c r="U360" s="185"/>
      <c r="V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184" t="str">
        <f>IFERROR(__xludf.DUMMYFUNCTION("ifna(IF(and(D361=""Saída"",J361=""Sangria""),if(sum(QUERY(IMPORTRANGE(""https://docs.google.com/spreadsheets/d/1E4szPcLzsqlw4uyBAoJ61L1ChCgpz4wVP8tHfHW1g_c"",""BD M Sangrias!a:i""),""select Col6 where Col7 = 'Depositada' and Col9 = '""&amp;K361&amp;""' and Col6 ="&amp;" ""&amp;M361&amp;"" and Col4 = date '""&amp;YEAR(C361)&amp;""-""&amp;MONTH(C361)&amp;""-""&amp;DAY(C361)&amp;""'""))&gt;0,""Depositada"",if(sum(QUERY(IMPORTRANGE(""https://docs.google.com/spreadsheets/d/1EcLIvUgMoBC5as4ikW0wuQsGH5yVZ6cQ1y16qEfgPnk"",""BD M Sangrias!a:i""),""select Col6 whe"&amp;"re Col7 = 'Caixa Atendimento' and Col9 = '""&amp;K361&amp;""' and Col6 = ""&amp;M361&amp;"" and Col4 = date '""&amp;YEAR(C361)&amp;""-""&amp;MONTH(C361)&amp;""-""&amp;DAY(C361)&amp;""'""))&gt;0,""Caixa Atendimento"",""Caixa Sangria"")),""""),""Caixa Sangria"")"),"")</f>
        <v/>
      </c>
      <c r="M361" s="185" t="str">
        <f>IFERROR(__xludf.DUMMYFUNCTION("ifna(VALUE(REGEXEXTRACT(E361,""[0-9.]+[,]+[0-9]+"")))"),"")</f>
        <v/>
      </c>
      <c r="N361" s="185"/>
      <c r="O361" s="185"/>
      <c r="P361" s="185"/>
      <c r="Q361" s="185"/>
      <c r="R361" s="185"/>
      <c r="S361" s="185"/>
      <c r="T361" s="185"/>
      <c r="U361" s="185"/>
      <c r="V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184" t="str">
        <f>IFERROR(__xludf.DUMMYFUNCTION("ifna(IF(and(D362=""Saída"",J362=""Sangria""),if(sum(QUERY(IMPORTRANGE(""https://docs.google.com/spreadsheets/d/1E4szPcLzsqlw4uyBAoJ61L1ChCgpz4wVP8tHfHW1g_c"",""BD M Sangrias!a:i""),""select Col6 where Col7 = 'Depositada' and Col9 = '""&amp;K362&amp;""' and Col6 ="&amp;" ""&amp;M362&amp;"" and Col4 = date '""&amp;YEAR(C362)&amp;""-""&amp;MONTH(C362)&amp;""-""&amp;DAY(C362)&amp;""'""))&gt;0,""Depositada"",if(sum(QUERY(IMPORTRANGE(""https://docs.google.com/spreadsheets/d/1EcLIvUgMoBC5as4ikW0wuQsGH5yVZ6cQ1y16qEfgPnk"",""BD M Sangrias!a:i""),""select Col6 whe"&amp;"re Col7 = 'Caixa Atendimento' and Col9 = '""&amp;K362&amp;""' and Col6 = ""&amp;M362&amp;"" and Col4 = date '""&amp;YEAR(C362)&amp;""-""&amp;MONTH(C362)&amp;""-""&amp;DAY(C362)&amp;""'""))&gt;0,""Caixa Atendimento"",""Caixa Sangria"")),""""),""Caixa Sangria"")"),"")</f>
        <v/>
      </c>
      <c r="M362" s="185" t="str">
        <f>IFERROR(__xludf.DUMMYFUNCTION("ifna(VALUE(REGEXEXTRACT(E362,""[0-9.]+[,]+[0-9]+"")))"),"")</f>
        <v/>
      </c>
      <c r="N362" s="185"/>
      <c r="O362" s="185"/>
      <c r="P362" s="185"/>
      <c r="Q362" s="185"/>
      <c r="R362" s="185"/>
      <c r="S362" s="185"/>
      <c r="T362" s="185"/>
      <c r="U362" s="185"/>
      <c r="V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184" t="str">
        <f>IFERROR(__xludf.DUMMYFUNCTION("ifna(IF(and(D363=""Saída"",J363=""Sangria""),if(sum(QUERY(IMPORTRANGE(""https://docs.google.com/spreadsheets/d/1E4szPcLzsqlw4uyBAoJ61L1ChCgpz4wVP8tHfHW1g_c"",""BD M Sangrias!a:i""),""select Col6 where Col7 = 'Depositada' and Col9 = '""&amp;K363&amp;""' and Col6 ="&amp;" ""&amp;M363&amp;"" and Col4 = date '""&amp;YEAR(C363)&amp;""-""&amp;MONTH(C363)&amp;""-""&amp;DAY(C363)&amp;""'""))&gt;0,""Depositada"",if(sum(QUERY(IMPORTRANGE(""https://docs.google.com/spreadsheets/d/1EcLIvUgMoBC5as4ikW0wuQsGH5yVZ6cQ1y16qEfgPnk"",""BD M Sangrias!a:i""),""select Col6 whe"&amp;"re Col7 = 'Caixa Atendimento' and Col9 = '""&amp;K363&amp;""' and Col6 = ""&amp;M363&amp;"" and Col4 = date '""&amp;YEAR(C363)&amp;""-""&amp;MONTH(C363)&amp;""-""&amp;DAY(C363)&amp;""'""))&gt;0,""Caixa Atendimento"",""Caixa Sangria"")),""""),""Caixa Sangria"")"),"")</f>
        <v/>
      </c>
      <c r="M363" s="185" t="str">
        <f>IFERROR(__xludf.DUMMYFUNCTION("ifna(VALUE(REGEXEXTRACT(E363,""[0-9.]+[,]+[0-9]+"")))"),"")</f>
        <v/>
      </c>
      <c r="N363" s="185"/>
      <c r="O363" s="185"/>
      <c r="P363" s="185"/>
      <c r="Q363" s="185"/>
      <c r="R363" s="185"/>
      <c r="S363" s="185"/>
      <c r="T363" s="185"/>
      <c r="U363" s="185"/>
      <c r="V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184" t="str">
        <f>IFERROR(__xludf.DUMMYFUNCTION("ifna(IF(and(D364=""Saída"",J364=""Sangria""),if(sum(QUERY(IMPORTRANGE(""https://docs.google.com/spreadsheets/d/1E4szPcLzsqlw4uyBAoJ61L1ChCgpz4wVP8tHfHW1g_c"",""BD M Sangrias!a:i""),""select Col6 where Col7 = 'Depositada' and Col9 = '""&amp;K364&amp;""' and Col6 ="&amp;" ""&amp;M364&amp;"" and Col4 = date '""&amp;YEAR(C364)&amp;""-""&amp;MONTH(C364)&amp;""-""&amp;DAY(C364)&amp;""'""))&gt;0,""Depositada"",if(sum(QUERY(IMPORTRANGE(""https://docs.google.com/spreadsheets/d/1EcLIvUgMoBC5as4ikW0wuQsGH5yVZ6cQ1y16qEfgPnk"",""BD M Sangrias!a:i""),""select Col6 whe"&amp;"re Col7 = 'Caixa Atendimento' and Col9 = '""&amp;K364&amp;""' and Col6 = ""&amp;M364&amp;"" and Col4 = date '""&amp;YEAR(C364)&amp;""-""&amp;MONTH(C364)&amp;""-""&amp;DAY(C364)&amp;""'""))&gt;0,""Caixa Atendimento"",""Caixa Sangria"")),""""),""Caixa Sangria"")"),"")</f>
        <v/>
      </c>
      <c r="M364" s="185" t="str">
        <f>IFERROR(__xludf.DUMMYFUNCTION("ifna(VALUE(REGEXEXTRACT(E364,""[0-9.]+[,]+[0-9]+"")))"),"")</f>
        <v/>
      </c>
      <c r="N364" s="185"/>
      <c r="O364" s="185"/>
      <c r="P364" s="185"/>
      <c r="Q364" s="185"/>
      <c r="R364" s="185"/>
      <c r="S364" s="185"/>
      <c r="T364" s="185"/>
      <c r="U364" s="185"/>
      <c r="V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184" t="str">
        <f>IFERROR(__xludf.DUMMYFUNCTION("ifna(IF(and(D365=""Saída"",J365=""Sangria""),if(sum(QUERY(IMPORTRANGE(""https://docs.google.com/spreadsheets/d/1E4szPcLzsqlw4uyBAoJ61L1ChCgpz4wVP8tHfHW1g_c"",""BD M Sangrias!a:i""),""select Col6 where Col7 = 'Depositada' and Col9 = '""&amp;K365&amp;""' and Col6 ="&amp;" ""&amp;M365&amp;"" and Col4 = date '""&amp;YEAR(C365)&amp;""-""&amp;MONTH(C365)&amp;""-""&amp;DAY(C365)&amp;""'""))&gt;0,""Depositada"",if(sum(QUERY(IMPORTRANGE(""https://docs.google.com/spreadsheets/d/1EcLIvUgMoBC5as4ikW0wuQsGH5yVZ6cQ1y16qEfgPnk"",""BD M Sangrias!a:i""),""select Col6 whe"&amp;"re Col7 = 'Caixa Atendimento' and Col9 = '""&amp;K365&amp;""' and Col6 = ""&amp;M365&amp;"" and Col4 = date '""&amp;YEAR(C365)&amp;""-""&amp;MONTH(C365)&amp;""-""&amp;DAY(C365)&amp;""'""))&gt;0,""Caixa Atendimento"",""Caixa Sangria"")),""""),""Caixa Sangria"")"),"")</f>
        <v/>
      </c>
      <c r="M365" s="185" t="str">
        <f>IFERROR(__xludf.DUMMYFUNCTION("ifna(VALUE(REGEXEXTRACT(E365,""[0-9.]+[,]+[0-9]+"")))"),"")</f>
        <v/>
      </c>
      <c r="N365" s="185"/>
      <c r="O365" s="185"/>
      <c r="P365" s="185"/>
      <c r="Q365" s="185"/>
      <c r="R365" s="185"/>
      <c r="S365" s="185"/>
      <c r="T365" s="185"/>
      <c r="U365" s="185"/>
      <c r="V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184" t="str">
        <f>IFERROR(__xludf.DUMMYFUNCTION("ifna(IF(and(D366=""Saída"",J366=""Sangria""),if(sum(QUERY(IMPORTRANGE(""https://docs.google.com/spreadsheets/d/1E4szPcLzsqlw4uyBAoJ61L1ChCgpz4wVP8tHfHW1g_c"",""BD M Sangrias!a:i""),""select Col6 where Col7 = 'Depositada' and Col9 = '""&amp;K366&amp;""' and Col6 ="&amp;" ""&amp;M366&amp;"" and Col4 = date '""&amp;YEAR(C366)&amp;""-""&amp;MONTH(C366)&amp;""-""&amp;DAY(C366)&amp;""'""))&gt;0,""Depositada"",if(sum(QUERY(IMPORTRANGE(""https://docs.google.com/spreadsheets/d/1EcLIvUgMoBC5as4ikW0wuQsGH5yVZ6cQ1y16qEfgPnk"",""BD M Sangrias!a:i""),""select Col6 whe"&amp;"re Col7 = 'Caixa Atendimento' and Col9 = '""&amp;K366&amp;""' and Col6 = ""&amp;M366&amp;"" and Col4 = date '""&amp;YEAR(C366)&amp;""-""&amp;MONTH(C366)&amp;""-""&amp;DAY(C366)&amp;""'""))&gt;0,""Caixa Atendimento"",""Caixa Sangria"")),""""),""Caixa Sangria"")"),"")</f>
        <v/>
      </c>
      <c r="M366" s="185" t="str">
        <f>IFERROR(__xludf.DUMMYFUNCTION("ifna(VALUE(REGEXEXTRACT(E366,""[0-9.]+[,]+[0-9]+"")))"),"")</f>
        <v/>
      </c>
      <c r="N366" s="185"/>
      <c r="O366" s="185"/>
      <c r="P366" s="185"/>
      <c r="Q366" s="185"/>
      <c r="R366" s="185"/>
      <c r="S366" s="185"/>
      <c r="T366" s="185"/>
      <c r="U366" s="185"/>
      <c r="V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184" t="str">
        <f>IFERROR(__xludf.DUMMYFUNCTION("ifna(IF(and(D367=""Saída"",J367=""Sangria""),if(sum(QUERY(IMPORTRANGE(""https://docs.google.com/spreadsheets/d/1E4szPcLzsqlw4uyBAoJ61L1ChCgpz4wVP8tHfHW1g_c"",""BD M Sangrias!a:i""),""select Col6 where Col7 = 'Depositada' and Col9 = '""&amp;K367&amp;""' and Col6 ="&amp;" ""&amp;M367&amp;"" and Col4 = date '""&amp;YEAR(C367)&amp;""-""&amp;MONTH(C367)&amp;""-""&amp;DAY(C367)&amp;""'""))&gt;0,""Depositada"",if(sum(QUERY(IMPORTRANGE(""https://docs.google.com/spreadsheets/d/1EcLIvUgMoBC5as4ikW0wuQsGH5yVZ6cQ1y16qEfgPnk"",""BD M Sangrias!a:i""),""select Col6 whe"&amp;"re Col7 = 'Caixa Atendimento' and Col9 = '""&amp;K367&amp;""' and Col6 = ""&amp;M367&amp;"" and Col4 = date '""&amp;YEAR(C367)&amp;""-""&amp;MONTH(C367)&amp;""-""&amp;DAY(C367)&amp;""'""))&gt;0,""Caixa Atendimento"",""Caixa Sangria"")),""""),""Caixa Sangria"")"),"")</f>
        <v/>
      </c>
      <c r="M367" s="185" t="str">
        <f>IFERROR(__xludf.DUMMYFUNCTION("ifna(VALUE(REGEXEXTRACT(E367,""[0-9.]+[,]+[0-9]+"")))"),"")</f>
        <v/>
      </c>
      <c r="N367" s="185"/>
      <c r="O367" s="185"/>
      <c r="P367" s="185"/>
      <c r="Q367" s="185"/>
      <c r="R367" s="185"/>
      <c r="S367" s="185"/>
      <c r="T367" s="185"/>
      <c r="U367" s="185"/>
      <c r="V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184" t="str">
        <f>IFERROR(__xludf.DUMMYFUNCTION("ifna(IF(and(D368=""Saída"",J368=""Sangria""),if(sum(QUERY(IMPORTRANGE(""https://docs.google.com/spreadsheets/d/1E4szPcLzsqlw4uyBAoJ61L1ChCgpz4wVP8tHfHW1g_c"",""BD M Sangrias!a:i""),""select Col6 where Col7 = 'Depositada' and Col9 = '""&amp;K368&amp;""' and Col6 ="&amp;" ""&amp;M368&amp;"" and Col4 = date '""&amp;YEAR(C368)&amp;""-""&amp;MONTH(C368)&amp;""-""&amp;DAY(C368)&amp;""'""))&gt;0,""Depositada"",if(sum(QUERY(IMPORTRANGE(""https://docs.google.com/spreadsheets/d/1EcLIvUgMoBC5as4ikW0wuQsGH5yVZ6cQ1y16qEfgPnk"",""BD M Sangrias!a:i""),""select Col6 whe"&amp;"re Col7 = 'Caixa Atendimento' and Col9 = '""&amp;K368&amp;""' and Col6 = ""&amp;M368&amp;"" and Col4 = date '""&amp;YEAR(C368)&amp;""-""&amp;MONTH(C368)&amp;""-""&amp;DAY(C368)&amp;""'""))&gt;0,""Caixa Atendimento"",""Caixa Sangria"")),""""),""Caixa Sangria"")"),"")</f>
        <v/>
      </c>
      <c r="M368" s="185" t="str">
        <f>IFERROR(__xludf.DUMMYFUNCTION("ifna(VALUE(REGEXEXTRACT(E368,""[0-9.]+[,]+[0-9]+"")))"),"")</f>
        <v/>
      </c>
      <c r="N368" s="185"/>
      <c r="O368" s="185"/>
      <c r="P368" s="185"/>
      <c r="Q368" s="185"/>
      <c r="R368" s="185"/>
      <c r="S368" s="185"/>
      <c r="T368" s="185"/>
      <c r="U368" s="185"/>
      <c r="V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184" t="str">
        <f>IFERROR(__xludf.DUMMYFUNCTION("ifna(IF(and(D369=""Saída"",J369=""Sangria""),if(sum(QUERY(IMPORTRANGE(""https://docs.google.com/spreadsheets/d/1E4szPcLzsqlw4uyBAoJ61L1ChCgpz4wVP8tHfHW1g_c"",""BD M Sangrias!a:i""),""select Col6 where Col7 = 'Depositada' and Col9 = '""&amp;K369&amp;""' and Col6 ="&amp;" ""&amp;M369&amp;"" and Col4 = date '""&amp;YEAR(C369)&amp;""-""&amp;MONTH(C369)&amp;""-""&amp;DAY(C369)&amp;""'""))&gt;0,""Depositada"",if(sum(QUERY(IMPORTRANGE(""https://docs.google.com/spreadsheets/d/1EcLIvUgMoBC5as4ikW0wuQsGH5yVZ6cQ1y16qEfgPnk"",""BD M Sangrias!a:i""),""select Col6 whe"&amp;"re Col7 = 'Caixa Atendimento' and Col9 = '""&amp;K369&amp;""' and Col6 = ""&amp;M369&amp;"" and Col4 = date '""&amp;YEAR(C369)&amp;""-""&amp;MONTH(C369)&amp;""-""&amp;DAY(C369)&amp;""'""))&gt;0,""Caixa Atendimento"",""Caixa Sangria"")),""""),""Caixa Sangria"")"),"")</f>
        <v/>
      </c>
      <c r="M369" s="185" t="str">
        <f>IFERROR(__xludf.DUMMYFUNCTION("ifna(VALUE(REGEXEXTRACT(E369,""[0-9.]+[,]+[0-9]+"")))"),"")</f>
        <v/>
      </c>
      <c r="N369" s="185"/>
      <c r="O369" s="185"/>
      <c r="P369" s="185"/>
      <c r="Q369" s="185"/>
      <c r="R369" s="185"/>
      <c r="S369" s="185"/>
      <c r="T369" s="185"/>
      <c r="U369" s="185"/>
      <c r="V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184" t="str">
        <f>IFERROR(__xludf.DUMMYFUNCTION("ifna(IF(and(D370=""Saída"",J370=""Sangria""),if(sum(QUERY(IMPORTRANGE(""https://docs.google.com/spreadsheets/d/1E4szPcLzsqlw4uyBAoJ61L1ChCgpz4wVP8tHfHW1g_c"",""BD M Sangrias!a:i""),""select Col6 where Col7 = 'Depositada' and Col9 = '""&amp;K370&amp;""' and Col6 ="&amp;" ""&amp;M370&amp;"" and Col4 = date '""&amp;YEAR(C370)&amp;""-""&amp;MONTH(C370)&amp;""-""&amp;DAY(C370)&amp;""'""))&gt;0,""Depositada"",if(sum(QUERY(IMPORTRANGE(""https://docs.google.com/spreadsheets/d/1EcLIvUgMoBC5as4ikW0wuQsGH5yVZ6cQ1y16qEfgPnk"",""BD M Sangrias!a:i""),""select Col6 whe"&amp;"re Col7 = 'Caixa Atendimento' and Col9 = '""&amp;K370&amp;""' and Col6 = ""&amp;M370&amp;"" and Col4 = date '""&amp;YEAR(C370)&amp;""-""&amp;MONTH(C370)&amp;""-""&amp;DAY(C370)&amp;""'""))&gt;0,""Caixa Atendimento"",""Caixa Sangria"")),""""),""Caixa Sangria"")"),"")</f>
        <v/>
      </c>
      <c r="M370" s="185" t="str">
        <f>IFERROR(__xludf.DUMMYFUNCTION("ifna(VALUE(REGEXEXTRACT(E370,""[0-9.]+[,]+[0-9]+"")))"),"")</f>
        <v/>
      </c>
      <c r="N370" s="185"/>
      <c r="O370" s="185"/>
      <c r="P370" s="185"/>
      <c r="Q370" s="185"/>
      <c r="R370" s="185"/>
      <c r="S370" s="185"/>
      <c r="T370" s="185"/>
      <c r="U370" s="185"/>
      <c r="V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184" t="str">
        <f>IFERROR(__xludf.DUMMYFUNCTION("ifna(IF(and(D371=""Saída"",J371=""Sangria""),if(sum(QUERY(IMPORTRANGE(""https://docs.google.com/spreadsheets/d/1E4szPcLzsqlw4uyBAoJ61L1ChCgpz4wVP8tHfHW1g_c"",""BD M Sangrias!a:i""),""select Col6 where Col7 = 'Depositada' and Col9 = '""&amp;K371&amp;""' and Col6 ="&amp;" ""&amp;M371&amp;"" and Col4 = date '""&amp;YEAR(C371)&amp;""-""&amp;MONTH(C371)&amp;""-""&amp;DAY(C371)&amp;""'""))&gt;0,""Depositada"",if(sum(QUERY(IMPORTRANGE(""https://docs.google.com/spreadsheets/d/1EcLIvUgMoBC5as4ikW0wuQsGH5yVZ6cQ1y16qEfgPnk"",""BD M Sangrias!a:i""),""select Col6 whe"&amp;"re Col7 = 'Caixa Atendimento' and Col9 = '""&amp;K371&amp;""' and Col6 = ""&amp;M371&amp;"" and Col4 = date '""&amp;YEAR(C371)&amp;""-""&amp;MONTH(C371)&amp;""-""&amp;DAY(C371)&amp;""'""))&gt;0,""Caixa Atendimento"",""Caixa Sangria"")),""""),""Caixa Sangria"")"),"")</f>
        <v/>
      </c>
      <c r="M371" s="185" t="str">
        <f>IFERROR(__xludf.DUMMYFUNCTION("ifna(VALUE(REGEXEXTRACT(E371,""[0-9.]+[,]+[0-9]+"")))"),"")</f>
        <v/>
      </c>
      <c r="N371" s="185"/>
      <c r="O371" s="185"/>
      <c r="P371" s="185"/>
      <c r="Q371" s="185"/>
      <c r="R371" s="185"/>
      <c r="S371" s="185"/>
      <c r="T371" s="185"/>
      <c r="U371" s="185"/>
      <c r="V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184" t="str">
        <f>IFERROR(__xludf.DUMMYFUNCTION("ifna(IF(and(D372=""Saída"",J372=""Sangria""),if(sum(QUERY(IMPORTRANGE(""https://docs.google.com/spreadsheets/d/1E4szPcLzsqlw4uyBAoJ61L1ChCgpz4wVP8tHfHW1g_c"",""BD M Sangrias!a:i""),""select Col6 where Col7 = 'Depositada' and Col9 = '""&amp;K372&amp;""' and Col6 ="&amp;" ""&amp;M372&amp;"" and Col4 = date '""&amp;YEAR(C372)&amp;""-""&amp;MONTH(C372)&amp;""-""&amp;DAY(C372)&amp;""'""))&gt;0,""Depositada"",if(sum(QUERY(IMPORTRANGE(""https://docs.google.com/spreadsheets/d/1EcLIvUgMoBC5as4ikW0wuQsGH5yVZ6cQ1y16qEfgPnk"",""BD M Sangrias!a:i""),""select Col6 whe"&amp;"re Col7 = 'Caixa Atendimento' and Col9 = '""&amp;K372&amp;""' and Col6 = ""&amp;M372&amp;"" and Col4 = date '""&amp;YEAR(C372)&amp;""-""&amp;MONTH(C372)&amp;""-""&amp;DAY(C372)&amp;""'""))&gt;0,""Caixa Atendimento"",""Caixa Sangria"")),""""),""Caixa Sangria"")"),"")</f>
        <v/>
      </c>
      <c r="M372" s="185" t="str">
        <f>IFERROR(__xludf.DUMMYFUNCTION("ifna(VALUE(REGEXEXTRACT(E372,""[0-9.]+[,]+[0-9]+"")))"),"")</f>
        <v/>
      </c>
      <c r="N372" s="185"/>
      <c r="O372" s="185"/>
      <c r="P372" s="185"/>
      <c r="Q372" s="185"/>
      <c r="R372" s="185"/>
      <c r="S372" s="185"/>
      <c r="T372" s="185"/>
      <c r="U372" s="185"/>
      <c r="V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184" t="str">
        <f>IFERROR(__xludf.DUMMYFUNCTION("ifna(IF(and(D373=""Saída"",J373=""Sangria""),if(sum(QUERY(IMPORTRANGE(""https://docs.google.com/spreadsheets/d/1E4szPcLzsqlw4uyBAoJ61L1ChCgpz4wVP8tHfHW1g_c"",""BD M Sangrias!a:i""),""select Col6 where Col7 = 'Depositada' and Col9 = '""&amp;K373&amp;""' and Col6 ="&amp;" ""&amp;M373&amp;"" and Col4 = date '""&amp;YEAR(C373)&amp;""-""&amp;MONTH(C373)&amp;""-""&amp;DAY(C373)&amp;""'""))&gt;0,""Depositada"",if(sum(QUERY(IMPORTRANGE(""https://docs.google.com/spreadsheets/d/1EcLIvUgMoBC5as4ikW0wuQsGH5yVZ6cQ1y16qEfgPnk"",""BD M Sangrias!a:i""),""select Col6 whe"&amp;"re Col7 = 'Caixa Atendimento' and Col9 = '""&amp;K373&amp;""' and Col6 = ""&amp;M373&amp;"" and Col4 = date '""&amp;YEAR(C373)&amp;""-""&amp;MONTH(C373)&amp;""-""&amp;DAY(C373)&amp;""'""))&gt;0,""Caixa Atendimento"",""Caixa Sangria"")),""""),""Caixa Sangria"")"),"")</f>
        <v/>
      </c>
      <c r="M373" s="185" t="str">
        <f>IFERROR(__xludf.DUMMYFUNCTION("ifna(VALUE(REGEXEXTRACT(E373,""[0-9.]+[,]+[0-9]+"")))"),"")</f>
        <v/>
      </c>
      <c r="N373" s="185"/>
      <c r="O373" s="185"/>
      <c r="P373" s="185"/>
      <c r="Q373" s="185"/>
      <c r="R373" s="185"/>
      <c r="S373" s="185"/>
      <c r="T373" s="185"/>
      <c r="U373" s="185"/>
      <c r="V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184" t="str">
        <f>IFERROR(__xludf.DUMMYFUNCTION("ifna(IF(and(D374=""Saída"",J374=""Sangria""),if(sum(QUERY(IMPORTRANGE(""https://docs.google.com/spreadsheets/d/1E4szPcLzsqlw4uyBAoJ61L1ChCgpz4wVP8tHfHW1g_c"",""BD M Sangrias!a:i""),""select Col6 where Col7 = 'Depositada' and Col9 = '""&amp;K374&amp;""' and Col6 ="&amp;" ""&amp;M374&amp;"" and Col4 = date '""&amp;YEAR(C374)&amp;""-""&amp;MONTH(C374)&amp;""-""&amp;DAY(C374)&amp;""'""))&gt;0,""Depositada"",if(sum(QUERY(IMPORTRANGE(""https://docs.google.com/spreadsheets/d/1EcLIvUgMoBC5as4ikW0wuQsGH5yVZ6cQ1y16qEfgPnk"",""BD M Sangrias!a:i""),""select Col6 whe"&amp;"re Col7 = 'Caixa Atendimento' and Col9 = '""&amp;K374&amp;""' and Col6 = ""&amp;M374&amp;"" and Col4 = date '""&amp;YEAR(C374)&amp;""-""&amp;MONTH(C374)&amp;""-""&amp;DAY(C374)&amp;""'""))&gt;0,""Caixa Atendimento"",""Caixa Sangria"")),""""),""Caixa Sangria"")"),"")</f>
        <v/>
      </c>
      <c r="M374" s="185" t="str">
        <f>IFERROR(__xludf.DUMMYFUNCTION("ifna(VALUE(REGEXEXTRACT(E374,""[0-9.]+[,]+[0-9]+"")))"),"")</f>
        <v/>
      </c>
      <c r="N374" s="185"/>
      <c r="O374" s="185"/>
      <c r="P374" s="185"/>
      <c r="Q374" s="185"/>
      <c r="R374" s="185"/>
      <c r="S374" s="185"/>
      <c r="T374" s="185"/>
      <c r="U374" s="185"/>
      <c r="V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184" t="str">
        <f>IFERROR(__xludf.DUMMYFUNCTION("ifna(IF(and(D375=""Saída"",J375=""Sangria""),if(sum(QUERY(IMPORTRANGE(""https://docs.google.com/spreadsheets/d/1E4szPcLzsqlw4uyBAoJ61L1ChCgpz4wVP8tHfHW1g_c"",""BD M Sangrias!a:i""),""select Col6 where Col7 = 'Depositada' and Col9 = '""&amp;K375&amp;""' and Col6 ="&amp;" ""&amp;M375&amp;"" and Col4 = date '""&amp;YEAR(C375)&amp;""-""&amp;MONTH(C375)&amp;""-""&amp;DAY(C375)&amp;""'""))&gt;0,""Depositada"",if(sum(QUERY(IMPORTRANGE(""https://docs.google.com/spreadsheets/d/1EcLIvUgMoBC5as4ikW0wuQsGH5yVZ6cQ1y16qEfgPnk"",""BD M Sangrias!a:i""),""select Col6 whe"&amp;"re Col7 = 'Caixa Atendimento' and Col9 = '""&amp;K375&amp;""' and Col6 = ""&amp;M375&amp;"" and Col4 = date '""&amp;YEAR(C375)&amp;""-""&amp;MONTH(C375)&amp;""-""&amp;DAY(C375)&amp;""'""))&gt;0,""Caixa Atendimento"",""Caixa Sangria"")),""""),""Caixa Sangria"")"),"")</f>
        <v/>
      </c>
      <c r="M375" s="185" t="str">
        <f>IFERROR(__xludf.DUMMYFUNCTION("ifna(VALUE(REGEXEXTRACT(E375,""[0-9.]+[,]+[0-9]+"")))"),"")</f>
        <v/>
      </c>
      <c r="N375" s="185"/>
      <c r="O375" s="185"/>
      <c r="P375" s="185"/>
      <c r="Q375" s="185"/>
      <c r="R375" s="185"/>
      <c r="S375" s="185"/>
      <c r="T375" s="185"/>
      <c r="U375" s="185"/>
      <c r="V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184" t="str">
        <f>IFERROR(__xludf.DUMMYFUNCTION("ifna(IF(and(D376=""Saída"",J376=""Sangria""),if(sum(QUERY(IMPORTRANGE(""https://docs.google.com/spreadsheets/d/1E4szPcLzsqlw4uyBAoJ61L1ChCgpz4wVP8tHfHW1g_c"",""BD M Sangrias!a:i""),""select Col6 where Col7 = 'Depositada' and Col9 = '""&amp;K376&amp;""' and Col6 ="&amp;" ""&amp;M376&amp;"" and Col4 = date '""&amp;YEAR(C376)&amp;""-""&amp;MONTH(C376)&amp;""-""&amp;DAY(C376)&amp;""'""))&gt;0,""Depositada"",if(sum(QUERY(IMPORTRANGE(""https://docs.google.com/spreadsheets/d/1EcLIvUgMoBC5as4ikW0wuQsGH5yVZ6cQ1y16qEfgPnk"",""BD M Sangrias!a:i""),""select Col6 whe"&amp;"re Col7 = 'Caixa Atendimento' and Col9 = '""&amp;K376&amp;""' and Col6 = ""&amp;M376&amp;"" and Col4 = date '""&amp;YEAR(C376)&amp;""-""&amp;MONTH(C376)&amp;""-""&amp;DAY(C376)&amp;""'""))&gt;0,""Caixa Atendimento"",""Caixa Sangria"")),""""),""Caixa Sangria"")"),"")</f>
        <v/>
      </c>
      <c r="M376" s="185" t="str">
        <f>IFERROR(__xludf.DUMMYFUNCTION("ifna(VALUE(REGEXEXTRACT(E376,""[0-9.]+[,]+[0-9]+"")))"),"")</f>
        <v/>
      </c>
      <c r="N376" s="185"/>
      <c r="O376" s="185"/>
      <c r="P376" s="185"/>
      <c r="Q376" s="185"/>
      <c r="R376" s="185"/>
      <c r="S376" s="185"/>
      <c r="T376" s="185"/>
      <c r="U376" s="185"/>
      <c r="V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184" t="str">
        <f>IFERROR(__xludf.DUMMYFUNCTION("ifna(IF(and(D377=""Saída"",J377=""Sangria""),if(sum(QUERY(IMPORTRANGE(""https://docs.google.com/spreadsheets/d/1E4szPcLzsqlw4uyBAoJ61L1ChCgpz4wVP8tHfHW1g_c"",""BD M Sangrias!a:i""),""select Col6 where Col7 = 'Depositada' and Col9 = '""&amp;K377&amp;""' and Col6 ="&amp;" ""&amp;M377&amp;"" and Col4 = date '""&amp;YEAR(C377)&amp;""-""&amp;MONTH(C377)&amp;""-""&amp;DAY(C377)&amp;""'""))&gt;0,""Depositada"",if(sum(QUERY(IMPORTRANGE(""https://docs.google.com/spreadsheets/d/1EcLIvUgMoBC5as4ikW0wuQsGH5yVZ6cQ1y16qEfgPnk"",""BD M Sangrias!a:i""),""select Col6 whe"&amp;"re Col7 = 'Caixa Atendimento' and Col9 = '""&amp;K377&amp;""' and Col6 = ""&amp;M377&amp;"" and Col4 = date '""&amp;YEAR(C377)&amp;""-""&amp;MONTH(C377)&amp;""-""&amp;DAY(C377)&amp;""'""))&gt;0,""Caixa Atendimento"",""Caixa Sangria"")),""""),""Caixa Sangria"")"),"")</f>
        <v/>
      </c>
      <c r="M377" s="185" t="str">
        <f>IFERROR(__xludf.DUMMYFUNCTION("ifna(VALUE(REGEXEXTRACT(E377,""[0-9.]+[,]+[0-9]+"")))"),"")</f>
        <v/>
      </c>
      <c r="N377" s="185"/>
      <c r="O377" s="185"/>
      <c r="P377" s="185"/>
      <c r="Q377" s="185"/>
      <c r="R377" s="185"/>
      <c r="S377" s="185"/>
      <c r="T377" s="185"/>
      <c r="U377" s="185"/>
      <c r="V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184" t="str">
        <f>IFERROR(__xludf.DUMMYFUNCTION("ifna(IF(and(D378=""Saída"",J378=""Sangria""),if(sum(QUERY(IMPORTRANGE(""https://docs.google.com/spreadsheets/d/1E4szPcLzsqlw4uyBAoJ61L1ChCgpz4wVP8tHfHW1g_c"",""BD M Sangrias!a:i""),""select Col6 where Col7 = 'Depositada' and Col9 = '""&amp;K378&amp;""' and Col6 ="&amp;" ""&amp;M378&amp;"" and Col4 = date '""&amp;YEAR(C378)&amp;""-""&amp;MONTH(C378)&amp;""-""&amp;DAY(C378)&amp;""'""))&gt;0,""Depositada"",if(sum(QUERY(IMPORTRANGE(""https://docs.google.com/spreadsheets/d/1EcLIvUgMoBC5as4ikW0wuQsGH5yVZ6cQ1y16qEfgPnk"",""BD M Sangrias!a:i""),""select Col6 whe"&amp;"re Col7 = 'Caixa Atendimento' and Col9 = '""&amp;K378&amp;""' and Col6 = ""&amp;M378&amp;"" and Col4 = date '""&amp;YEAR(C378)&amp;""-""&amp;MONTH(C378)&amp;""-""&amp;DAY(C378)&amp;""'""))&gt;0,""Caixa Atendimento"",""Caixa Sangria"")),""""),""Caixa Sangria"")"),"")</f>
        <v/>
      </c>
      <c r="M378" s="185" t="str">
        <f>IFERROR(__xludf.DUMMYFUNCTION("ifna(VALUE(REGEXEXTRACT(E378,""[0-9.]+[,]+[0-9]+"")))"),"")</f>
        <v/>
      </c>
      <c r="N378" s="185"/>
      <c r="O378" s="185"/>
      <c r="P378" s="185"/>
      <c r="Q378" s="185"/>
      <c r="R378" s="185"/>
      <c r="S378" s="185"/>
      <c r="T378" s="185"/>
      <c r="U378" s="185"/>
      <c r="V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184" t="str">
        <f>IFERROR(__xludf.DUMMYFUNCTION("ifna(IF(and(D379=""Saída"",J379=""Sangria""),if(sum(QUERY(IMPORTRANGE(""https://docs.google.com/spreadsheets/d/1E4szPcLzsqlw4uyBAoJ61L1ChCgpz4wVP8tHfHW1g_c"",""BD M Sangrias!a:i""),""select Col6 where Col7 = 'Depositada' and Col9 = '""&amp;K379&amp;""' and Col6 ="&amp;" ""&amp;M379&amp;"" and Col4 = date '""&amp;YEAR(C379)&amp;""-""&amp;MONTH(C379)&amp;""-""&amp;DAY(C379)&amp;""'""))&gt;0,""Depositada"",if(sum(QUERY(IMPORTRANGE(""https://docs.google.com/spreadsheets/d/1EcLIvUgMoBC5as4ikW0wuQsGH5yVZ6cQ1y16qEfgPnk"",""BD M Sangrias!a:i""),""select Col6 whe"&amp;"re Col7 = 'Caixa Atendimento' and Col9 = '""&amp;K379&amp;""' and Col6 = ""&amp;M379&amp;"" and Col4 = date '""&amp;YEAR(C379)&amp;""-""&amp;MONTH(C379)&amp;""-""&amp;DAY(C379)&amp;""'""))&gt;0,""Caixa Atendimento"",""Caixa Sangria"")),""""),""Caixa Sangria"")"),"")</f>
        <v/>
      </c>
      <c r="M379" s="185" t="str">
        <f>IFERROR(__xludf.DUMMYFUNCTION("ifna(VALUE(REGEXEXTRACT(E379,""[0-9.]+[,]+[0-9]+"")))"),"")</f>
        <v/>
      </c>
      <c r="N379" s="185"/>
      <c r="O379" s="185"/>
      <c r="P379" s="185"/>
      <c r="Q379" s="185"/>
      <c r="R379" s="185"/>
      <c r="S379" s="185"/>
      <c r="T379" s="185"/>
      <c r="U379" s="185"/>
      <c r="V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184" t="str">
        <f>IFERROR(__xludf.DUMMYFUNCTION("ifna(IF(and(D380=""Saída"",J380=""Sangria""),if(sum(QUERY(IMPORTRANGE(""https://docs.google.com/spreadsheets/d/1E4szPcLzsqlw4uyBAoJ61L1ChCgpz4wVP8tHfHW1g_c"",""BD M Sangrias!a:i""),""select Col6 where Col7 = 'Depositada' and Col9 = '""&amp;K380&amp;""' and Col6 ="&amp;" ""&amp;M380&amp;"" and Col4 = date '""&amp;YEAR(C380)&amp;""-""&amp;MONTH(C380)&amp;""-""&amp;DAY(C380)&amp;""'""))&gt;0,""Depositada"",if(sum(QUERY(IMPORTRANGE(""https://docs.google.com/spreadsheets/d/1EcLIvUgMoBC5as4ikW0wuQsGH5yVZ6cQ1y16qEfgPnk"",""BD M Sangrias!a:i""),""select Col6 whe"&amp;"re Col7 = 'Caixa Atendimento' and Col9 = '""&amp;K380&amp;""' and Col6 = ""&amp;M380&amp;"" and Col4 = date '""&amp;YEAR(C380)&amp;""-""&amp;MONTH(C380)&amp;""-""&amp;DAY(C380)&amp;""'""))&gt;0,""Caixa Atendimento"",""Caixa Sangria"")),""""),""Caixa Sangria"")"),"")</f>
        <v/>
      </c>
      <c r="M380" s="185" t="str">
        <f>IFERROR(__xludf.DUMMYFUNCTION("ifna(VALUE(REGEXEXTRACT(E380,""[0-9.]+[,]+[0-9]+"")))"),"")</f>
        <v/>
      </c>
      <c r="N380" s="185"/>
      <c r="O380" s="185"/>
      <c r="P380" s="185"/>
      <c r="Q380" s="185"/>
      <c r="R380" s="185"/>
      <c r="S380" s="185"/>
      <c r="T380" s="185"/>
      <c r="U380" s="185"/>
      <c r="V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184" t="str">
        <f>IFERROR(__xludf.DUMMYFUNCTION("ifna(IF(and(D381=""Saída"",J381=""Sangria""),if(sum(QUERY(IMPORTRANGE(""https://docs.google.com/spreadsheets/d/1E4szPcLzsqlw4uyBAoJ61L1ChCgpz4wVP8tHfHW1g_c"",""BD M Sangrias!a:i""),""select Col6 where Col7 = 'Depositada' and Col9 = '""&amp;K381&amp;""' and Col6 ="&amp;" ""&amp;M381&amp;"" and Col4 = date '""&amp;YEAR(C381)&amp;""-""&amp;MONTH(C381)&amp;""-""&amp;DAY(C381)&amp;""'""))&gt;0,""Depositada"",if(sum(QUERY(IMPORTRANGE(""https://docs.google.com/spreadsheets/d/1EcLIvUgMoBC5as4ikW0wuQsGH5yVZ6cQ1y16qEfgPnk"",""BD M Sangrias!a:i""),""select Col6 whe"&amp;"re Col7 = 'Caixa Atendimento' and Col9 = '""&amp;K381&amp;""' and Col6 = ""&amp;M381&amp;"" and Col4 = date '""&amp;YEAR(C381)&amp;""-""&amp;MONTH(C381)&amp;""-""&amp;DAY(C381)&amp;""'""))&gt;0,""Caixa Atendimento"",""Caixa Sangria"")),""""),""Caixa Sangria"")"),"")</f>
        <v/>
      </c>
      <c r="M381" s="185" t="str">
        <f>IFERROR(__xludf.DUMMYFUNCTION("ifna(VALUE(REGEXEXTRACT(E381,""[0-9.]+[,]+[0-9]+"")))"),"")</f>
        <v/>
      </c>
      <c r="N381" s="185"/>
      <c r="O381" s="185"/>
      <c r="P381" s="185"/>
      <c r="Q381" s="185"/>
      <c r="R381" s="185"/>
      <c r="S381" s="185"/>
      <c r="T381" s="185"/>
      <c r="U381" s="185"/>
      <c r="V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184" t="str">
        <f>IFERROR(__xludf.DUMMYFUNCTION("ifna(IF(and(D382=""Saída"",J382=""Sangria""),if(sum(QUERY(IMPORTRANGE(""https://docs.google.com/spreadsheets/d/1E4szPcLzsqlw4uyBAoJ61L1ChCgpz4wVP8tHfHW1g_c"",""BD M Sangrias!a:i""),""select Col6 where Col7 = 'Depositada' and Col9 = '""&amp;K382&amp;""' and Col6 ="&amp;" ""&amp;M382&amp;"" and Col4 = date '""&amp;YEAR(C382)&amp;""-""&amp;MONTH(C382)&amp;""-""&amp;DAY(C382)&amp;""'""))&gt;0,""Depositada"",if(sum(QUERY(IMPORTRANGE(""https://docs.google.com/spreadsheets/d/1EcLIvUgMoBC5as4ikW0wuQsGH5yVZ6cQ1y16qEfgPnk"",""BD M Sangrias!a:i""),""select Col6 whe"&amp;"re Col7 = 'Caixa Atendimento' and Col9 = '""&amp;K382&amp;""' and Col6 = ""&amp;M382&amp;"" and Col4 = date '""&amp;YEAR(C382)&amp;""-""&amp;MONTH(C382)&amp;""-""&amp;DAY(C382)&amp;""'""))&gt;0,""Caixa Atendimento"",""Caixa Sangria"")),""""),""Caixa Sangria"")"),"")</f>
        <v/>
      </c>
      <c r="M382" s="185" t="str">
        <f>IFERROR(__xludf.DUMMYFUNCTION("ifna(VALUE(REGEXEXTRACT(E382,""[0-9.]+[,]+[0-9]+"")))"),"")</f>
        <v/>
      </c>
      <c r="N382" s="185"/>
      <c r="O382" s="185"/>
      <c r="P382" s="185"/>
      <c r="Q382" s="185"/>
      <c r="R382" s="185"/>
      <c r="S382" s="185"/>
      <c r="T382" s="185"/>
      <c r="U382" s="185"/>
      <c r="V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184" t="str">
        <f>IFERROR(__xludf.DUMMYFUNCTION("ifna(IF(and(D383=""Saída"",J383=""Sangria""),if(sum(QUERY(IMPORTRANGE(""https://docs.google.com/spreadsheets/d/1E4szPcLzsqlw4uyBAoJ61L1ChCgpz4wVP8tHfHW1g_c"",""BD M Sangrias!a:i""),""select Col6 where Col7 = 'Depositada' and Col9 = '""&amp;K383&amp;""' and Col6 ="&amp;" ""&amp;M383&amp;"" and Col4 = date '""&amp;YEAR(C383)&amp;""-""&amp;MONTH(C383)&amp;""-""&amp;DAY(C383)&amp;""'""))&gt;0,""Depositada"",if(sum(QUERY(IMPORTRANGE(""https://docs.google.com/spreadsheets/d/1EcLIvUgMoBC5as4ikW0wuQsGH5yVZ6cQ1y16qEfgPnk"",""BD M Sangrias!a:i""),""select Col6 whe"&amp;"re Col7 = 'Caixa Atendimento' and Col9 = '""&amp;K383&amp;""' and Col6 = ""&amp;M383&amp;"" and Col4 = date '""&amp;YEAR(C383)&amp;""-""&amp;MONTH(C383)&amp;""-""&amp;DAY(C383)&amp;""'""))&gt;0,""Caixa Atendimento"",""Caixa Sangria"")),""""),""Caixa Sangria"")"),"")</f>
        <v/>
      </c>
      <c r="M383" s="185" t="str">
        <f>IFERROR(__xludf.DUMMYFUNCTION("ifna(VALUE(REGEXEXTRACT(E383,""[0-9.]+[,]+[0-9]+"")))"),"")</f>
        <v/>
      </c>
      <c r="N383" s="185"/>
      <c r="O383" s="185"/>
      <c r="P383" s="185"/>
      <c r="Q383" s="185"/>
      <c r="R383" s="185"/>
      <c r="S383" s="185"/>
      <c r="T383" s="185"/>
      <c r="U383" s="185"/>
      <c r="V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184" t="str">
        <f>IFERROR(__xludf.DUMMYFUNCTION("ifna(IF(and(D384=""Saída"",J384=""Sangria""),if(sum(QUERY(IMPORTRANGE(""https://docs.google.com/spreadsheets/d/1E4szPcLzsqlw4uyBAoJ61L1ChCgpz4wVP8tHfHW1g_c"",""BD M Sangrias!a:i""),""select Col6 where Col7 = 'Depositada' and Col9 = '""&amp;K384&amp;""' and Col6 ="&amp;" ""&amp;M384&amp;"" and Col4 = date '""&amp;YEAR(C384)&amp;""-""&amp;MONTH(C384)&amp;""-""&amp;DAY(C384)&amp;""'""))&gt;0,""Depositada"",if(sum(QUERY(IMPORTRANGE(""https://docs.google.com/spreadsheets/d/1EcLIvUgMoBC5as4ikW0wuQsGH5yVZ6cQ1y16qEfgPnk"",""BD M Sangrias!a:i""),""select Col6 whe"&amp;"re Col7 = 'Caixa Atendimento' and Col9 = '""&amp;K384&amp;""' and Col6 = ""&amp;M384&amp;"" and Col4 = date '""&amp;YEAR(C384)&amp;""-""&amp;MONTH(C384)&amp;""-""&amp;DAY(C384)&amp;""'""))&gt;0,""Caixa Atendimento"",""Caixa Sangria"")),""""),""Caixa Sangria"")"),"")</f>
        <v/>
      </c>
      <c r="M384" s="185" t="str">
        <f>IFERROR(__xludf.DUMMYFUNCTION("ifna(VALUE(REGEXEXTRACT(E384,""[0-9.]+[,]+[0-9]+"")))"),"")</f>
        <v/>
      </c>
      <c r="N384" s="185"/>
      <c r="O384" s="185"/>
      <c r="P384" s="185"/>
      <c r="Q384" s="185"/>
      <c r="R384" s="185"/>
      <c r="S384" s="185"/>
      <c r="T384" s="185"/>
      <c r="U384" s="185"/>
      <c r="V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184" t="str">
        <f>IFERROR(__xludf.DUMMYFUNCTION("ifna(IF(and(D385=""Saída"",J385=""Sangria""),if(sum(QUERY(IMPORTRANGE(""https://docs.google.com/spreadsheets/d/1E4szPcLzsqlw4uyBAoJ61L1ChCgpz4wVP8tHfHW1g_c"",""BD M Sangrias!a:i""),""select Col6 where Col7 = 'Depositada' and Col9 = '""&amp;K385&amp;""' and Col6 ="&amp;" ""&amp;M385&amp;"" and Col4 = date '""&amp;YEAR(C385)&amp;""-""&amp;MONTH(C385)&amp;""-""&amp;DAY(C385)&amp;""'""))&gt;0,""Depositada"",if(sum(QUERY(IMPORTRANGE(""https://docs.google.com/spreadsheets/d/1EcLIvUgMoBC5as4ikW0wuQsGH5yVZ6cQ1y16qEfgPnk"",""BD M Sangrias!a:i""),""select Col6 whe"&amp;"re Col7 = 'Caixa Atendimento' and Col9 = '""&amp;K385&amp;""' and Col6 = ""&amp;M385&amp;"" and Col4 = date '""&amp;YEAR(C385)&amp;""-""&amp;MONTH(C385)&amp;""-""&amp;DAY(C385)&amp;""'""))&gt;0,""Caixa Atendimento"",""Caixa Sangria"")),""""),""Caixa Sangria"")"),"")</f>
        <v/>
      </c>
      <c r="M385" s="185" t="str">
        <f>IFERROR(__xludf.DUMMYFUNCTION("ifna(VALUE(REGEXEXTRACT(E385,""[0-9.]+[,]+[0-9]+"")))"),"")</f>
        <v/>
      </c>
      <c r="N385" s="185"/>
      <c r="O385" s="185"/>
      <c r="P385" s="185"/>
      <c r="Q385" s="185"/>
      <c r="R385" s="185"/>
      <c r="S385" s="185"/>
      <c r="T385" s="185"/>
      <c r="U385" s="185"/>
      <c r="V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184" t="str">
        <f>IFERROR(__xludf.DUMMYFUNCTION("ifna(IF(and(D386=""Saída"",J386=""Sangria""),if(sum(QUERY(IMPORTRANGE(""https://docs.google.com/spreadsheets/d/1E4szPcLzsqlw4uyBAoJ61L1ChCgpz4wVP8tHfHW1g_c"",""BD M Sangrias!a:i""),""select Col6 where Col7 = 'Depositada' and Col9 = '""&amp;K386&amp;""' and Col6 ="&amp;" ""&amp;M386&amp;"" and Col4 = date '""&amp;YEAR(C386)&amp;""-""&amp;MONTH(C386)&amp;""-""&amp;DAY(C386)&amp;""'""))&gt;0,""Depositada"",if(sum(QUERY(IMPORTRANGE(""https://docs.google.com/spreadsheets/d/1EcLIvUgMoBC5as4ikW0wuQsGH5yVZ6cQ1y16qEfgPnk"",""BD M Sangrias!a:i""),""select Col6 whe"&amp;"re Col7 = 'Caixa Atendimento' and Col9 = '""&amp;K386&amp;""' and Col6 = ""&amp;M386&amp;"" and Col4 = date '""&amp;YEAR(C386)&amp;""-""&amp;MONTH(C386)&amp;""-""&amp;DAY(C386)&amp;""'""))&gt;0,""Caixa Atendimento"",""Caixa Sangria"")),""""),""Caixa Sangria"")"),"")</f>
        <v/>
      </c>
      <c r="M386" s="185" t="str">
        <f>IFERROR(__xludf.DUMMYFUNCTION("ifna(VALUE(REGEXEXTRACT(E386,""[0-9.]+[,]+[0-9]+"")))"),"")</f>
        <v/>
      </c>
      <c r="N386" s="185"/>
      <c r="O386" s="185"/>
      <c r="P386" s="185"/>
      <c r="Q386" s="185"/>
      <c r="R386" s="185"/>
      <c r="S386" s="185"/>
      <c r="T386" s="185"/>
      <c r="U386" s="185"/>
      <c r="V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184" t="str">
        <f>IFERROR(__xludf.DUMMYFUNCTION("ifna(IF(and(D387=""Saída"",J387=""Sangria""),if(sum(QUERY(IMPORTRANGE(""https://docs.google.com/spreadsheets/d/1E4szPcLzsqlw4uyBAoJ61L1ChCgpz4wVP8tHfHW1g_c"",""BD M Sangrias!a:i""),""select Col6 where Col7 = 'Depositada' and Col9 = '""&amp;K387&amp;""' and Col6 ="&amp;" ""&amp;M387&amp;"" and Col4 = date '""&amp;YEAR(C387)&amp;""-""&amp;MONTH(C387)&amp;""-""&amp;DAY(C387)&amp;""'""))&gt;0,""Depositada"",if(sum(QUERY(IMPORTRANGE(""https://docs.google.com/spreadsheets/d/1EcLIvUgMoBC5as4ikW0wuQsGH5yVZ6cQ1y16qEfgPnk"",""BD M Sangrias!a:i""),""select Col6 whe"&amp;"re Col7 = 'Caixa Atendimento' and Col9 = '""&amp;K387&amp;""' and Col6 = ""&amp;M387&amp;"" and Col4 = date '""&amp;YEAR(C387)&amp;""-""&amp;MONTH(C387)&amp;""-""&amp;DAY(C387)&amp;""'""))&gt;0,""Caixa Atendimento"",""Caixa Sangria"")),""""),""Caixa Sangria"")"),"")</f>
        <v/>
      </c>
      <c r="M387" s="185" t="str">
        <f>IFERROR(__xludf.DUMMYFUNCTION("ifna(VALUE(REGEXEXTRACT(E387,""[0-9.]+[,]+[0-9]+"")))"),"")</f>
        <v/>
      </c>
      <c r="N387" s="185"/>
      <c r="O387" s="185"/>
      <c r="P387" s="185"/>
      <c r="Q387" s="185"/>
      <c r="R387" s="185"/>
      <c r="S387" s="185"/>
      <c r="T387" s="185"/>
      <c r="U387" s="185"/>
      <c r="V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184" t="str">
        <f>IFERROR(__xludf.DUMMYFUNCTION("ifna(IF(and(D388=""Saída"",J388=""Sangria""),if(sum(QUERY(IMPORTRANGE(""https://docs.google.com/spreadsheets/d/1E4szPcLzsqlw4uyBAoJ61L1ChCgpz4wVP8tHfHW1g_c"",""BD M Sangrias!a:i""),""select Col6 where Col7 = 'Depositada' and Col9 = '""&amp;K388&amp;""' and Col6 ="&amp;" ""&amp;M388&amp;"" and Col4 = date '""&amp;YEAR(C388)&amp;""-""&amp;MONTH(C388)&amp;""-""&amp;DAY(C388)&amp;""'""))&gt;0,""Depositada"",if(sum(QUERY(IMPORTRANGE(""https://docs.google.com/spreadsheets/d/1EcLIvUgMoBC5as4ikW0wuQsGH5yVZ6cQ1y16qEfgPnk"",""BD M Sangrias!a:i""),""select Col6 whe"&amp;"re Col7 = 'Caixa Atendimento' and Col9 = '""&amp;K388&amp;""' and Col6 = ""&amp;M388&amp;"" and Col4 = date '""&amp;YEAR(C388)&amp;""-""&amp;MONTH(C388)&amp;""-""&amp;DAY(C388)&amp;""'""))&gt;0,""Caixa Atendimento"",""Caixa Sangria"")),""""),""Caixa Sangria"")"),"")</f>
        <v/>
      </c>
      <c r="M388" s="185" t="str">
        <f>IFERROR(__xludf.DUMMYFUNCTION("ifna(VALUE(REGEXEXTRACT(E388,""[0-9.]+[,]+[0-9]+"")))"),"")</f>
        <v/>
      </c>
      <c r="N388" s="185"/>
      <c r="O388" s="185"/>
      <c r="P388" s="185"/>
      <c r="Q388" s="185"/>
      <c r="R388" s="185"/>
      <c r="S388" s="185"/>
      <c r="T388" s="185"/>
      <c r="U388" s="185"/>
      <c r="V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184" t="str">
        <f>IFERROR(__xludf.DUMMYFUNCTION("ifna(IF(and(D389=""Saída"",J389=""Sangria""),if(sum(QUERY(IMPORTRANGE(""https://docs.google.com/spreadsheets/d/1E4szPcLzsqlw4uyBAoJ61L1ChCgpz4wVP8tHfHW1g_c"",""BD M Sangrias!a:i""),""select Col6 where Col7 = 'Depositada' and Col9 = '""&amp;K389&amp;""' and Col6 ="&amp;" ""&amp;M389&amp;"" and Col4 = date '""&amp;YEAR(C389)&amp;""-""&amp;MONTH(C389)&amp;""-""&amp;DAY(C389)&amp;""'""))&gt;0,""Depositada"",if(sum(QUERY(IMPORTRANGE(""https://docs.google.com/spreadsheets/d/1EcLIvUgMoBC5as4ikW0wuQsGH5yVZ6cQ1y16qEfgPnk"",""BD M Sangrias!a:i""),""select Col6 whe"&amp;"re Col7 = 'Caixa Atendimento' and Col9 = '""&amp;K389&amp;""' and Col6 = ""&amp;M389&amp;"" and Col4 = date '""&amp;YEAR(C389)&amp;""-""&amp;MONTH(C389)&amp;""-""&amp;DAY(C389)&amp;""'""))&gt;0,""Caixa Atendimento"",""Caixa Sangria"")),""""),""Caixa Sangria"")"),"")</f>
        <v/>
      </c>
      <c r="M389" s="185" t="str">
        <f>IFERROR(__xludf.DUMMYFUNCTION("ifna(VALUE(REGEXEXTRACT(E389,""[0-9.]+[,]+[0-9]+"")))"),"")</f>
        <v/>
      </c>
      <c r="N389" s="185"/>
      <c r="O389" s="185"/>
      <c r="P389" s="185"/>
      <c r="Q389" s="185"/>
      <c r="R389" s="185"/>
      <c r="S389" s="185"/>
      <c r="T389" s="185"/>
      <c r="U389" s="185"/>
      <c r="V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184" t="str">
        <f>IFERROR(__xludf.DUMMYFUNCTION("ifna(IF(and(D390=""Saída"",J390=""Sangria""),if(sum(QUERY(IMPORTRANGE(""https://docs.google.com/spreadsheets/d/1E4szPcLzsqlw4uyBAoJ61L1ChCgpz4wVP8tHfHW1g_c"",""BD M Sangrias!a:i""),""select Col6 where Col7 = 'Depositada' and Col9 = '""&amp;K390&amp;""' and Col6 ="&amp;" ""&amp;M390&amp;"" and Col4 = date '""&amp;YEAR(C390)&amp;""-""&amp;MONTH(C390)&amp;""-""&amp;DAY(C390)&amp;""'""))&gt;0,""Depositada"",if(sum(QUERY(IMPORTRANGE(""https://docs.google.com/spreadsheets/d/1EcLIvUgMoBC5as4ikW0wuQsGH5yVZ6cQ1y16qEfgPnk"",""BD M Sangrias!a:i""),""select Col6 whe"&amp;"re Col7 = 'Caixa Atendimento' and Col9 = '""&amp;K390&amp;""' and Col6 = ""&amp;M390&amp;"" and Col4 = date '""&amp;YEAR(C390)&amp;""-""&amp;MONTH(C390)&amp;""-""&amp;DAY(C390)&amp;""'""))&gt;0,""Caixa Atendimento"",""Caixa Sangria"")),""""),""Caixa Sangria"")"),"")</f>
        <v/>
      </c>
      <c r="M390" s="185" t="str">
        <f>IFERROR(__xludf.DUMMYFUNCTION("ifna(VALUE(REGEXEXTRACT(E390,""[0-9.]+[,]+[0-9]+"")))"),"")</f>
        <v/>
      </c>
      <c r="N390" s="185"/>
      <c r="O390" s="185"/>
      <c r="P390" s="185"/>
      <c r="Q390" s="185"/>
      <c r="R390" s="185"/>
      <c r="S390" s="185"/>
      <c r="T390" s="185"/>
      <c r="U390" s="185"/>
      <c r="V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184" t="str">
        <f>IFERROR(__xludf.DUMMYFUNCTION("ifna(IF(and(D391=""Saída"",J391=""Sangria""),if(sum(QUERY(IMPORTRANGE(""https://docs.google.com/spreadsheets/d/1E4szPcLzsqlw4uyBAoJ61L1ChCgpz4wVP8tHfHW1g_c"",""BD M Sangrias!a:i""),""select Col6 where Col7 = 'Depositada' and Col9 = '""&amp;K391&amp;""' and Col6 ="&amp;" ""&amp;M391&amp;"" and Col4 = date '""&amp;YEAR(C391)&amp;""-""&amp;MONTH(C391)&amp;""-""&amp;DAY(C391)&amp;""'""))&gt;0,""Depositada"",if(sum(QUERY(IMPORTRANGE(""https://docs.google.com/spreadsheets/d/1EcLIvUgMoBC5as4ikW0wuQsGH5yVZ6cQ1y16qEfgPnk"",""BD M Sangrias!a:i""),""select Col6 whe"&amp;"re Col7 = 'Caixa Atendimento' and Col9 = '""&amp;K391&amp;""' and Col6 = ""&amp;M391&amp;"" and Col4 = date '""&amp;YEAR(C391)&amp;""-""&amp;MONTH(C391)&amp;""-""&amp;DAY(C391)&amp;""'""))&gt;0,""Caixa Atendimento"",""Caixa Sangria"")),""""),""Caixa Sangria"")"),"")</f>
        <v/>
      </c>
      <c r="M391" s="185" t="str">
        <f>IFERROR(__xludf.DUMMYFUNCTION("ifna(VALUE(REGEXEXTRACT(E391,""[0-9.]+[,]+[0-9]+"")))"),"")</f>
        <v/>
      </c>
      <c r="N391" s="185"/>
      <c r="O391" s="185"/>
      <c r="P391" s="185"/>
      <c r="Q391" s="185"/>
      <c r="R391" s="185"/>
      <c r="S391" s="185"/>
      <c r="T391" s="185"/>
      <c r="U391" s="185"/>
      <c r="V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184" t="str">
        <f>IFERROR(__xludf.DUMMYFUNCTION("ifna(IF(and(D392=""Saída"",J392=""Sangria""),if(sum(QUERY(IMPORTRANGE(""https://docs.google.com/spreadsheets/d/1E4szPcLzsqlw4uyBAoJ61L1ChCgpz4wVP8tHfHW1g_c"",""BD M Sangrias!a:i""),""select Col6 where Col7 = 'Depositada' and Col9 = '""&amp;K392&amp;""' and Col6 ="&amp;" ""&amp;M392&amp;"" and Col4 = date '""&amp;YEAR(C392)&amp;""-""&amp;MONTH(C392)&amp;""-""&amp;DAY(C392)&amp;""'""))&gt;0,""Depositada"",if(sum(QUERY(IMPORTRANGE(""https://docs.google.com/spreadsheets/d/1EcLIvUgMoBC5as4ikW0wuQsGH5yVZ6cQ1y16qEfgPnk"",""BD M Sangrias!a:i""),""select Col6 whe"&amp;"re Col7 = 'Caixa Atendimento' and Col9 = '""&amp;K392&amp;""' and Col6 = ""&amp;M392&amp;"" and Col4 = date '""&amp;YEAR(C392)&amp;""-""&amp;MONTH(C392)&amp;""-""&amp;DAY(C392)&amp;""'""))&gt;0,""Caixa Atendimento"",""Caixa Sangria"")),""""),""Caixa Sangria"")"),"")</f>
        <v/>
      </c>
      <c r="M392" s="185" t="str">
        <f>IFERROR(__xludf.DUMMYFUNCTION("ifna(VALUE(REGEXEXTRACT(E392,""[0-9.]+[,]+[0-9]+"")))"),"")</f>
        <v/>
      </c>
      <c r="N392" s="185"/>
      <c r="O392" s="185"/>
      <c r="P392" s="185"/>
      <c r="Q392" s="185"/>
      <c r="R392" s="185"/>
      <c r="S392" s="185"/>
      <c r="T392" s="185"/>
      <c r="U392" s="185"/>
      <c r="V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184" t="str">
        <f>IFERROR(__xludf.DUMMYFUNCTION("ifna(IF(and(D393=""Saída"",J393=""Sangria""),if(sum(QUERY(IMPORTRANGE(""https://docs.google.com/spreadsheets/d/1E4szPcLzsqlw4uyBAoJ61L1ChCgpz4wVP8tHfHW1g_c"",""BD M Sangrias!a:i""),""select Col6 where Col7 = 'Depositada' and Col9 = '""&amp;K393&amp;""' and Col6 ="&amp;" ""&amp;M393&amp;"" and Col4 = date '""&amp;YEAR(C393)&amp;""-""&amp;MONTH(C393)&amp;""-""&amp;DAY(C393)&amp;""'""))&gt;0,""Depositada"",if(sum(QUERY(IMPORTRANGE(""https://docs.google.com/spreadsheets/d/1EcLIvUgMoBC5as4ikW0wuQsGH5yVZ6cQ1y16qEfgPnk"",""BD M Sangrias!a:i""),""select Col6 whe"&amp;"re Col7 = 'Caixa Atendimento' and Col9 = '""&amp;K393&amp;""' and Col6 = ""&amp;M393&amp;"" and Col4 = date '""&amp;YEAR(C393)&amp;""-""&amp;MONTH(C393)&amp;""-""&amp;DAY(C393)&amp;""'""))&gt;0,""Caixa Atendimento"",""Caixa Sangria"")),""""),""Caixa Sangria"")"),"")</f>
        <v/>
      </c>
      <c r="M393" s="185" t="str">
        <f>IFERROR(__xludf.DUMMYFUNCTION("ifna(VALUE(REGEXEXTRACT(E393,""[0-9.]+[,]+[0-9]+"")))"),"")</f>
        <v/>
      </c>
      <c r="N393" s="185"/>
      <c r="O393" s="185"/>
      <c r="P393" s="185"/>
      <c r="Q393" s="185"/>
      <c r="R393" s="185"/>
      <c r="S393" s="185"/>
      <c r="T393" s="185"/>
      <c r="U393" s="185"/>
      <c r="V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184" t="str">
        <f>IFERROR(__xludf.DUMMYFUNCTION("ifna(IF(and(D394=""Saída"",J394=""Sangria""),if(sum(QUERY(IMPORTRANGE(""https://docs.google.com/spreadsheets/d/1E4szPcLzsqlw4uyBAoJ61L1ChCgpz4wVP8tHfHW1g_c"",""BD M Sangrias!a:i""),""select Col6 where Col7 = 'Depositada' and Col9 = '""&amp;K394&amp;""' and Col6 ="&amp;" ""&amp;M394&amp;"" and Col4 = date '""&amp;YEAR(C394)&amp;""-""&amp;MONTH(C394)&amp;""-""&amp;DAY(C394)&amp;""'""))&gt;0,""Depositada"",if(sum(QUERY(IMPORTRANGE(""https://docs.google.com/spreadsheets/d/1EcLIvUgMoBC5as4ikW0wuQsGH5yVZ6cQ1y16qEfgPnk"",""BD M Sangrias!a:i""),""select Col6 whe"&amp;"re Col7 = 'Caixa Atendimento' and Col9 = '""&amp;K394&amp;""' and Col6 = ""&amp;M394&amp;"" and Col4 = date '""&amp;YEAR(C394)&amp;""-""&amp;MONTH(C394)&amp;""-""&amp;DAY(C394)&amp;""'""))&gt;0,""Caixa Atendimento"",""Caixa Sangria"")),""""),""Caixa Sangria"")"),"")</f>
        <v/>
      </c>
      <c r="M394" s="185" t="str">
        <f>IFERROR(__xludf.DUMMYFUNCTION("ifna(VALUE(REGEXEXTRACT(E394,""[0-9.]+[,]+[0-9]+"")))"),"")</f>
        <v/>
      </c>
      <c r="N394" s="185"/>
      <c r="O394" s="185"/>
      <c r="P394" s="185"/>
      <c r="Q394" s="185"/>
      <c r="R394" s="185"/>
      <c r="S394" s="185"/>
      <c r="T394" s="185"/>
      <c r="U394" s="185"/>
      <c r="V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184" t="str">
        <f>IFERROR(__xludf.DUMMYFUNCTION("ifna(IF(and(D395=""Saída"",J395=""Sangria""),if(sum(QUERY(IMPORTRANGE(""https://docs.google.com/spreadsheets/d/1E4szPcLzsqlw4uyBAoJ61L1ChCgpz4wVP8tHfHW1g_c"",""BD M Sangrias!a:i""),""select Col6 where Col7 = 'Depositada' and Col9 = '""&amp;K395&amp;""' and Col6 ="&amp;" ""&amp;M395&amp;"" and Col4 = date '""&amp;YEAR(C395)&amp;""-""&amp;MONTH(C395)&amp;""-""&amp;DAY(C395)&amp;""'""))&gt;0,""Depositada"",if(sum(QUERY(IMPORTRANGE(""https://docs.google.com/spreadsheets/d/1EcLIvUgMoBC5as4ikW0wuQsGH5yVZ6cQ1y16qEfgPnk"",""BD M Sangrias!a:i""),""select Col6 whe"&amp;"re Col7 = 'Caixa Atendimento' and Col9 = '""&amp;K395&amp;""' and Col6 = ""&amp;M395&amp;"" and Col4 = date '""&amp;YEAR(C395)&amp;""-""&amp;MONTH(C395)&amp;""-""&amp;DAY(C395)&amp;""'""))&gt;0,""Caixa Atendimento"",""Caixa Sangria"")),""""),""Caixa Sangria"")"),"")</f>
        <v/>
      </c>
      <c r="M395" s="185" t="str">
        <f>IFERROR(__xludf.DUMMYFUNCTION("ifna(VALUE(REGEXEXTRACT(E395,""[0-9.]+[,]+[0-9]+"")))"),"")</f>
        <v/>
      </c>
      <c r="N395" s="185"/>
      <c r="O395" s="185"/>
      <c r="P395" s="185"/>
      <c r="Q395" s="185"/>
      <c r="R395" s="185"/>
      <c r="S395" s="185"/>
      <c r="T395" s="185"/>
      <c r="U395" s="185"/>
      <c r="V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184" t="str">
        <f>IFERROR(__xludf.DUMMYFUNCTION("ifna(IF(and(D396=""Saída"",J396=""Sangria""),if(sum(QUERY(IMPORTRANGE(""https://docs.google.com/spreadsheets/d/1E4szPcLzsqlw4uyBAoJ61L1ChCgpz4wVP8tHfHW1g_c"",""BD M Sangrias!a:i""),""select Col6 where Col7 = 'Depositada' and Col9 = '""&amp;K396&amp;""' and Col6 ="&amp;" ""&amp;M396&amp;"" and Col4 = date '""&amp;YEAR(C396)&amp;""-""&amp;MONTH(C396)&amp;""-""&amp;DAY(C396)&amp;""'""))&gt;0,""Depositada"",if(sum(QUERY(IMPORTRANGE(""https://docs.google.com/spreadsheets/d/1EcLIvUgMoBC5as4ikW0wuQsGH5yVZ6cQ1y16qEfgPnk"",""BD M Sangrias!a:i""),""select Col6 whe"&amp;"re Col7 = 'Caixa Atendimento' and Col9 = '""&amp;K396&amp;""' and Col6 = ""&amp;M396&amp;"" and Col4 = date '""&amp;YEAR(C396)&amp;""-""&amp;MONTH(C396)&amp;""-""&amp;DAY(C396)&amp;""'""))&gt;0,""Caixa Atendimento"",""Caixa Sangria"")),""""),""Caixa Sangria"")"),"")</f>
        <v/>
      </c>
      <c r="M396" s="185" t="str">
        <f>IFERROR(__xludf.DUMMYFUNCTION("ifna(VALUE(REGEXEXTRACT(E396,""[0-9.]+[,]+[0-9]+"")))"),"")</f>
        <v/>
      </c>
      <c r="N396" s="185"/>
      <c r="O396" s="185"/>
      <c r="P396" s="185"/>
      <c r="Q396" s="185"/>
      <c r="R396" s="185"/>
      <c r="S396" s="185"/>
      <c r="T396" s="185"/>
      <c r="U396" s="185"/>
      <c r="V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184" t="str">
        <f>IFERROR(__xludf.DUMMYFUNCTION("ifna(IF(and(D397=""Saída"",J397=""Sangria""),if(sum(QUERY(IMPORTRANGE(""https://docs.google.com/spreadsheets/d/1E4szPcLzsqlw4uyBAoJ61L1ChCgpz4wVP8tHfHW1g_c"",""BD M Sangrias!a:i""),""select Col6 where Col7 = 'Depositada' and Col9 = '""&amp;K397&amp;""' and Col6 ="&amp;" ""&amp;M397&amp;"" and Col4 = date '""&amp;YEAR(C397)&amp;""-""&amp;MONTH(C397)&amp;""-""&amp;DAY(C397)&amp;""'""))&gt;0,""Depositada"",if(sum(QUERY(IMPORTRANGE(""https://docs.google.com/spreadsheets/d/1EcLIvUgMoBC5as4ikW0wuQsGH5yVZ6cQ1y16qEfgPnk"",""BD M Sangrias!a:i""),""select Col6 whe"&amp;"re Col7 = 'Caixa Atendimento' and Col9 = '""&amp;K397&amp;""' and Col6 = ""&amp;M397&amp;"" and Col4 = date '""&amp;YEAR(C397)&amp;""-""&amp;MONTH(C397)&amp;""-""&amp;DAY(C397)&amp;""'""))&gt;0,""Caixa Atendimento"",""Caixa Sangria"")),""""),""Caixa Sangria"")"),"")</f>
        <v/>
      </c>
      <c r="M397" s="185" t="str">
        <f>IFERROR(__xludf.DUMMYFUNCTION("ifna(VALUE(REGEXEXTRACT(E397,""[0-9.]+[,]+[0-9]+"")))"),"")</f>
        <v/>
      </c>
      <c r="N397" s="185"/>
      <c r="O397" s="185"/>
      <c r="P397" s="185"/>
      <c r="Q397" s="185"/>
      <c r="R397" s="185"/>
      <c r="S397" s="185"/>
      <c r="T397" s="185"/>
      <c r="U397" s="185"/>
      <c r="V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184" t="str">
        <f>IFERROR(__xludf.DUMMYFUNCTION("ifna(IF(and(D398=""Saída"",J398=""Sangria""),if(sum(QUERY(IMPORTRANGE(""https://docs.google.com/spreadsheets/d/1E4szPcLzsqlw4uyBAoJ61L1ChCgpz4wVP8tHfHW1g_c"",""BD M Sangrias!a:i""),""select Col6 where Col7 = 'Depositada' and Col9 = '""&amp;K398&amp;""' and Col6 ="&amp;" ""&amp;M398&amp;"" and Col4 = date '""&amp;YEAR(C398)&amp;""-""&amp;MONTH(C398)&amp;""-""&amp;DAY(C398)&amp;""'""))&gt;0,""Depositada"",if(sum(QUERY(IMPORTRANGE(""https://docs.google.com/spreadsheets/d/1EcLIvUgMoBC5as4ikW0wuQsGH5yVZ6cQ1y16qEfgPnk"",""BD M Sangrias!a:i""),""select Col6 whe"&amp;"re Col7 = 'Caixa Atendimento' and Col9 = '""&amp;K398&amp;""' and Col6 = ""&amp;M398&amp;"" and Col4 = date '""&amp;YEAR(C398)&amp;""-""&amp;MONTH(C398)&amp;""-""&amp;DAY(C398)&amp;""'""))&gt;0,""Caixa Atendimento"",""Caixa Sangria"")),""""),""Caixa Sangria"")"),"")</f>
        <v/>
      </c>
      <c r="M398" s="185" t="str">
        <f>IFERROR(__xludf.DUMMYFUNCTION("ifna(VALUE(REGEXEXTRACT(E398,""[0-9.]+[,]+[0-9]+"")))"),"")</f>
        <v/>
      </c>
      <c r="N398" s="185"/>
      <c r="O398" s="185"/>
      <c r="P398" s="185"/>
      <c r="Q398" s="185"/>
      <c r="R398" s="185"/>
      <c r="S398" s="185"/>
      <c r="T398" s="185"/>
      <c r="U398" s="185"/>
      <c r="V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184" t="str">
        <f>IFERROR(__xludf.DUMMYFUNCTION("ifna(IF(and(D399=""Saída"",J399=""Sangria""),if(sum(QUERY(IMPORTRANGE(""https://docs.google.com/spreadsheets/d/1E4szPcLzsqlw4uyBAoJ61L1ChCgpz4wVP8tHfHW1g_c"",""BD M Sangrias!a:i""),""select Col6 where Col7 = 'Depositada' and Col9 = '""&amp;K399&amp;""' and Col6 ="&amp;" ""&amp;M399&amp;"" and Col4 = date '""&amp;YEAR(C399)&amp;""-""&amp;MONTH(C399)&amp;""-""&amp;DAY(C399)&amp;""'""))&gt;0,""Depositada"",if(sum(QUERY(IMPORTRANGE(""https://docs.google.com/spreadsheets/d/1EcLIvUgMoBC5as4ikW0wuQsGH5yVZ6cQ1y16qEfgPnk"",""BD M Sangrias!a:i""),""select Col6 whe"&amp;"re Col7 = 'Caixa Atendimento' and Col9 = '""&amp;K399&amp;""' and Col6 = ""&amp;M399&amp;"" and Col4 = date '""&amp;YEAR(C399)&amp;""-""&amp;MONTH(C399)&amp;""-""&amp;DAY(C399)&amp;""'""))&gt;0,""Caixa Atendimento"",""Caixa Sangria"")),""""),""Caixa Sangria"")"),"")</f>
        <v/>
      </c>
      <c r="M399" s="185" t="str">
        <f>IFERROR(__xludf.DUMMYFUNCTION("ifna(VALUE(REGEXEXTRACT(E399,""[0-9.]+[,]+[0-9]+"")))"),"")</f>
        <v/>
      </c>
      <c r="N399" s="185"/>
      <c r="O399" s="185"/>
      <c r="P399" s="185"/>
      <c r="Q399" s="185"/>
      <c r="R399" s="185"/>
      <c r="S399" s="185"/>
      <c r="T399" s="185"/>
      <c r="U399" s="185"/>
      <c r="V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184" t="str">
        <f>IFERROR(__xludf.DUMMYFUNCTION("ifna(IF(and(D400=""Saída"",J400=""Sangria""),if(sum(QUERY(IMPORTRANGE(""https://docs.google.com/spreadsheets/d/1E4szPcLzsqlw4uyBAoJ61L1ChCgpz4wVP8tHfHW1g_c"",""BD M Sangrias!a:i""),""select Col6 where Col7 = 'Depositada' and Col9 = '""&amp;K400&amp;""' and Col6 ="&amp;" ""&amp;M400&amp;"" and Col4 = date '""&amp;YEAR(C400)&amp;""-""&amp;MONTH(C400)&amp;""-""&amp;DAY(C400)&amp;""'""))&gt;0,""Depositada"",if(sum(QUERY(IMPORTRANGE(""https://docs.google.com/spreadsheets/d/1EcLIvUgMoBC5as4ikW0wuQsGH5yVZ6cQ1y16qEfgPnk"",""BD M Sangrias!a:i""),""select Col6 whe"&amp;"re Col7 = 'Caixa Atendimento' and Col9 = '""&amp;K400&amp;""' and Col6 = ""&amp;M400&amp;"" and Col4 = date '""&amp;YEAR(C400)&amp;""-""&amp;MONTH(C400)&amp;""-""&amp;DAY(C400)&amp;""'""))&gt;0,""Caixa Atendimento"",""Caixa Sangria"")),""""),""Caixa Sangria"")"),"")</f>
        <v/>
      </c>
      <c r="M400" s="185" t="str">
        <f>IFERROR(__xludf.DUMMYFUNCTION("ifna(VALUE(REGEXEXTRACT(E400,""[0-9.]+[,]+[0-9]+"")))"),"")</f>
        <v/>
      </c>
      <c r="N400" s="185"/>
      <c r="O400" s="185"/>
      <c r="P400" s="185"/>
      <c r="Q400" s="185"/>
      <c r="R400" s="185"/>
      <c r="S400" s="185"/>
      <c r="T400" s="185"/>
      <c r="U400" s="185"/>
      <c r="V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184" t="str">
        <f>IFERROR(__xludf.DUMMYFUNCTION("ifna(IF(and(D401=""Saída"",J401=""Sangria""),if(sum(QUERY(IMPORTRANGE(""https://docs.google.com/spreadsheets/d/1E4szPcLzsqlw4uyBAoJ61L1ChCgpz4wVP8tHfHW1g_c"",""BD M Sangrias!a:i""),""select Col6 where Col7 = 'Depositada' and Col9 = '""&amp;K401&amp;""' and Col6 ="&amp;" ""&amp;M401&amp;"" and Col4 = date '""&amp;YEAR(C401)&amp;""-""&amp;MONTH(C401)&amp;""-""&amp;DAY(C401)&amp;""'""))&gt;0,""Depositada"",if(sum(QUERY(IMPORTRANGE(""https://docs.google.com/spreadsheets/d/1EcLIvUgMoBC5as4ikW0wuQsGH5yVZ6cQ1y16qEfgPnk"",""BD M Sangrias!a:i""),""select Col6 whe"&amp;"re Col7 = 'Caixa Atendimento' and Col9 = '""&amp;K401&amp;""' and Col6 = ""&amp;M401&amp;"" and Col4 = date '""&amp;YEAR(C401)&amp;""-""&amp;MONTH(C401)&amp;""-""&amp;DAY(C401)&amp;""'""))&gt;0,""Caixa Atendimento"",""Caixa Sangria"")),""""),""Caixa Sangria"")"),"")</f>
        <v/>
      </c>
      <c r="M401" s="185" t="str">
        <f>IFERROR(__xludf.DUMMYFUNCTION("ifna(VALUE(REGEXEXTRACT(E401,""[0-9.]+[,]+[0-9]+"")))"),"")</f>
        <v/>
      </c>
      <c r="N401" s="185"/>
      <c r="O401" s="185"/>
      <c r="P401" s="185"/>
      <c r="Q401" s="185"/>
      <c r="R401" s="185"/>
      <c r="S401" s="185"/>
      <c r="T401" s="185"/>
      <c r="U401" s="185"/>
      <c r="V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184" t="str">
        <f>IFERROR(__xludf.DUMMYFUNCTION("ifna(IF(and(D402=""Saída"",J402=""Sangria""),if(sum(QUERY(IMPORTRANGE(""https://docs.google.com/spreadsheets/d/1E4szPcLzsqlw4uyBAoJ61L1ChCgpz4wVP8tHfHW1g_c"",""BD M Sangrias!a:i""),""select Col6 where Col7 = 'Depositada' and Col9 = '""&amp;K402&amp;""' and Col6 ="&amp;" ""&amp;M402&amp;"" and Col4 = date '""&amp;YEAR(C402)&amp;""-""&amp;MONTH(C402)&amp;""-""&amp;DAY(C402)&amp;""'""))&gt;0,""Depositada"",if(sum(QUERY(IMPORTRANGE(""https://docs.google.com/spreadsheets/d/1EcLIvUgMoBC5as4ikW0wuQsGH5yVZ6cQ1y16qEfgPnk"",""BD M Sangrias!a:i""),""select Col6 whe"&amp;"re Col7 = 'Caixa Atendimento' and Col9 = '""&amp;K402&amp;""' and Col6 = ""&amp;M402&amp;"" and Col4 = date '""&amp;YEAR(C402)&amp;""-""&amp;MONTH(C402)&amp;""-""&amp;DAY(C402)&amp;""'""))&gt;0,""Caixa Atendimento"",""Caixa Sangria"")),""""),""Caixa Sangria"")"),"")</f>
        <v/>
      </c>
      <c r="M402" s="185" t="str">
        <f>IFERROR(__xludf.DUMMYFUNCTION("ifna(VALUE(REGEXEXTRACT(E402,""[0-9.]+[,]+[0-9]+"")))"),"")</f>
        <v/>
      </c>
      <c r="N402" s="185"/>
      <c r="O402" s="185"/>
      <c r="P402" s="185"/>
      <c r="Q402" s="185"/>
      <c r="R402" s="185"/>
      <c r="S402" s="185"/>
      <c r="T402" s="185"/>
      <c r="U402" s="185"/>
      <c r="V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184" t="str">
        <f>IFERROR(__xludf.DUMMYFUNCTION("ifna(IF(and(D403=""Saída"",J403=""Sangria""),if(sum(QUERY(IMPORTRANGE(""https://docs.google.com/spreadsheets/d/1E4szPcLzsqlw4uyBAoJ61L1ChCgpz4wVP8tHfHW1g_c"",""BD M Sangrias!a:i""),""select Col6 where Col7 = 'Depositada' and Col9 = '""&amp;K403&amp;""' and Col6 ="&amp;" ""&amp;M403&amp;"" and Col4 = date '""&amp;YEAR(C403)&amp;""-""&amp;MONTH(C403)&amp;""-""&amp;DAY(C403)&amp;""'""))&gt;0,""Depositada"",if(sum(QUERY(IMPORTRANGE(""https://docs.google.com/spreadsheets/d/1EcLIvUgMoBC5as4ikW0wuQsGH5yVZ6cQ1y16qEfgPnk"",""BD M Sangrias!a:i""),""select Col6 whe"&amp;"re Col7 = 'Caixa Atendimento' and Col9 = '""&amp;K403&amp;""' and Col6 = ""&amp;M403&amp;"" and Col4 = date '""&amp;YEAR(C403)&amp;""-""&amp;MONTH(C403)&amp;""-""&amp;DAY(C403)&amp;""'""))&gt;0,""Caixa Atendimento"",""Caixa Sangria"")),""""),""Caixa Sangria"")"),"")</f>
        <v/>
      </c>
      <c r="M403" s="185" t="str">
        <f>IFERROR(__xludf.DUMMYFUNCTION("ifna(VALUE(REGEXEXTRACT(E403,""[0-9.]+[,]+[0-9]+"")))"),"")</f>
        <v/>
      </c>
      <c r="N403" s="185"/>
      <c r="O403" s="185"/>
      <c r="P403" s="185"/>
      <c r="Q403" s="185"/>
      <c r="R403" s="185"/>
      <c r="S403" s="185"/>
      <c r="T403" s="185"/>
      <c r="U403" s="185"/>
      <c r="V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184" t="str">
        <f>IFERROR(__xludf.DUMMYFUNCTION("ifna(IF(and(D404=""Saída"",J404=""Sangria""),if(sum(QUERY(IMPORTRANGE(""https://docs.google.com/spreadsheets/d/1E4szPcLzsqlw4uyBAoJ61L1ChCgpz4wVP8tHfHW1g_c"",""BD M Sangrias!a:i""),""select Col6 where Col7 = 'Depositada' and Col9 = '""&amp;K404&amp;""' and Col6 ="&amp;" ""&amp;M404&amp;"" and Col4 = date '""&amp;YEAR(C404)&amp;""-""&amp;MONTH(C404)&amp;""-""&amp;DAY(C404)&amp;""'""))&gt;0,""Depositada"",if(sum(QUERY(IMPORTRANGE(""https://docs.google.com/spreadsheets/d/1EcLIvUgMoBC5as4ikW0wuQsGH5yVZ6cQ1y16qEfgPnk"",""BD M Sangrias!a:i""),""select Col6 whe"&amp;"re Col7 = 'Caixa Atendimento' and Col9 = '""&amp;K404&amp;""' and Col6 = ""&amp;M404&amp;"" and Col4 = date '""&amp;YEAR(C404)&amp;""-""&amp;MONTH(C404)&amp;""-""&amp;DAY(C404)&amp;""'""))&gt;0,""Caixa Atendimento"",""Caixa Sangria"")),""""),""Caixa Sangria"")"),"")</f>
        <v/>
      </c>
      <c r="M404" s="185" t="str">
        <f>IFERROR(__xludf.DUMMYFUNCTION("ifna(VALUE(REGEXEXTRACT(E404,""[0-9.]+[,]+[0-9]+"")))"),"")</f>
        <v/>
      </c>
      <c r="N404" s="185"/>
      <c r="O404" s="185"/>
      <c r="P404" s="185"/>
      <c r="Q404" s="185"/>
      <c r="R404" s="185"/>
      <c r="S404" s="185"/>
      <c r="T404" s="185"/>
      <c r="U404" s="185"/>
      <c r="V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184" t="str">
        <f>IFERROR(__xludf.DUMMYFUNCTION("ifna(IF(and(D405=""Saída"",J405=""Sangria""),if(sum(QUERY(IMPORTRANGE(""https://docs.google.com/spreadsheets/d/1E4szPcLzsqlw4uyBAoJ61L1ChCgpz4wVP8tHfHW1g_c"",""BD M Sangrias!a:i""),""select Col6 where Col7 = 'Depositada' and Col9 = '""&amp;K405&amp;""' and Col6 ="&amp;" ""&amp;M405&amp;"" and Col4 = date '""&amp;YEAR(C405)&amp;""-""&amp;MONTH(C405)&amp;""-""&amp;DAY(C405)&amp;""'""))&gt;0,""Depositada"",if(sum(QUERY(IMPORTRANGE(""https://docs.google.com/spreadsheets/d/1EcLIvUgMoBC5as4ikW0wuQsGH5yVZ6cQ1y16qEfgPnk"",""BD M Sangrias!a:i""),""select Col6 whe"&amp;"re Col7 = 'Caixa Atendimento' and Col9 = '""&amp;K405&amp;""' and Col6 = ""&amp;M405&amp;"" and Col4 = date '""&amp;YEAR(C405)&amp;""-""&amp;MONTH(C405)&amp;""-""&amp;DAY(C405)&amp;""'""))&gt;0,""Caixa Atendimento"",""Caixa Sangria"")),""""),""Caixa Sangria"")"),"")</f>
        <v/>
      </c>
      <c r="M405" s="185" t="str">
        <f>IFERROR(__xludf.DUMMYFUNCTION("ifna(VALUE(REGEXEXTRACT(E405,""[0-9.]+[,]+[0-9]+"")))"),"")</f>
        <v/>
      </c>
      <c r="N405" s="185"/>
      <c r="O405" s="185"/>
      <c r="P405" s="185"/>
      <c r="Q405" s="185"/>
      <c r="R405" s="185"/>
      <c r="S405" s="185"/>
      <c r="T405" s="185"/>
      <c r="U405" s="185"/>
      <c r="V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184" t="str">
        <f>IFERROR(__xludf.DUMMYFUNCTION("ifna(IF(and(D406=""Saída"",J406=""Sangria""),if(sum(QUERY(IMPORTRANGE(""https://docs.google.com/spreadsheets/d/1E4szPcLzsqlw4uyBAoJ61L1ChCgpz4wVP8tHfHW1g_c"",""BD M Sangrias!a:i""),""select Col6 where Col7 = 'Depositada' and Col9 = '""&amp;K406&amp;""' and Col6 ="&amp;" ""&amp;M406&amp;"" and Col4 = date '""&amp;YEAR(C406)&amp;""-""&amp;MONTH(C406)&amp;""-""&amp;DAY(C406)&amp;""'""))&gt;0,""Depositada"",if(sum(QUERY(IMPORTRANGE(""https://docs.google.com/spreadsheets/d/1EcLIvUgMoBC5as4ikW0wuQsGH5yVZ6cQ1y16qEfgPnk"",""BD M Sangrias!a:i""),""select Col6 whe"&amp;"re Col7 = 'Caixa Atendimento' and Col9 = '""&amp;K406&amp;""' and Col6 = ""&amp;M406&amp;"" and Col4 = date '""&amp;YEAR(C406)&amp;""-""&amp;MONTH(C406)&amp;""-""&amp;DAY(C406)&amp;""'""))&gt;0,""Caixa Atendimento"",""Caixa Sangria"")),""""),""Caixa Sangria"")"),"")</f>
        <v/>
      </c>
      <c r="M406" s="185" t="str">
        <f>IFERROR(__xludf.DUMMYFUNCTION("ifna(VALUE(REGEXEXTRACT(E406,""[0-9.]+[,]+[0-9]+"")))"),"")</f>
        <v/>
      </c>
      <c r="N406" s="185"/>
      <c r="O406" s="185"/>
      <c r="P406" s="185"/>
      <c r="Q406" s="185"/>
      <c r="R406" s="185"/>
      <c r="S406" s="185"/>
      <c r="T406" s="185"/>
      <c r="U406" s="185"/>
      <c r="V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184" t="str">
        <f>IFERROR(__xludf.DUMMYFUNCTION("ifna(IF(and(D407=""Saída"",J407=""Sangria""),if(sum(QUERY(IMPORTRANGE(""https://docs.google.com/spreadsheets/d/1E4szPcLzsqlw4uyBAoJ61L1ChCgpz4wVP8tHfHW1g_c"",""BD M Sangrias!a:i""),""select Col6 where Col7 = 'Depositada' and Col9 = '""&amp;K407&amp;""' and Col6 ="&amp;" ""&amp;M407&amp;"" and Col4 = date '""&amp;YEAR(C407)&amp;""-""&amp;MONTH(C407)&amp;""-""&amp;DAY(C407)&amp;""'""))&gt;0,""Depositada"",if(sum(QUERY(IMPORTRANGE(""https://docs.google.com/spreadsheets/d/1EcLIvUgMoBC5as4ikW0wuQsGH5yVZ6cQ1y16qEfgPnk"",""BD M Sangrias!a:i""),""select Col6 whe"&amp;"re Col7 = 'Caixa Atendimento' and Col9 = '""&amp;K407&amp;""' and Col6 = ""&amp;M407&amp;"" and Col4 = date '""&amp;YEAR(C407)&amp;""-""&amp;MONTH(C407)&amp;""-""&amp;DAY(C407)&amp;""'""))&gt;0,""Caixa Atendimento"",""Caixa Sangria"")),""""),""Caixa Sangria"")"),"")</f>
        <v/>
      </c>
      <c r="M407" s="185" t="str">
        <f>IFERROR(__xludf.DUMMYFUNCTION("ifna(VALUE(REGEXEXTRACT(E407,""[0-9.]+[,]+[0-9]+"")))"),"")</f>
        <v/>
      </c>
      <c r="N407" s="185"/>
      <c r="O407" s="185"/>
      <c r="P407" s="185"/>
      <c r="Q407" s="185"/>
      <c r="R407" s="185"/>
      <c r="S407" s="185"/>
      <c r="T407" s="185"/>
      <c r="U407" s="185"/>
      <c r="V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184" t="str">
        <f>IFERROR(__xludf.DUMMYFUNCTION("ifna(IF(and(D408=""Saída"",J408=""Sangria""),if(sum(QUERY(IMPORTRANGE(""https://docs.google.com/spreadsheets/d/1E4szPcLzsqlw4uyBAoJ61L1ChCgpz4wVP8tHfHW1g_c"",""BD M Sangrias!a:i""),""select Col6 where Col7 = 'Depositada' and Col9 = '""&amp;K408&amp;""' and Col6 ="&amp;" ""&amp;M408&amp;"" and Col4 = date '""&amp;YEAR(C408)&amp;""-""&amp;MONTH(C408)&amp;""-""&amp;DAY(C408)&amp;""'""))&gt;0,""Depositada"",if(sum(QUERY(IMPORTRANGE(""https://docs.google.com/spreadsheets/d/1EcLIvUgMoBC5as4ikW0wuQsGH5yVZ6cQ1y16qEfgPnk"",""BD M Sangrias!a:i""),""select Col6 whe"&amp;"re Col7 = 'Caixa Atendimento' and Col9 = '""&amp;K408&amp;""' and Col6 = ""&amp;M408&amp;"" and Col4 = date '""&amp;YEAR(C408)&amp;""-""&amp;MONTH(C408)&amp;""-""&amp;DAY(C408)&amp;""'""))&gt;0,""Caixa Atendimento"",""Caixa Sangria"")),""""),""Caixa Sangria"")"),"")</f>
        <v/>
      </c>
      <c r="M408" s="185" t="str">
        <f>IFERROR(__xludf.DUMMYFUNCTION("ifna(VALUE(REGEXEXTRACT(E408,""[0-9.]+[,]+[0-9]+"")))"),"")</f>
        <v/>
      </c>
      <c r="N408" s="185"/>
      <c r="O408" s="185"/>
      <c r="P408" s="185"/>
      <c r="Q408" s="185"/>
      <c r="R408" s="185"/>
      <c r="S408" s="185"/>
      <c r="T408" s="185"/>
      <c r="U408" s="185"/>
      <c r="V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184" t="str">
        <f>IFERROR(__xludf.DUMMYFUNCTION("ifna(IF(and(D409=""Saída"",J409=""Sangria""),if(sum(QUERY(IMPORTRANGE(""https://docs.google.com/spreadsheets/d/1E4szPcLzsqlw4uyBAoJ61L1ChCgpz4wVP8tHfHW1g_c"",""BD M Sangrias!a:i""),""select Col6 where Col7 = 'Depositada' and Col9 = '""&amp;K409&amp;""' and Col6 ="&amp;" ""&amp;M409&amp;"" and Col4 = date '""&amp;YEAR(C409)&amp;""-""&amp;MONTH(C409)&amp;""-""&amp;DAY(C409)&amp;""'""))&gt;0,""Depositada"",if(sum(QUERY(IMPORTRANGE(""https://docs.google.com/spreadsheets/d/1EcLIvUgMoBC5as4ikW0wuQsGH5yVZ6cQ1y16qEfgPnk"",""BD M Sangrias!a:i""),""select Col6 whe"&amp;"re Col7 = 'Caixa Atendimento' and Col9 = '""&amp;K409&amp;""' and Col6 = ""&amp;M409&amp;"" and Col4 = date '""&amp;YEAR(C409)&amp;""-""&amp;MONTH(C409)&amp;""-""&amp;DAY(C409)&amp;""'""))&gt;0,""Caixa Atendimento"",""Caixa Sangria"")),""""),""Caixa Sangria"")"),"")</f>
        <v/>
      </c>
      <c r="M409" s="185" t="str">
        <f>IFERROR(__xludf.DUMMYFUNCTION("ifna(VALUE(REGEXEXTRACT(E409,""[0-9.]+[,]+[0-9]+"")))"),"")</f>
        <v/>
      </c>
      <c r="N409" s="185"/>
      <c r="O409" s="185"/>
      <c r="P409" s="185"/>
      <c r="Q409" s="185"/>
      <c r="R409" s="185"/>
      <c r="S409" s="185"/>
      <c r="T409" s="185"/>
      <c r="U409" s="185"/>
      <c r="V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184" t="str">
        <f>IFERROR(__xludf.DUMMYFUNCTION("ifna(IF(and(D410=""Saída"",J410=""Sangria""),if(sum(QUERY(IMPORTRANGE(""https://docs.google.com/spreadsheets/d/1E4szPcLzsqlw4uyBAoJ61L1ChCgpz4wVP8tHfHW1g_c"",""BD M Sangrias!a:i""),""select Col6 where Col7 = 'Depositada' and Col9 = '""&amp;K410&amp;""' and Col6 ="&amp;" ""&amp;M410&amp;"" and Col4 = date '""&amp;YEAR(C410)&amp;""-""&amp;MONTH(C410)&amp;""-""&amp;DAY(C410)&amp;""'""))&gt;0,""Depositada"",if(sum(QUERY(IMPORTRANGE(""https://docs.google.com/spreadsheets/d/1EcLIvUgMoBC5as4ikW0wuQsGH5yVZ6cQ1y16qEfgPnk"",""BD M Sangrias!a:i""),""select Col6 whe"&amp;"re Col7 = 'Caixa Atendimento' and Col9 = '""&amp;K410&amp;""' and Col6 = ""&amp;M410&amp;"" and Col4 = date '""&amp;YEAR(C410)&amp;""-""&amp;MONTH(C410)&amp;""-""&amp;DAY(C410)&amp;""'""))&gt;0,""Caixa Atendimento"",""Caixa Sangria"")),""""),""Caixa Sangria"")"),"")</f>
        <v/>
      </c>
      <c r="M410" s="185" t="str">
        <f>IFERROR(__xludf.DUMMYFUNCTION("ifna(VALUE(REGEXEXTRACT(E410,""[0-9.]+[,]+[0-9]+"")))"),"")</f>
        <v/>
      </c>
      <c r="N410" s="185"/>
      <c r="O410" s="185"/>
      <c r="P410" s="185"/>
      <c r="Q410" s="185"/>
      <c r="R410" s="185"/>
      <c r="S410" s="185"/>
      <c r="T410" s="185"/>
      <c r="U410" s="185"/>
      <c r="V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184" t="str">
        <f>IFERROR(__xludf.DUMMYFUNCTION("ifna(IF(and(D411=""Saída"",J411=""Sangria""),if(sum(QUERY(IMPORTRANGE(""https://docs.google.com/spreadsheets/d/1E4szPcLzsqlw4uyBAoJ61L1ChCgpz4wVP8tHfHW1g_c"",""BD M Sangrias!a:i""),""select Col6 where Col7 = 'Depositada' and Col9 = '""&amp;K411&amp;""' and Col6 ="&amp;" ""&amp;M411&amp;"" and Col4 = date '""&amp;YEAR(C411)&amp;""-""&amp;MONTH(C411)&amp;""-""&amp;DAY(C411)&amp;""'""))&gt;0,""Depositada"",if(sum(QUERY(IMPORTRANGE(""https://docs.google.com/spreadsheets/d/1EcLIvUgMoBC5as4ikW0wuQsGH5yVZ6cQ1y16qEfgPnk"",""BD M Sangrias!a:i""),""select Col6 whe"&amp;"re Col7 = 'Caixa Atendimento' and Col9 = '""&amp;K411&amp;""' and Col6 = ""&amp;M411&amp;"" and Col4 = date '""&amp;YEAR(C411)&amp;""-""&amp;MONTH(C411)&amp;""-""&amp;DAY(C411)&amp;""'""))&gt;0,""Caixa Atendimento"",""Caixa Sangria"")),""""),""Caixa Sangria"")"),"")</f>
        <v/>
      </c>
      <c r="M411" s="185" t="str">
        <f>IFERROR(__xludf.DUMMYFUNCTION("ifna(VALUE(REGEXEXTRACT(E411,""[0-9.]+[,]+[0-9]+"")))"),"")</f>
        <v/>
      </c>
      <c r="N411" s="185"/>
      <c r="O411" s="185"/>
      <c r="P411" s="185"/>
      <c r="Q411" s="185"/>
      <c r="R411" s="185"/>
      <c r="S411" s="185"/>
      <c r="T411" s="185"/>
      <c r="U411" s="185"/>
      <c r="V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184" t="str">
        <f>IFERROR(__xludf.DUMMYFUNCTION("ifna(IF(and(D412=""Saída"",J412=""Sangria""),if(sum(QUERY(IMPORTRANGE(""https://docs.google.com/spreadsheets/d/1E4szPcLzsqlw4uyBAoJ61L1ChCgpz4wVP8tHfHW1g_c"",""BD M Sangrias!a:i""),""select Col6 where Col7 = 'Depositada' and Col9 = '""&amp;K412&amp;""' and Col6 ="&amp;" ""&amp;M412&amp;"" and Col4 = date '""&amp;YEAR(C412)&amp;""-""&amp;MONTH(C412)&amp;""-""&amp;DAY(C412)&amp;""'""))&gt;0,""Depositada"",if(sum(QUERY(IMPORTRANGE(""https://docs.google.com/spreadsheets/d/1EcLIvUgMoBC5as4ikW0wuQsGH5yVZ6cQ1y16qEfgPnk"",""BD M Sangrias!a:i""),""select Col6 whe"&amp;"re Col7 = 'Caixa Atendimento' and Col9 = '""&amp;K412&amp;""' and Col6 = ""&amp;M412&amp;"" and Col4 = date '""&amp;YEAR(C412)&amp;""-""&amp;MONTH(C412)&amp;""-""&amp;DAY(C412)&amp;""'""))&gt;0,""Caixa Atendimento"",""Caixa Sangria"")),""""),""Caixa Sangria"")"),"")</f>
        <v/>
      </c>
      <c r="M412" s="185" t="str">
        <f>IFERROR(__xludf.DUMMYFUNCTION("ifna(VALUE(REGEXEXTRACT(E412,""[0-9.]+[,]+[0-9]+"")))"),"")</f>
        <v/>
      </c>
      <c r="N412" s="185"/>
      <c r="O412" s="185"/>
      <c r="P412" s="185"/>
      <c r="Q412" s="185"/>
      <c r="R412" s="185"/>
      <c r="S412" s="185"/>
      <c r="T412" s="185"/>
      <c r="U412" s="185"/>
      <c r="V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184" t="str">
        <f>IFERROR(__xludf.DUMMYFUNCTION("ifna(IF(and(D413=""Saída"",J413=""Sangria""),if(sum(QUERY(IMPORTRANGE(""https://docs.google.com/spreadsheets/d/1E4szPcLzsqlw4uyBAoJ61L1ChCgpz4wVP8tHfHW1g_c"",""BD M Sangrias!a:i""),""select Col6 where Col7 = 'Depositada' and Col9 = '""&amp;K413&amp;""' and Col6 ="&amp;" ""&amp;M413&amp;"" and Col4 = date '""&amp;YEAR(C413)&amp;""-""&amp;MONTH(C413)&amp;""-""&amp;DAY(C413)&amp;""'""))&gt;0,""Depositada"",if(sum(QUERY(IMPORTRANGE(""https://docs.google.com/spreadsheets/d/1EcLIvUgMoBC5as4ikW0wuQsGH5yVZ6cQ1y16qEfgPnk"",""BD M Sangrias!a:i""),""select Col6 whe"&amp;"re Col7 = 'Caixa Atendimento' and Col9 = '""&amp;K413&amp;""' and Col6 = ""&amp;M413&amp;"" and Col4 = date '""&amp;YEAR(C413)&amp;""-""&amp;MONTH(C413)&amp;""-""&amp;DAY(C413)&amp;""'""))&gt;0,""Caixa Atendimento"",""Caixa Sangria"")),""""),""Caixa Sangria"")"),"")</f>
        <v/>
      </c>
      <c r="M413" s="185" t="str">
        <f>IFERROR(__xludf.DUMMYFUNCTION("ifna(VALUE(REGEXEXTRACT(E413,""[0-9.]+[,]+[0-9]+"")))"),"")</f>
        <v/>
      </c>
      <c r="N413" s="185"/>
      <c r="O413" s="185"/>
      <c r="P413" s="185"/>
      <c r="Q413" s="185"/>
      <c r="R413" s="185"/>
      <c r="S413" s="185"/>
      <c r="T413" s="185"/>
      <c r="U413" s="185"/>
      <c r="V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184" t="str">
        <f>IFERROR(__xludf.DUMMYFUNCTION("ifna(IF(and(D414=""Saída"",J414=""Sangria""),if(sum(QUERY(IMPORTRANGE(""https://docs.google.com/spreadsheets/d/1E4szPcLzsqlw4uyBAoJ61L1ChCgpz4wVP8tHfHW1g_c"",""BD M Sangrias!a:i""),""select Col6 where Col7 = 'Depositada' and Col9 = '""&amp;K414&amp;""' and Col6 ="&amp;" ""&amp;M414&amp;"" and Col4 = date '""&amp;YEAR(C414)&amp;""-""&amp;MONTH(C414)&amp;""-""&amp;DAY(C414)&amp;""'""))&gt;0,""Depositada"",if(sum(QUERY(IMPORTRANGE(""https://docs.google.com/spreadsheets/d/1EcLIvUgMoBC5as4ikW0wuQsGH5yVZ6cQ1y16qEfgPnk"",""BD M Sangrias!a:i""),""select Col6 whe"&amp;"re Col7 = 'Caixa Atendimento' and Col9 = '""&amp;K414&amp;""' and Col6 = ""&amp;M414&amp;"" and Col4 = date '""&amp;YEAR(C414)&amp;""-""&amp;MONTH(C414)&amp;""-""&amp;DAY(C414)&amp;""'""))&gt;0,""Caixa Atendimento"",""Caixa Sangria"")),""""),""Caixa Sangria"")"),"")</f>
        <v/>
      </c>
      <c r="M414" s="185" t="str">
        <f>IFERROR(__xludf.DUMMYFUNCTION("ifna(VALUE(REGEXEXTRACT(E414,""[0-9.]+[,]+[0-9]+"")))"),"")</f>
        <v/>
      </c>
      <c r="N414" s="185"/>
      <c r="O414" s="185"/>
      <c r="P414" s="185"/>
      <c r="Q414" s="185"/>
      <c r="R414" s="185"/>
      <c r="S414" s="185"/>
      <c r="T414" s="185"/>
      <c r="U414" s="185"/>
      <c r="V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184" t="str">
        <f>IFERROR(__xludf.DUMMYFUNCTION("ifna(IF(and(D415=""Saída"",J415=""Sangria""),if(sum(QUERY(IMPORTRANGE(""https://docs.google.com/spreadsheets/d/1E4szPcLzsqlw4uyBAoJ61L1ChCgpz4wVP8tHfHW1g_c"",""BD M Sangrias!a:i""),""select Col6 where Col7 = 'Depositada' and Col9 = '""&amp;K415&amp;""' and Col6 ="&amp;" ""&amp;M415&amp;"" and Col4 = date '""&amp;YEAR(C415)&amp;""-""&amp;MONTH(C415)&amp;""-""&amp;DAY(C415)&amp;""'""))&gt;0,""Depositada"",if(sum(QUERY(IMPORTRANGE(""https://docs.google.com/spreadsheets/d/1EcLIvUgMoBC5as4ikW0wuQsGH5yVZ6cQ1y16qEfgPnk"",""BD M Sangrias!a:i""),""select Col6 whe"&amp;"re Col7 = 'Caixa Atendimento' and Col9 = '""&amp;K415&amp;""' and Col6 = ""&amp;M415&amp;"" and Col4 = date '""&amp;YEAR(C415)&amp;""-""&amp;MONTH(C415)&amp;""-""&amp;DAY(C415)&amp;""'""))&gt;0,""Caixa Atendimento"",""Caixa Sangria"")),""""),""Caixa Sangria"")"),"")</f>
        <v/>
      </c>
      <c r="M415" s="185" t="str">
        <f>IFERROR(__xludf.DUMMYFUNCTION("ifna(VALUE(REGEXEXTRACT(E415,""[0-9.]+[,]+[0-9]+"")))"),"")</f>
        <v/>
      </c>
      <c r="N415" s="185"/>
      <c r="O415" s="185"/>
      <c r="P415" s="185"/>
      <c r="Q415" s="185"/>
      <c r="R415" s="185"/>
      <c r="S415" s="185"/>
      <c r="T415" s="185"/>
      <c r="U415" s="185"/>
      <c r="V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184" t="str">
        <f>IFERROR(__xludf.DUMMYFUNCTION("ifna(IF(and(D416=""Saída"",J416=""Sangria""),if(sum(QUERY(IMPORTRANGE(""https://docs.google.com/spreadsheets/d/1E4szPcLzsqlw4uyBAoJ61L1ChCgpz4wVP8tHfHW1g_c"",""BD M Sangrias!a:i""),""select Col6 where Col7 = 'Depositada' and Col9 = '""&amp;K416&amp;""' and Col6 ="&amp;" ""&amp;M416&amp;"" and Col4 = date '""&amp;YEAR(C416)&amp;""-""&amp;MONTH(C416)&amp;""-""&amp;DAY(C416)&amp;""'""))&gt;0,""Depositada"",if(sum(QUERY(IMPORTRANGE(""https://docs.google.com/spreadsheets/d/1EcLIvUgMoBC5as4ikW0wuQsGH5yVZ6cQ1y16qEfgPnk"",""BD M Sangrias!a:i""),""select Col6 whe"&amp;"re Col7 = 'Caixa Atendimento' and Col9 = '""&amp;K416&amp;""' and Col6 = ""&amp;M416&amp;"" and Col4 = date '""&amp;YEAR(C416)&amp;""-""&amp;MONTH(C416)&amp;""-""&amp;DAY(C416)&amp;""'""))&gt;0,""Caixa Atendimento"",""Caixa Sangria"")),""""),""Caixa Sangria"")"),"")</f>
        <v/>
      </c>
      <c r="M416" s="185" t="str">
        <f>IFERROR(__xludf.DUMMYFUNCTION("ifna(VALUE(REGEXEXTRACT(E416,""[0-9.]+[,]+[0-9]+"")))"),"")</f>
        <v/>
      </c>
      <c r="N416" s="185"/>
      <c r="O416" s="185"/>
      <c r="P416" s="185"/>
      <c r="Q416" s="185"/>
      <c r="R416" s="185"/>
      <c r="S416" s="185"/>
      <c r="T416" s="185"/>
      <c r="U416" s="185"/>
      <c r="V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184" t="str">
        <f>IFERROR(__xludf.DUMMYFUNCTION("ifna(IF(and(D417=""Saída"",J417=""Sangria""),if(sum(QUERY(IMPORTRANGE(""https://docs.google.com/spreadsheets/d/1E4szPcLzsqlw4uyBAoJ61L1ChCgpz4wVP8tHfHW1g_c"",""BD M Sangrias!a:i""),""select Col6 where Col7 = 'Depositada' and Col9 = '""&amp;K417&amp;""' and Col6 ="&amp;" ""&amp;M417&amp;"" and Col4 = date '""&amp;YEAR(C417)&amp;""-""&amp;MONTH(C417)&amp;""-""&amp;DAY(C417)&amp;""'""))&gt;0,""Depositada"",if(sum(QUERY(IMPORTRANGE(""https://docs.google.com/spreadsheets/d/1EcLIvUgMoBC5as4ikW0wuQsGH5yVZ6cQ1y16qEfgPnk"",""BD M Sangrias!a:i""),""select Col6 whe"&amp;"re Col7 = 'Caixa Atendimento' and Col9 = '""&amp;K417&amp;""' and Col6 = ""&amp;M417&amp;"" and Col4 = date '""&amp;YEAR(C417)&amp;""-""&amp;MONTH(C417)&amp;""-""&amp;DAY(C417)&amp;""'""))&gt;0,""Caixa Atendimento"",""Caixa Sangria"")),""""),""Caixa Sangria"")"),"")</f>
        <v/>
      </c>
      <c r="M417" s="185" t="str">
        <f>IFERROR(__xludf.DUMMYFUNCTION("ifna(VALUE(REGEXEXTRACT(E417,""[0-9.]+[,]+[0-9]+"")))"),"")</f>
        <v/>
      </c>
      <c r="N417" s="185"/>
      <c r="O417" s="185"/>
      <c r="P417" s="185"/>
      <c r="Q417" s="185"/>
      <c r="R417" s="185"/>
      <c r="S417" s="185"/>
      <c r="T417" s="185"/>
      <c r="U417" s="185"/>
      <c r="V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184" t="str">
        <f>IFERROR(__xludf.DUMMYFUNCTION("ifna(IF(and(D418=""Saída"",J418=""Sangria""),if(sum(QUERY(IMPORTRANGE(""https://docs.google.com/spreadsheets/d/1E4szPcLzsqlw4uyBAoJ61L1ChCgpz4wVP8tHfHW1g_c"",""BD M Sangrias!a:i""),""select Col6 where Col7 = 'Depositada' and Col9 = '""&amp;K418&amp;""' and Col6 ="&amp;" ""&amp;M418&amp;"" and Col4 = date '""&amp;YEAR(C418)&amp;""-""&amp;MONTH(C418)&amp;""-""&amp;DAY(C418)&amp;""'""))&gt;0,""Depositada"",if(sum(QUERY(IMPORTRANGE(""https://docs.google.com/spreadsheets/d/1EcLIvUgMoBC5as4ikW0wuQsGH5yVZ6cQ1y16qEfgPnk"",""BD M Sangrias!a:i""),""select Col6 whe"&amp;"re Col7 = 'Caixa Atendimento' and Col9 = '""&amp;K418&amp;""' and Col6 = ""&amp;M418&amp;"" and Col4 = date '""&amp;YEAR(C418)&amp;""-""&amp;MONTH(C418)&amp;""-""&amp;DAY(C418)&amp;""'""))&gt;0,""Caixa Atendimento"",""Caixa Sangria"")),""""),""Caixa Sangria"")"),"")</f>
        <v/>
      </c>
      <c r="M418" s="185" t="str">
        <f>IFERROR(__xludf.DUMMYFUNCTION("ifna(VALUE(REGEXEXTRACT(E418,""[0-9.]+[,]+[0-9]+"")))"),"")</f>
        <v/>
      </c>
      <c r="N418" s="185"/>
      <c r="O418" s="185"/>
      <c r="P418" s="185"/>
      <c r="Q418" s="185"/>
      <c r="R418" s="185"/>
      <c r="S418" s="185"/>
      <c r="T418" s="185"/>
      <c r="U418" s="185"/>
      <c r="V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184" t="str">
        <f>IFERROR(__xludf.DUMMYFUNCTION("ifna(IF(and(D419=""Saída"",J419=""Sangria""),if(sum(QUERY(IMPORTRANGE(""https://docs.google.com/spreadsheets/d/1E4szPcLzsqlw4uyBAoJ61L1ChCgpz4wVP8tHfHW1g_c"",""BD M Sangrias!a:i""),""select Col6 where Col7 = 'Depositada' and Col9 = '""&amp;K419&amp;""' and Col6 ="&amp;" ""&amp;M419&amp;"" and Col4 = date '""&amp;YEAR(C419)&amp;""-""&amp;MONTH(C419)&amp;""-""&amp;DAY(C419)&amp;""'""))&gt;0,""Depositada"",if(sum(QUERY(IMPORTRANGE(""https://docs.google.com/spreadsheets/d/1EcLIvUgMoBC5as4ikW0wuQsGH5yVZ6cQ1y16qEfgPnk"",""BD M Sangrias!a:i""),""select Col6 whe"&amp;"re Col7 = 'Caixa Atendimento' and Col9 = '""&amp;K419&amp;""' and Col6 = ""&amp;M419&amp;"" and Col4 = date '""&amp;YEAR(C419)&amp;""-""&amp;MONTH(C419)&amp;""-""&amp;DAY(C419)&amp;""'""))&gt;0,""Caixa Atendimento"",""Caixa Sangria"")),""""),""Caixa Sangria"")"),"")</f>
        <v/>
      </c>
      <c r="M419" s="185" t="str">
        <f>IFERROR(__xludf.DUMMYFUNCTION("ifna(VALUE(REGEXEXTRACT(E419,""[0-9.]+[,]+[0-9]+"")))"),"")</f>
        <v/>
      </c>
      <c r="N419" s="185"/>
      <c r="O419" s="185"/>
      <c r="P419" s="185"/>
      <c r="Q419" s="185"/>
      <c r="R419" s="185"/>
      <c r="S419" s="185"/>
      <c r="T419" s="185"/>
      <c r="U419" s="185"/>
      <c r="V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184" t="str">
        <f>IFERROR(__xludf.DUMMYFUNCTION("ifna(IF(and(D420=""Saída"",J420=""Sangria""),if(sum(QUERY(IMPORTRANGE(""https://docs.google.com/spreadsheets/d/1E4szPcLzsqlw4uyBAoJ61L1ChCgpz4wVP8tHfHW1g_c"",""BD M Sangrias!a:i""),""select Col6 where Col7 = 'Depositada' and Col9 = '""&amp;K420&amp;""' and Col6 ="&amp;" ""&amp;M420&amp;"" and Col4 = date '""&amp;YEAR(C420)&amp;""-""&amp;MONTH(C420)&amp;""-""&amp;DAY(C420)&amp;""'""))&gt;0,""Depositada"",if(sum(QUERY(IMPORTRANGE(""https://docs.google.com/spreadsheets/d/1EcLIvUgMoBC5as4ikW0wuQsGH5yVZ6cQ1y16qEfgPnk"",""BD M Sangrias!a:i""),""select Col6 whe"&amp;"re Col7 = 'Caixa Atendimento' and Col9 = '""&amp;K420&amp;""' and Col6 = ""&amp;M420&amp;"" and Col4 = date '""&amp;YEAR(C420)&amp;""-""&amp;MONTH(C420)&amp;""-""&amp;DAY(C420)&amp;""'""))&gt;0,""Caixa Atendimento"",""Caixa Sangria"")),""""),""Caixa Sangria"")"),"")</f>
        <v/>
      </c>
      <c r="M420" s="185" t="str">
        <f>IFERROR(__xludf.DUMMYFUNCTION("ifna(VALUE(REGEXEXTRACT(E420,""[0-9.]+[,]+[0-9]+"")))"),"")</f>
        <v/>
      </c>
      <c r="N420" s="185"/>
      <c r="O420" s="185"/>
      <c r="P420" s="185"/>
      <c r="Q420" s="185"/>
      <c r="R420" s="185"/>
      <c r="S420" s="185"/>
      <c r="T420" s="185"/>
      <c r="U420" s="185"/>
      <c r="V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184" t="str">
        <f>IFERROR(__xludf.DUMMYFUNCTION("ifna(IF(and(D421=""Saída"",J421=""Sangria""),if(sum(QUERY(IMPORTRANGE(""https://docs.google.com/spreadsheets/d/1E4szPcLzsqlw4uyBAoJ61L1ChCgpz4wVP8tHfHW1g_c"",""BD M Sangrias!a:i""),""select Col6 where Col7 = 'Depositada' and Col9 = '""&amp;K421&amp;""' and Col6 ="&amp;" ""&amp;M421&amp;"" and Col4 = date '""&amp;YEAR(C421)&amp;""-""&amp;MONTH(C421)&amp;""-""&amp;DAY(C421)&amp;""'""))&gt;0,""Depositada"",if(sum(QUERY(IMPORTRANGE(""https://docs.google.com/spreadsheets/d/1EcLIvUgMoBC5as4ikW0wuQsGH5yVZ6cQ1y16qEfgPnk"",""BD M Sangrias!a:i""),""select Col6 whe"&amp;"re Col7 = 'Caixa Atendimento' and Col9 = '""&amp;K421&amp;""' and Col6 = ""&amp;M421&amp;"" and Col4 = date '""&amp;YEAR(C421)&amp;""-""&amp;MONTH(C421)&amp;""-""&amp;DAY(C421)&amp;""'""))&gt;0,""Caixa Atendimento"",""Caixa Sangria"")),""""),""Caixa Sangria"")"),"")</f>
        <v/>
      </c>
      <c r="M421" s="185" t="str">
        <f>IFERROR(__xludf.DUMMYFUNCTION("ifna(VALUE(REGEXEXTRACT(E421,""[0-9.]+[,]+[0-9]+"")))"),"")</f>
        <v/>
      </c>
      <c r="N421" s="185"/>
      <c r="O421" s="185"/>
      <c r="P421" s="185"/>
      <c r="Q421" s="185"/>
      <c r="R421" s="185"/>
      <c r="S421" s="185"/>
      <c r="T421" s="185"/>
      <c r="U421" s="185"/>
      <c r="V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184" t="str">
        <f>IFERROR(__xludf.DUMMYFUNCTION("ifna(IF(and(D422=""Saída"",J422=""Sangria""),if(sum(QUERY(IMPORTRANGE(""https://docs.google.com/spreadsheets/d/1E4szPcLzsqlw4uyBAoJ61L1ChCgpz4wVP8tHfHW1g_c"",""BD M Sangrias!a:i""),""select Col6 where Col7 = 'Depositada' and Col9 = '""&amp;K422&amp;""' and Col6 ="&amp;" ""&amp;M422&amp;"" and Col4 = date '""&amp;YEAR(C422)&amp;""-""&amp;MONTH(C422)&amp;""-""&amp;DAY(C422)&amp;""'""))&gt;0,""Depositada"",if(sum(QUERY(IMPORTRANGE(""https://docs.google.com/spreadsheets/d/1EcLIvUgMoBC5as4ikW0wuQsGH5yVZ6cQ1y16qEfgPnk"",""BD M Sangrias!a:i""),""select Col6 whe"&amp;"re Col7 = 'Caixa Atendimento' and Col9 = '""&amp;K422&amp;""' and Col6 = ""&amp;M422&amp;"" and Col4 = date '""&amp;YEAR(C422)&amp;""-""&amp;MONTH(C422)&amp;""-""&amp;DAY(C422)&amp;""'""))&gt;0,""Caixa Atendimento"",""Caixa Sangria"")),""""),""Caixa Sangria"")"),"")</f>
        <v/>
      </c>
      <c r="M422" s="185" t="str">
        <f>IFERROR(__xludf.DUMMYFUNCTION("ifna(VALUE(REGEXEXTRACT(E422,""[0-9.]+[,]+[0-9]+"")))"),"")</f>
        <v/>
      </c>
      <c r="N422" s="185"/>
      <c r="O422" s="185"/>
      <c r="P422" s="185"/>
      <c r="Q422" s="185"/>
      <c r="R422" s="185"/>
      <c r="S422" s="185"/>
      <c r="T422" s="185"/>
      <c r="U422" s="185"/>
      <c r="V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184" t="str">
        <f>IFERROR(__xludf.DUMMYFUNCTION("ifna(IF(and(D423=""Saída"",J423=""Sangria""),if(sum(QUERY(IMPORTRANGE(""https://docs.google.com/spreadsheets/d/1E4szPcLzsqlw4uyBAoJ61L1ChCgpz4wVP8tHfHW1g_c"",""BD M Sangrias!a:i""),""select Col6 where Col7 = 'Depositada' and Col9 = '""&amp;K423&amp;""' and Col6 ="&amp;" ""&amp;M423&amp;"" and Col4 = date '""&amp;YEAR(C423)&amp;""-""&amp;MONTH(C423)&amp;""-""&amp;DAY(C423)&amp;""'""))&gt;0,""Depositada"",if(sum(QUERY(IMPORTRANGE(""https://docs.google.com/spreadsheets/d/1EcLIvUgMoBC5as4ikW0wuQsGH5yVZ6cQ1y16qEfgPnk"",""BD M Sangrias!a:i""),""select Col6 whe"&amp;"re Col7 = 'Caixa Atendimento' and Col9 = '""&amp;K423&amp;""' and Col6 = ""&amp;M423&amp;"" and Col4 = date '""&amp;YEAR(C423)&amp;""-""&amp;MONTH(C423)&amp;""-""&amp;DAY(C423)&amp;""'""))&gt;0,""Caixa Atendimento"",""Caixa Sangria"")),""""),""Caixa Sangria"")"),"")</f>
        <v/>
      </c>
      <c r="M423" s="185" t="str">
        <f>IFERROR(__xludf.DUMMYFUNCTION("ifna(VALUE(REGEXEXTRACT(E423,""[0-9.]+[,]+[0-9]+"")))"),"")</f>
        <v/>
      </c>
      <c r="N423" s="185"/>
      <c r="O423" s="185"/>
      <c r="P423" s="185"/>
      <c r="Q423" s="185"/>
      <c r="R423" s="185"/>
      <c r="S423" s="185"/>
      <c r="T423" s="185"/>
      <c r="U423" s="185"/>
      <c r="V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184" t="str">
        <f>IFERROR(__xludf.DUMMYFUNCTION("ifna(IF(and(D424=""Saída"",J424=""Sangria""),if(sum(QUERY(IMPORTRANGE(""https://docs.google.com/spreadsheets/d/1E4szPcLzsqlw4uyBAoJ61L1ChCgpz4wVP8tHfHW1g_c"",""BD M Sangrias!a:i""),""select Col6 where Col7 = 'Depositada' and Col9 = '""&amp;K424&amp;""' and Col6 ="&amp;" ""&amp;M424&amp;"" and Col4 = date '""&amp;YEAR(C424)&amp;""-""&amp;MONTH(C424)&amp;""-""&amp;DAY(C424)&amp;""'""))&gt;0,""Depositada"",if(sum(QUERY(IMPORTRANGE(""https://docs.google.com/spreadsheets/d/1EcLIvUgMoBC5as4ikW0wuQsGH5yVZ6cQ1y16qEfgPnk"",""BD M Sangrias!a:i""),""select Col6 whe"&amp;"re Col7 = 'Caixa Atendimento' and Col9 = '""&amp;K424&amp;""' and Col6 = ""&amp;M424&amp;"" and Col4 = date '""&amp;YEAR(C424)&amp;""-""&amp;MONTH(C424)&amp;""-""&amp;DAY(C424)&amp;""'""))&gt;0,""Caixa Atendimento"",""Caixa Sangria"")),""""),""Caixa Sangria"")"),"")</f>
        <v/>
      </c>
      <c r="M424" s="185" t="str">
        <f>IFERROR(__xludf.DUMMYFUNCTION("ifna(VALUE(REGEXEXTRACT(E424,""[0-9.]+[,]+[0-9]+"")))"),"")</f>
        <v/>
      </c>
      <c r="N424" s="185"/>
      <c r="O424" s="185"/>
      <c r="P424" s="185"/>
      <c r="Q424" s="185"/>
      <c r="R424" s="185"/>
      <c r="S424" s="185"/>
      <c r="T424" s="185"/>
      <c r="U424" s="185"/>
      <c r="V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184" t="str">
        <f>IFERROR(__xludf.DUMMYFUNCTION("ifna(IF(and(D425=""Saída"",J425=""Sangria""),if(sum(QUERY(IMPORTRANGE(""https://docs.google.com/spreadsheets/d/1E4szPcLzsqlw4uyBAoJ61L1ChCgpz4wVP8tHfHW1g_c"",""BD M Sangrias!a:i""),""select Col6 where Col7 = 'Depositada' and Col9 = '""&amp;K425&amp;""' and Col6 ="&amp;" ""&amp;M425&amp;"" and Col4 = date '""&amp;YEAR(C425)&amp;""-""&amp;MONTH(C425)&amp;""-""&amp;DAY(C425)&amp;""'""))&gt;0,""Depositada"",if(sum(QUERY(IMPORTRANGE(""https://docs.google.com/spreadsheets/d/1EcLIvUgMoBC5as4ikW0wuQsGH5yVZ6cQ1y16qEfgPnk"",""BD M Sangrias!a:i""),""select Col6 whe"&amp;"re Col7 = 'Caixa Atendimento' and Col9 = '""&amp;K425&amp;""' and Col6 = ""&amp;M425&amp;"" and Col4 = date '""&amp;YEAR(C425)&amp;""-""&amp;MONTH(C425)&amp;""-""&amp;DAY(C425)&amp;""'""))&gt;0,""Caixa Atendimento"",""Caixa Sangria"")),""""),""Caixa Sangria"")"),"")</f>
        <v/>
      </c>
      <c r="M425" s="185" t="str">
        <f>IFERROR(__xludf.DUMMYFUNCTION("ifna(VALUE(REGEXEXTRACT(E425,""[0-9.]+[,]+[0-9]+"")))"),"")</f>
        <v/>
      </c>
      <c r="N425" s="185"/>
      <c r="O425" s="185"/>
      <c r="P425" s="185"/>
      <c r="Q425" s="185"/>
      <c r="R425" s="185"/>
      <c r="S425" s="185"/>
      <c r="T425" s="185"/>
      <c r="U425" s="185"/>
      <c r="V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184" t="str">
        <f>IFERROR(__xludf.DUMMYFUNCTION("ifna(IF(and(D426=""Saída"",J426=""Sangria""),if(sum(QUERY(IMPORTRANGE(""https://docs.google.com/spreadsheets/d/1E4szPcLzsqlw4uyBAoJ61L1ChCgpz4wVP8tHfHW1g_c"",""BD M Sangrias!a:i""),""select Col6 where Col7 = 'Depositada' and Col9 = '""&amp;K426&amp;""' and Col6 ="&amp;" ""&amp;M426&amp;"" and Col4 = date '""&amp;YEAR(C426)&amp;""-""&amp;MONTH(C426)&amp;""-""&amp;DAY(C426)&amp;""'""))&gt;0,""Depositada"",if(sum(QUERY(IMPORTRANGE(""https://docs.google.com/spreadsheets/d/1EcLIvUgMoBC5as4ikW0wuQsGH5yVZ6cQ1y16qEfgPnk"",""BD M Sangrias!a:i""),""select Col6 whe"&amp;"re Col7 = 'Caixa Atendimento' and Col9 = '""&amp;K426&amp;""' and Col6 = ""&amp;M426&amp;"" and Col4 = date '""&amp;YEAR(C426)&amp;""-""&amp;MONTH(C426)&amp;""-""&amp;DAY(C426)&amp;""'""))&gt;0,""Caixa Atendimento"",""Caixa Sangria"")),""""),""Caixa Sangria"")"),"")</f>
        <v/>
      </c>
      <c r="M426" s="185" t="str">
        <f>IFERROR(__xludf.DUMMYFUNCTION("ifna(VALUE(REGEXEXTRACT(E426,""[0-9.]+[,]+[0-9]+"")))"),"")</f>
        <v/>
      </c>
      <c r="N426" s="185"/>
      <c r="O426" s="185"/>
      <c r="P426" s="185"/>
      <c r="Q426" s="185"/>
      <c r="R426" s="185"/>
      <c r="S426" s="185"/>
      <c r="T426" s="185"/>
      <c r="U426" s="185"/>
      <c r="V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184" t="str">
        <f>IFERROR(__xludf.DUMMYFUNCTION("ifna(IF(and(D427=""Saída"",J427=""Sangria""),if(sum(QUERY(IMPORTRANGE(""https://docs.google.com/spreadsheets/d/1E4szPcLzsqlw4uyBAoJ61L1ChCgpz4wVP8tHfHW1g_c"",""BD M Sangrias!a:i""),""select Col6 where Col7 = 'Depositada' and Col9 = '""&amp;K427&amp;""' and Col6 ="&amp;" ""&amp;M427&amp;"" and Col4 = date '""&amp;YEAR(C427)&amp;""-""&amp;MONTH(C427)&amp;""-""&amp;DAY(C427)&amp;""'""))&gt;0,""Depositada"",if(sum(QUERY(IMPORTRANGE(""https://docs.google.com/spreadsheets/d/1EcLIvUgMoBC5as4ikW0wuQsGH5yVZ6cQ1y16qEfgPnk"",""BD M Sangrias!a:i""),""select Col6 whe"&amp;"re Col7 = 'Caixa Atendimento' and Col9 = '""&amp;K427&amp;""' and Col6 = ""&amp;M427&amp;"" and Col4 = date '""&amp;YEAR(C427)&amp;""-""&amp;MONTH(C427)&amp;""-""&amp;DAY(C427)&amp;""'""))&gt;0,""Caixa Atendimento"",""Caixa Sangria"")),""""),""Caixa Sangria"")"),"")</f>
        <v/>
      </c>
      <c r="M427" s="185" t="str">
        <f>IFERROR(__xludf.DUMMYFUNCTION("ifna(VALUE(REGEXEXTRACT(E427,""[0-9.]+[,]+[0-9]+"")))"),"")</f>
        <v/>
      </c>
      <c r="N427" s="185"/>
      <c r="O427" s="185"/>
      <c r="P427" s="185"/>
      <c r="Q427" s="185"/>
      <c r="R427" s="185"/>
      <c r="S427" s="185"/>
      <c r="T427" s="185"/>
      <c r="U427" s="185"/>
      <c r="V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184" t="str">
        <f>IFERROR(__xludf.DUMMYFUNCTION("ifna(IF(and(D428=""Saída"",J428=""Sangria""),if(sum(QUERY(IMPORTRANGE(""https://docs.google.com/spreadsheets/d/1E4szPcLzsqlw4uyBAoJ61L1ChCgpz4wVP8tHfHW1g_c"",""BD M Sangrias!a:i""),""select Col6 where Col7 = 'Depositada' and Col9 = '""&amp;K428&amp;""' and Col6 ="&amp;" ""&amp;M428&amp;"" and Col4 = date '""&amp;YEAR(C428)&amp;""-""&amp;MONTH(C428)&amp;""-""&amp;DAY(C428)&amp;""'""))&gt;0,""Depositada"",if(sum(QUERY(IMPORTRANGE(""https://docs.google.com/spreadsheets/d/1EcLIvUgMoBC5as4ikW0wuQsGH5yVZ6cQ1y16qEfgPnk"",""BD M Sangrias!a:i""),""select Col6 whe"&amp;"re Col7 = 'Caixa Atendimento' and Col9 = '""&amp;K428&amp;""' and Col6 = ""&amp;M428&amp;"" and Col4 = date '""&amp;YEAR(C428)&amp;""-""&amp;MONTH(C428)&amp;""-""&amp;DAY(C428)&amp;""'""))&gt;0,""Caixa Atendimento"",""Caixa Sangria"")),""""),""Caixa Sangria"")"),"")</f>
        <v/>
      </c>
      <c r="M428" s="185" t="str">
        <f>IFERROR(__xludf.DUMMYFUNCTION("ifna(VALUE(REGEXEXTRACT(E428,""[0-9.]+[,]+[0-9]+"")))"),"")</f>
        <v/>
      </c>
      <c r="N428" s="185"/>
      <c r="O428" s="185"/>
      <c r="P428" s="185"/>
      <c r="Q428" s="185"/>
      <c r="R428" s="185"/>
      <c r="S428" s="185"/>
      <c r="T428" s="185"/>
      <c r="U428" s="185"/>
      <c r="V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184" t="str">
        <f>IFERROR(__xludf.DUMMYFUNCTION("ifna(IF(and(D429=""Saída"",J429=""Sangria""),if(sum(QUERY(IMPORTRANGE(""https://docs.google.com/spreadsheets/d/1E4szPcLzsqlw4uyBAoJ61L1ChCgpz4wVP8tHfHW1g_c"",""BD M Sangrias!a:i""),""select Col6 where Col7 = 'Depositada' and Col9 = '""&amp;K429&amp;""' and Col6 ="&amp;" ""&amp;M429&amp;"" and Col4 = date '""&amp;YEAR(C429)&amp;""-""&amp;MONTH(C429)&amp;""-""&amp;DAY(C429)&amp;""'""))&gt;0,""Depositada"",if(sum(QUERY(IMPORTRANGE(""https://docs.google.com/spreadsheets/d/1EcLIvUgMoBC5as4ikW0wuQsGH5yVZ6cQ1y16qEfgPnk"",""BD M Sangrias!a:i""),""select Col6 whe"&amp;"re Col7 = 'Caixa Atendimento' and Col9 = '""&amp;K429&amp;""' and Col6 = ""&amp;M429&amp;"" and Col4 = date '""&amp;YEAR(C429)&amp;""-""&amp;MONTH(C429)&amp;""-""&amp;DAY(C429)&amp;""'""))&gt;0,""Caixa Atendimento"",""Caixa Sangria"")),""""),""Caixa Sangria"")"),"")</f>
        <v/>
      </c>
      <c r="M429" s="185" t="str">
        <f>IFERROR(__xludf.DUMMYFUNCTION("ifna(VALUE(REGEXEXTRACT(E429,""[0-9.]+[,]+[0-9]+"")))"),"")</f>
        <v/>
      </c>
      <c r="N429" s="185"/>
      <c r="O429" s="185"/>
      <c r="P429" s="185"/>
      <c r="Q429" s="185"/>
      <c r="R429" s="185"/>
      <c r="S429" s="185"/>
      <c r="T429" s="185"/>
      <c r="U429" s="185"/>
      <c r="V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184" t="str">
        <f>IFERROR(__xludf.DUMMYFUNCTION("ifna(IF(and(D430=""Saída"",J430=""Sangria""),if(sum(QUERY(IMPORTRANGE(""https://docs.google.com/spreadsheets/d/1E4szPcLzsqlw4uyBAoJ61L1ChCgpz4wVP8tHfHW1g_c"",""BD M Sangrias!a:i""),""select Col6 where Col7 = 'Depositada' and Col9 = '""&amp;K430&amp;""' and Col6 ="&amp;" ""&amp;M430&amp;"" and Col4 = date '""&amp;YEAR(C430)&amp;""-""&amp;MONTH(C430)&amp;""-""&amp;DAY(C430)&amp;""'""))&gt;0,""Depositada"",if(sum(QUERY(IMPORTRANGE(""https://docs.google.com/spreadsheets/d/1EcLIvUgMoBC5as4ikW0wuQsGH5yVZ6cQ1y16qEfgPnk"",""BD M Sangrias!a:i""),""select Col6 whe"&amp;"re Col7 = 'Caixa Atendimento' and Col9 = '""&amp;K430&amp;""' and Col6 = ""&amp;M430&amp;"" and Col4 = date '""&amp;YEAR(C430)&amp;""-""&amp;MONTH(C430)&amp;""-""&amp;DAY(C430)&amp;""'""))&gt;0,""Caixa Atendimento"",""Caixa Sangria"")),""""),""Caixa Sangria"")"),"")</f>
        <v/>
      </c>
      <c r="M430" s="185" t="str">
        <f>IFERROR(__xludf.DUMMYFUNCTION("ifna(VALUE(REGEXEXTRACT(E430,""[0-9.]+[,]+[0-9]+"")))"),"")</f>
        <v/>
      </c>
      <c r="N430" s="185"/>
      <c r="O430" s="185"/>
      <c r="P430" s="185"/>
      <c r="Q430" s="185"/>
      <c r="R430" s="185"/>
      <c r="S430" s="185"/>
      <c r="T430" s="185"/>
      <c r="U430" s="185"/>
      <c r="V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184" t="str">
        <f>IFERROR(__xludf.DUMMYFUNCTION("ifna(IF(and(D431=""Saída"",J431=""Sangria""),if(sum(QUERY(IMPORTRANGE(""https://docs.google.com/spreadsheets/d/1E4szPcLzsqlw4uyBAoJ61L1ChCgpz4wVP8tHfHW1g_c"",""BD M Sangrias!a:i""),""select Col6 where Col7 = 'Depositada' and Col9 = '""&amp;K431&amp;""' and Col6 ="&amp;" ""&amp;M431&amp;"" and Col4 = date '""&amp;YEAR(C431)&amp;""-""&amp;MONTH(C431)&amp;""-""&amp;DAY(C431)&amp;""'""))&gt;0,""Depositada"",if(sum(QUERY(IMPORTRANGE(""https://docs.google.com/spreadsheets/d/1EcLIvUgMoBC5as4ikW0wuQsGH5yVZ6cQ1y16qEfgPnk"",""BD M Sangrias!a:i""),""select Col6 whe"&amp;"re Col7 = 'Caixa Atendimento' and Col9 = '""&amp;K431&amp;""' and Col6 = ""&amp;M431&amp;"" and Col4 = date '""&amp;YEAR(C431)&amp;""-""&amp;MONTH(C431)&amp;""-""&amp;DAY(C431)&amp;""'""))&gt;0,""Caixa Atendimento"",""Caixa Sangria"")),""""),""Caixa Sangria"")"),"")</f>
        <v/>
      </c>
      <c r="M431" s="185" t="str">
        <f>IFERROR(__xludf.DUMMYFUNCTION("ifna(VALUE(REGEXEXTRACT(E431,""[0-9.]+[,]+[0-9]+"")))"),"")</f>
        <v/>
      </c>
      <c r="N431" s="185"/>
      <c r="O431" s="185"/>
      <c r="P431" s="185"/>
      <c r="Q431" s="185"/>
      <c r="R431" s="185"/>
      <c r="S431" s="185"/>
      <c r="T431" s="185"/>
      <c r="U431" s="185"/>
      <c r="V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184" t="str">
        <f>IFERROR(__xludf.DUMMYFUNCTION("ifna(IF(and(D432=""Saída"",J432=""Sangria""),if(sum(QUERY(IMPORTRANGE(""https://docs.google.com/spreadsheets/d/1E4szPcLzsqlw4uyBAoJ61L1ChCgpz4wVP8tHfHW1g_c"",""BD M Sangrias!a:i""),""select Col6 where Col7 = 'Depositada' and Col9 = '""&amp;K432&amp;""' and Col6 ="&amp;" ""&amp;M432&amp;"" and Col4 = date '""&amp;YEAR(C432)&amp;""-""&amp;MONTH(C432)&amp;""-""&amp;DAY(C432)&amp;""'""))&gt;0,""Depositada"",if(sum(QUERY(IMPORTRANGE(""https://docs.google.com/spreadsheets/d/1EcLIvUgMoBC5as4ikW0wuQsGH5yVZ6cQ1y16qEfgPnk"",""BD M Sangrias!a:i""),""select Col6 whe"&amp;"re Col7 = 'Caixa Atendimento' and Col9 = '""&amp;K432&amp;""' and Col6 = ""&amp;M432&amp;"" and Col4 = date '""&amp;YEAR(C432)&amp;""-""&amp;MONTH(C432)&amp;""-""&amp;DAY(C432)&amp;""'""))&gt;0,""Caixa Atendimento"",""Caixa Sangria"")),""""),""Caixa Sangria"")"),"")</f>
        <v/>
      </c>
      <c r="M432" s="185" t="str">
        <f>IFERROR(__xludf.DUMMYFUNCTION("ifna(VALUE(REGEXEXTRACT(E432,""[0-9.]+[,]+[0-9]+"")))"),"")</f>
        <v/>
      </c>
      <c r="N432" s="185"/>
      <c r="O432" s="185"/>
      <c r="P432" s="185"/>
      <c r="Q432" s="185"/>
      <c r="R432" s="185"/>
      <c r="S432" s="185"/>
      <c r="T432" s="185"/>
      <c r="U432" s="185"/>
      <c r="V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184" t="str">
        <f>IFERROR(__xludf.DUMMYFUNCTION("ifna(IF(and(D433=""Saída"",J433=""Sangria""),if(sum(QUERY(IMPORTRANGE(""https://docs.google.com/spreadsheets/d/1E4szPcLzsqlw4uyBAoJ61L1ChCgpz4wVP8tHfHW1g_c"",""BD M Sangrias!a:i""),""select Col6 where Col7 = 'Depositada' and Col9 = '""&amp;K433&amp;""' and Col6 ="&amp;" ""&amp;M433&amp;"" and Col4 = date '""&amp;YEAR(C433)&amp;""-""&amp;MONTH(C433)&amp;""-""&amp;DAY(C433)&amp;""'""))&gt;0,""Depositada"",if(sum(QUERY(IMPORTRANGE(""https://docs.google.com/spreadsheets/d/1EcLIvUgMoBC5as4ikW0wuQsGH5yVZ6cQ1y16qEfgPnk"",""BD M Sangrias!a:i""),""select Col6 whe"&amp;"re Col7 = 'Caixa Atendimento' and Col9 = '""&amp;K433&amp;""' and Col6 = ""&amp;M433&amp;"" and Col4 = date '""&amp;YEAR(C433)&amp;""-""&amp;MONTH(C433)&amp;""-""&amp;DAY(C433)&amp;""'""))&gt;0,""Caixa Atendimento"",""Caixa Sangria"")),""""),""Caixa Sangria"")"),"")</f>
        <v/>
      </c>
      <c r="M433" s="185" t="str">
        <f>IFERROR(__xludf.DUMMYFUNCTION("ifna(VALUE(REGEXEXTRACT(E433,""[0-9.]+[,]+[0-9]+"")))"),"")</f>
        <v/>
      </c>
      <c r="N433" s="185"/>
      <c r="O433" s="185"/>
      <c r="P433" s="185"/>
      <c r="Q433" s="185"/>
      <c r="R433" s="185"/>
      <c r="S433" s="185"/>
      <c r="T433" s="185"/>
      <c r="U433" s="185"/>
      <c r="V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184" t="str">
        <f>IFERROR(__xludf.DUMMYFUNCTION("ifna(IF(and(D434=""Saída"",J434=""Sangria""),if(sum(QUERY(IMPORTRANGE(""https://docs.google.com/spreadsheets/d/1E4szPcLzsqlw4uyBAoJ61L1ChCgpz4wVP8tHfHW1g_c"",""BD M Sangrias!a:i""),""select Col6 where Col7 = 'Depositada' and Col9 = '""&amp;K434&amp;""' and Col6 ="&amp;" ""&amp;M434&amp;"" and Col4 = date '""&amp;YEAR(C434)&amp;""-""&amp;MONTH(C434)&amp;""-""&amp;DAY(C434)&amp;""'""))&gt;0,""Depositada"",if(sum(QUERY(IMPORTRANGE(""https://docs.google.com/spreadsheets/d/1EcLIvUgMoBC5as4ikW0wuQsGH5yVZ6cQ1y16qEfgPnk"",""BD M Sangrias!a:i""),""select Col6 whe"&amp;"re Col7 = 'Caixa Atendimento' and Col9 = '""&amp;K434&amp;""' and Col6 = ""&amp;M434&amp;"" and Col4 = date '""&amp;YEAR(C434)&amp;""-""&amp;MONTH(C434)&amp;""-""&amp;DAY(C434)&amp;""'""))&gt;0,""Caixa Atendimento"",""Caixa Sangria"")),""""),""Caixa Sangria"")"),"")</f>
        <v/>
      </c>
      <c r="M434" s="185" t="str">
        <f>IFERROR(__xludf.DUMMYFUNCTION("ifna(VALUE(REGEXEXTRACT(E434,""[0-9.]+[,]+[0-9]+"")))"),"")</f>
        <v/>
      </c>
      <c r="N434" s="185"/>
      <c r="O434" s="185"/>
      <c r="P434" s="185"/>
      <c r="Q434" s="185"/>
      <c r="R434" s="185"/>
      <c r="S434" s="185"/>
      <c r="T434" s="185"/>
      <c r="U434" s="185"/>
      <c r="V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184" t="str">
        <f>IFERROR(__xludf.DUMMYFUNCTION("ifna(IF(and(D435=""Saída"",J435=""Sangria""),if(sum(QUERY(IMPORTRANGE(""https://docs.google.com/spreadsheets/d/1E4szPcLzsqlw4uyBAoJ61L1ChCgpz4wVP8tHfHW1g_c"",""BD M Sangrias!a:i""),""select Col6 where Col7 = 'Depositada' and Col9 = '""&amp;K435&amp;""' and Col6 ="&amp;" ""&amp;M435&amp;"" and Col4 = date '""&amp;YEAR(C435)&amp;""-""&amp;MONTH(C435)&amp;""-""&amp;DAY(C435)&amp;""'""))&gt;0,""Depositada"",if(sum(QUERY(IMPORTRANGE(""https://docs.google.com/spreadsheets/d/1EcLIvUgMoBC5as4ikW0wuQsGH5yVZ6cQ1y16qEfgPnk"",""BD M Sangrias!a:i""),""select Col6 whe"&amp;"re Col7 = 'Caixa Atendimento' and Col9 = '""&amp;K435&amp;""' and Col6 = ""&amp;M435&amp;"" and Col4 = date '""&amp;YEAR(C435)&amp;""-""&amp;MONTH(C435)&amp;""-""&amp;DAY(C435)&amp;""'""))&gt;0,""Caixa Atendimento"",""Caixa Sangria"")),""""),""Caixa Sangria"")"),"")</f>
        <v/>
      </c>
      <c r="M435" s="185" t="str">
        <f>IFERROR(__xludf.DUMMYFUNCTION("ifna(VALUE(REGEXEXTRACT(E435,""[0-9.]+[,]+[0-9]+"")))"),"")</f>
        <v/>
      </c>
      <c r="N435" s="185"/>
      <c r="O435" s="185"/>
      <c r="P435" s="185"/>
      <c r="Q435" s="185"/>
      <c r="R435" s="185"/>
      <c r="S435" s="185"/>
      <c r="T435" s="185"/>
      <c r="U435" s="185"/>
      <c r="V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184" t="str">
        <f>IFERROR(__xludf.DUMMYFUNCTION("ifna(IF(and(D436=""Saída"",J436=""Sangria""),if(sum(QUERY(IMPORTRANGE(""https://docs.google.com/spreadsheets/d/1E4szPcLzsqlw4uyBAoJ61L1ChCgpz4wVP8tHfHW1g_c"",""BD M Sangrias!a:i""),""select Col6 where Col7 = 'Depositada' and Col9 = '""&amp;K436&amp;""' and Col6 ="&amp;" ""&amp;M436&amp;"" and Col4 = date '""&amp;YEAR(C436)&amp;""-""&amp;MONTH(C436)&amp;""-""&amp;DAY(C436)&amp;""'""))&gt;0,""Depositada"",if(sum(QUERY(IMPORTRANGE(""https://docs.google.com/spreadsheets/d/1EcLIvUgMoBC5as4ikW0wuQsGH5yVZ6cQ1y16qEfgPnk"",""BD M Sangrias!a:i""),""select Col6 whe"&amp;"re Col7 = 'Caixa Atendimento' and Col9 = '""&amp;K436&amp;""' and Col6 = ""&amp;M436&amp;"" and Col4 = date '""&amp;YEAR(C436)&amp;""-""&amp;MONTH(C436)&amp;""-""&amp;DAY(C436)&amp;""'""))&gt;0,""Caixa Atendimento"",""Caixa Sangria"")),""""),""Caixa Sangria"")"),"")</f>
        <v/>
      </c>
      <c r="M436" s="185" t="str">
        <f>IFERROR(__xludf.DUMMYFUNCTION("ifna(VALUE(REGEXEXTRACT(E436,""[0-9.]+[,]+[0-9]+"")))"),"")</f>
        <v/>
      </c>
      <c r="N436" s="185"/>
      <c r="O436" s="185"/>
      <c r="P436" s="185"/>
      <c r="Q436" s="185"/>
      <c r="R436" s="185"/>
      <c r="S436" s="185"/>
      <c r="T436" s="185"/>
      <c r="U436" s="185"/>
      <c r="V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184" t="str">
        <f>IFERROR(__xludf.DUMMYFUNCTION("ifna(IF(and(D437=""Saída"",J437=""Sangria""),if(sum(QUERY(IMPORTRANGE(""https://docs.google.com/spreadsheets/d/1E4szPcLzsqlw4uyBAoJ61L1ChCgpz4wVP8tHfHW1g_c"",""BD M Sangrias!a:i""),""select Col6 where Col7 = 'Depositada' and Col9 = '""&amp;K437&amp;""' and Col6 ="&amp;" ""&amp;M437&amp;"" and Col4 = date '""&amp;YEAR(C437)&amp;""-""&amp;MONTH(C437)&amp;""-""&amp;DAY(C437)&amp;""'""))&gt;0,""Depositada"",if(sum(QUERY(IMPORTRANGE(""https://docs.google.com/spreadsheets/d/1EcLIvUgMoBC5as4ikW0wuQsGH5yVZ6cQ1y16qEfgPnk"",""BD M Sangrias!a:i""),""select Col6 whe"&amp;"re Col7 = 'Caixa Atendimento' and Col9 = '""&amp;K437&amp;""' and Col6 = ""&amp;M437&amp;"" and Col4 = date '""&amp;YEAR(C437)&amp;""-""&amp;MONTH(C437)&amp;""-""&amp;DAY(C437)&amp;""'""))&gt;0,""Caixa Atendimento"",""Caixa Sangria"")),""""),""Caixa Sangria"")"),"")</f>
        <v/>
      </c>
      <c r="M437" s="185" t="str">
        <f>IFERROR(__xludf.DUMMYFUNCTION("ifna(VALUE(REGEXEXTRACT(E437,""[0-9.]+[,]+[0-9]+"")))"),"")</f>
        <v/>
      </c>
      <c r="N437" s="185"/>
      <c r="O437" s="185"/>
      <c r="P437" s="185"/>
      <c r="Q437" s="185"/>
      <c r="R437" s="185"/>
      <c r="S437" s="185"/>
      <c r="T437" s="185"/>
      <c r="U437" s="185"/>
      <c r="V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184" t="str">
        <f>IFERROR(__xludf.DUMMYFUNCTION("ifna(IF(and(D438=""Saída"",J438=""Sangria""),if(sum(QUERY(IMPORTRANGE(""https://docs.google.com/spreadsheets/d/1E4szPcLzsqlw4uyBAoJ61L1ChCgpz4wVP8tHfHW1g_c"",""BD M Sangrias!a:i""),""select Col6 where Col7 = 'Depositada' and Col9 = '""&amp;K438&amp;""' and Col6 ="&amp;" ""&amp;M438&amp;"" and Col4 = date '""&amp;YEAR(C438)&amp;""-""&amp;MONTH(C438)&amp;""-""&amp;DAY(C438)&amp;""'""))&gt;0,""Depositada"",if(sum(QUERY(IMPORTRANGE(""https://docs.google.com/spreadsheets/d/1EcLIvUgMoBC5as4ikW0wuQsGH5yVZ6cQ1y16qEfgPnk"",""BD M Sangrias!a:i""),""select Col6 whe"&amp;"re Col7 = 'Caixa Atendimento' and Col9 = '""&amp;K438&amp;""' and Col6 = ""&amp;M438&amp;"" and Col4 = date '""&amp;YEAR(C438)&amp;""-""&amp;MONTH(C438)&amp;""-""&amp;DAY(C438)&amp;""'""))&gt;0,""Caixa Atendimento"",""Caixa Sangria"")),""""),""Caixa Sangria"")"),"")</f>
        <v/>
      </c>
      <c r="M438" s="185" t="str">
        <f>IFERROR(__xludf.DUMMYFUNCTION("ifna(VALUE(REGEXEXTRACT(E438,""[0-9.]+[,]+[0-9]+"")))"),"")</f>
        <v/>
      </c>
      <c r="N438" s="185"/>
      <c r="O438" s="185"/>
      <c r="P438" s="185"/>
      <c r="Q438" s="185"/>
      <c r="R438" s="185"/>
      <c r="S438" s="185"/>
      <c r="T438" s="185"/>
      <c r="U438" s="185"/>
      <c r="V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184" t="str">
        <f>IFERROR(__xludf.DUMMYFUNCTION("ifna(IF(and(D439=""Saída"",J439=""Sangria""),if(sum(QUERY(IMPORTRANGE(""https://docs.google.com/spreadsheets/d/1E4szPcLzsqlw4uyBAoJ61L1ChCgpz4wVP8tHfHW1g_c"",""BD M Sangrias!a:i""),""select Col6 where Col7 = 'Depositada' and Col9 = '""&amp;K439&amp;""' and Col6 ="&amp;" ""&amp;M439&amp;"" and Col4 = date '""&amp;YEAR(C439)&amp;""-""&amp;MONTH(C439)&amp;""-""&amp;DAY(C439)&amp;""'""))&gt;0,""Depositada"",if(sum(QUERY(IMPORTRANGE(""https://docs.google.com/spreadsheets/d/1EcLIvUgMoBC5as4ikW0wuQsGH5yVZ6cQ1y16qEfgPnk"",""BD M Sangrias!a:i""),""select Col6 whe"&amp;"re Col7 = 'Caixa Atendimento' and Col9 = '""&amp;K439&amp;""' and Col6 = ""&amp;M439&amp;"" and Col4 = date '""&amp;YEAR(C439)&amp;""-""&amp;MONTH(C439)&amp;""-""&amp;DAY(C439)&amp;""'""))&gt;0,""Caixa Atendimento"",""Caixa Sangria"")),""""),""Caixa Sangria"")"),"")</f>
        <v/>
      </c>
      <c r="M439" s="185" t="str">
        <f>IFERROR(__xludf.DUMMYFUNCTION("ifna(VALUE(REGEXEXTRACT(E439,""[0-9.]+[,]+[0-9]+"")))"),"")</f>
        <v/>
      </c>
      <c r="N439" s="185"/>
      <c r="O439" s="185"/>
      <c r="P439" s="185"/>
      <c r="Q439" s="185"/>
      <c r="R439" s="185"/>
      <c r="S439" s="185"/>
      <c r="T439" s="185"/>
      <c r="U439" s="185"/>
      <c r="V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184" t="str">
        <f>IFERROR(__xludf.DUMMYFUNCTION("ifna(IF(and(D440=""Saída"",J440=""Sangria""),if(sum(QUERY(IMPORTRANGE(""https://docs.google.com/spreadsheets/d/1E4szPcLzsqlw4uyBAoJ61L1ChCgpz4wVP8tHfHW1g_c"",""BD M Sangrias!a:i""),""select Col6 where Col7 = 'Depositada' and Col9 = '""&amp;K440&amp;""' and Col6 ="&amp;" ""&amp;M440&amp;"" and Col4 = date '""&amp;YEAR(C440)&amp;""-""&amp;MONTH(C440)&amp;""-""&amp;DAY(C440)&amp;""'""))&gt;0,""Depositada"",if(sum(QUERY(IMPORTRANGE(""https://docs.google.com/spreadsheets/d/1EcLIvUgMoBC5as4ikW0wuQsGH5yVZ6cQ1y16qEfgPnk"",""BD M Sangrias!a:i""),""select Col6 whe"&amp;"re Col7 = 'Caixa Atendimento' and Col9 = '""&amp;K440&amp;""' and Col6 = ""&amp;M440&amp;"" and Col4 = date '""&amp;YEAR(C440)&amp;""-""&amp;MONTH(C440)&amp;""-""&amp;DAY(C440)&amp;""'""))&gt;0,""Caixa Atendimento"",""Caixa Sangria"")),""""),""Caixa Sangria"")"),"")</f>
        <v/>
      </c>
      <c r="M440" s="185" t="str">
        <f>IFERROR(__xludf.DUMMYFUNCTION("ifna(VALUE(REGEXEXTRACT(E440,""[0-9.]+[,]+[0-9]+"")))"),"")</f>
        <v/>
      </c>
      <c r="N440" s="185"/>
      <c r="O440" s="185"/>
      <c r="P440" s="185"/>
      <c r="Q440" s="185"/>
      <c r="R440" s="185"/>
      <c r="S440" s="185"/>
      <c r="T440" s="185"/>
      <c r="U440" s="185"/>
      <c r="V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184" t="str">
        <f>IFERROR(__xludf.DUMMYFUNCTION("ifna(IF(and(D441=""Saída"",J441=""Sangria""),if(sum(QUERY(IMPORTRANGE(""https://docs.google.com/spreadsheets/d/1E4szPcLzsqlw4uyBAoJ61L1ChCgpz4wVP8tHfHW1g_c"",""BD M Sangrias!a:i""),""select Col6 where Col7 = 'Depositada' and Col9 = '""&amp;K441&amp;""' and Col6 ="&amp;" ""&amp;M441&amp;"" and Col4 = date '""&amp;YEAR(C441)&amp;""-""&amp;MONTH(C441)&amp;""-""&amp;DAY(C441)&amp;""'""))&gt;0,""Depositada"",if(sum(QUERY(IMPORTRANGE(""https://docs.google.com/spreadsheets/d/1EcLIvUgMoBC5as4ikW0wuQsGH5yVZ6cQ1y16qEfgPnk"",""BD M Sangrias!a:i""),""select Col6 whe"&amp;"re Col7 = 'Caixa Atendimento' and Col9 = '""&amp;K441&amp;""' and Col6 = ""&amp;M441&amp;"" and Col4 = date '""&amp;YEAR(C441)&amp;""-""&amp;MONTH(C441)&amp;""-""&amp;DAY(C441)&amp;""'""))&gt;0,""Caixa Atendimento"",""Caixa Sangria"")),""""),""Caixa Sangria"")"),"")</f>
        <v/>
      </c>
      <c r="M441" s="185" t="str">
        <f>IFERROR(__xludf.DUMMYFUNCTION("ifna(VALUE(REGEXEXTRACT(E441,""[0-9.]+[,]+[0-9]+"")))"),"")</f>
        <v/>
      </c>
      <c r="N441" s="185"/>
      <c r="O441" s="185"/>
      <c r="P441" s="185"/>
      <c r="Q441" s="185"/>
      <c r="R441" s="185"/>
      <c r="S441" s="185"/>
      <c r="T441" s="185"/>
      <c r="U441" s="185"/>
      <c r="V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184" t="str">
        <f>IFERROR(__xludf.DUMMYFUNCTION("ifna(IF(and(D442=""Saída"",J442=""Sangria""),if(sum(QUERY(IMPORTRANGE(""https://docs.google.com/spreadsheets/d/1E4szPcLzsqlw4uyBAoJ61L1ChCgpz4wVP8tHfHW1g_c"",""BD M Sangrias!a:i""),""select Col6 where Col7 = 'Depositada' and Col9 = '""&amp;K442&amp;""' and Col6 ="&amp;" ""&amp;M442&amp;"" and Col4 = date '""&amp;YEAR(C442)&amp;""-""&amp;MONTH(C442)&amp;""-""&amp;DAY(C442)&amp;""'""))&gt;0,""Depositada"",if(sum(QUERY(IMPORTRANGE(""https://docs.google.com/spreadsheets/d/1EcLIvUgMoBC5as4ikW0wuQsGH5yVZ6cQ1y16qEfgPnk"",""BD M Sangrias!a:i""),""select Col6 whe"&amp;"re Col7 = 'Caixa Atendimento' and Col9 = '""&amp;K442&amp;""' and Col6 = ""&amp;M442&amp;"" and Col4 = date '""&amp;YEAR(C442)&amp;""-""&amp;MONTH(C442)&amp;""-""&amp;DAY(C442)&amp;""'""))&gt;0,""Caixa Atendimento"",""Caixa Sangria"")),""""),""Caixa Sangria"")"),"")</f>
        <v/>
      </c>
      <c r="M442" s="185" t="str">
        <f>IFERROR(__xludf.DUMMYFUNCTION("ifna(VALUE(REGEXEXTRACT(E442,""[0-9.]+[,]+[0-9]+"")))"),"")</f>
        <v/>
      </c>
      <c r="N442" s="185"/>
      <c r="O442" s="185"/>
      <c r="P442" s="185"/>
      <c r="Q442" s="185"/>
      <c r="R442" s="185"/>
      <c r="S442" s="185"/>
      <c r="T442" s="185"/>
      <c r="U442" s="185"/>
      <c r="V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184" t="str">
        <f>IFERROR(__xludf.DUMMYFUNCTION("ifna(IF(and(D443=""Saída"",J443=""Sangria""),if(sum(QUERY(IMPORTRANGE(""https://docs.google.com/spreadsheets/d/1E4szPcLzsqlw4uyBAoJ61L1ChCgpz4wVP8tHfHW1g_c"",""BD M Sangrias!a:i""),""select Col6 where Col7 = 'Depositada' and Col9 = '""&amp;K443&amp;""' and Col6 ="&amp;" ""&amp;M443&amp;"" and Col4 = date '""&amp;YEAR(C443)&amp;""-""&amp;MONTH(C443)&amp;""-""&amp;DAY(C443)&amp;""'""))&gt;0,""Depositada"",if(sum(QUERY(IMPORTRANGE(""https://docs.google.com/spreadsheets/d/1EcLIvUgMoBC5as4ikW0wuQsGH5yVZ6cQ1y16qEfgPnk"",""BD M Sangrias!a:i""),""select Col6 whe"&amp;"re Col7 = 'Caixa Atendimento' and Col9 = '""&amp;K443&amp;""' and Col6 = ""&amp;M443&amp;"" and Col4 = date '""&amp;YEAR(C443)&amp;""-""&amp;MONTH(C443)&amp;""-""&amp;DAY(C443)&amp;""'""))&gt;0,""Caixa Atendimento"",""Caixa Sangria"")),""""),""Caixa Sangria"")"),"")</f>
        <v/>
      </c>
      <c r="M443" s="185" t="str">
        <f>IFERROR(__xludf.DUMMYFUNCTION("ifna(VALUE(REGEXEXTRACT(E443,""[0-9.]+[,]+[0-9]+"")))"),"")</f>
        <v/>
      </c>
      <c r="N443" s="185"/>
      <c r="O443" s="185"/>
      <c r="P443" s="185"/>
      <c r="Q443" s="185"/>
      <c r="R443" s="185"/>
      <c r="S443" s="185"/>
      <c r="T443" s="185"/>
      <c r="U443" s="185"/>
      <c r="V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184" t="str">
        <f>IFERROR(__xludf.DUMMYFUNCTION("ifna(IF(and(D444=""Saída"",J444=""Sangria""),if(sum(QUERY(IMPORTRANGE(""https://docs.google.com/spreadsheets/d/1E4szPcLzsqlw4uyBAoJ61L1ChCgpz4wVP8tHfHW1g_c"",""BD M Sangrias!a:i""),""select Col6 where Col7 = 'Depositada' and Col9 = '""&amp;K444&amp;""' and Col6 ="&amp;" ""&amp;M444&amp;"" and Col4 = date '""&amp;YEAR(C444)&amp;""-""&amp;MONTH(C444)&amp;""-""&amp;DAY(C444)&amp;""'""))&gt;0,""Depositada"",if(sum(QUERY(IMPORTRANGE(""https://docs.google.com/spreadsheets/d/1EcLIvUgMoBC5as4ikW0wuQsGH5yVZ6cQ1y16qEfgPnk"",""BD M Sangrias!a:i""),""select Col6 whe"&amp;"re Col7 = 'Caixa Atendimento' and Col9 = '""&amp;K444&amp;""' and Col6 = ""&amp;M444&amp;"" and Col4 = date '""&amp;YEAR(C444)&amp;""-""&amp;MONTH(C444)&amp;""-""&amp;DAY(C444)&amp;""'""))&gt;0,""Caixa Atendimento"",""Caixa Sangria"")),""""),""Caixa Sangria"")"),"")</f>
        <v/>
      </c>
      <c r="M444" s="185" t="str">
        <f>IFERROR(__xludf.DUMMYFUNCTION("ifna(VALUE(REGEXEXTRACT(E444,""[0-9.]+[,]+[0-9]+"")))"),"")</f>
        <v/>
      </c>
      <c r="N444" s="185"/>
      <c r="O444" s="185"/>
      <c r="P444" s="185"/>
      <c r="Q444" s="185"/>
      <c r="R444" s="185"/>
      <c r="S444" s="185"/>
      <c r="T444" s="185"/>
      <c r="U444" s="185"/>
      <c r="V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184" t="str">
        <f>IFERROR(__xludf.DUMMYFUNCTION("ifna(IF(and(D445=""Saída"",J445=""Sangria""),if(sum(QUERY(IMPORTRANGE(""https://docs.google.com/spreadsheets/d/1E4szPcLzsqlw4uyBAoJ61L1ChCgpz4wVP8tHfHW1g_c"",""BD M Sangrias!a:i""),""select Col6 where Col7 = 'Depositada' and Col9 = '""&amp;K445&amp;""' and Col6 ="&amp;" ""&amp;M445&amp;"" and Col4 = date '""&amp;YEAR(C445)&amp;""-""&amp;MONTH(C445)&amp;""-""&amp;DAY(C445)&amp;""'""))&gt;0,""Depositada"",if(sum(QUERY(IMPORTRANGE(""https://docs.google.com/spreadsheets/d/1EcLIvUgMoBC5as4ikW0wuQsGH5yVZ6cQ1y16qEfgPnk"",""BD M Sangrias!a:i""),""select Col6 whe"&amp;"re Col7 = 'Caixa Atendimento' and Col9 = '""&amp;K445&amp;""' and Col6 = ""&amp;M445&amp;"" and Col4 = date '""&amp;YEAR(C445)&amp;""-""&amp;MONTH(C445)&amp;""-""&amp;DAY(C445)&amp;""'""))&gt;0,""Caixa Atendimento"",""Caixa Sangria"")),""""),""Caixa Sangria"")"),"")</f>
        <v/>
      </c>
      <c r="M445" s="185" t="str">
        <f>IFERROR(__xludf.DUMMYFUNCTION("ifna(VALUE(REGEXEXTRACT(E445,""[0-9.]+[,]+[0-9]+"")))"),"")</f>
        <v/>
      </c>
      <c r="N445" s="185"/>
      <c r="O445" s="185"/>
      <c r="P445" s="185"/>
      <c r="Q445" s="185"/>
      <c r="R445" s="185"/>
      <c r="S445" s="185"/>
      <c r="T445" s="185"/>
      <c r="U445" s="185"/>
      <c r="V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184" t="str">
        <f>IFERROR(__xludf.DUMMYFUNCTION("ifna(IF(and(D446=""Saída"",J446=""Sangria""),if(sum(QUERY(IMPORTRANGE(""https://docs.google.com/spreadsheets/d/1E4szPcLzsqlw4uyBAoJ61L1ChCgpz4wVP8tHfHW1g_c"",""BD M Sangrias!a:i""),""select Col6 where Col7 = 'Depositada' and Col9 = '""&amp;K446&amp;""' and Col6 ="&amp;" ""&amp;M446&amp;"" and Col4 = date '""&amp;YEAR(C446)&amp;""-""&amp;MONTH(C446)&amp;""-""&amp;DAY(C446)&amp;""'""))&gt;0,""Depositada"",if(sum(QUERY(IMPORTRANGE(""https://docs.google.com/spreadsheets/d/1EcLIvUgMoBC5as4ikW0wuQsGH5yVZ6cQ1y16qEfgPnk"",""BD M Sangrias!a:i""),""select Col6 whe"&amp;"re Col7 = 'Caixa Atendimento' and Col9 = '""&amp;K446&amp;""' and Col6 = ""&amp;M446&amp;"" and Col4 = date '""&amp;YEAR(C446)&amp;""-""&amp;MONTH(C446)&amp;""-""&amp;DAY(C446)&amp;""'""))&gt;0,""Caixa Atendimento"",""Caixa Sangria"")),""""),""Caixa Sangria"")"),"")</f>
        <v/>
      </c>
      <c r="M446" s="185" t="str">
        <f>IFERROR(__xludf.DUMMYFUNCTION("ifna(VALUE(REGEXEXTRACT(E446,""[0-9.]+[,]+[0-9]+"")))"),"")</f>
        <v/>
      </c>
      <c r="N446" s="185"/>
      <c r="O446" s="185"/>
      <c r="P446" s="185"/>
      <c r="Q446" s="185"/>
      <c r="R446" s="185"/>
      <c r="S446" s="185"/>
      <c r="T446" s="185"/>
      <c r="U446" s="185"/>
      <c r="V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184" t="str">
        <f>IFERROR(__xludf.DUMMYFUNCTION("ifna(IF(and(D447=""Saída"",J447=""Sangria""),if(sum(QUERY(IMPORTRANGE(""https://docs.google.com/spreadsheets/d/1E4szPcLzsqlw4uyBAoJ61L1ChCgpz4wVP8tHfHW1g_c"",""BD M Sangrias!a:i""),""select Col6 where Col7 = 'Depositada' and Col9 = '""&amp;K447&amp;""' and Col6 ="&amp;" ""&amp;M447&amp;"" and Col4 = date '""&amp;YEAR(C447)&amp;""-""&amp;MONTH(C447)&amp;""-""&amp;DAY(C447)&amp;""'""))&gt;0,""Depositada"",if(sum(QUERY(IMPORTRANGE(""https://docs.google.com/spreadsheets/d/1EcLIvUgMoBC5as4ikW0wuQsGH5yVZ6cQ1y16qEfgPnk"",""BD M Sangrias!a:i""),""select Col6 whe"&amp;"re Col7 = 'Caixa Atendimento' and Col9 = '""&amp;K447&amp;""' and Col6 = ""&amp;M447&amp;"" and Col4 = date '""&amp;YEAR(C447)&amp;""-""&amp;MONTH(C447)&amp;""-""&amp;DAY(C447)&amp;""'""))&gt;0,""Caixa Atendimento"",""Caixa Sangria"")),""""),""Caixa Sangria"")"),"")</f>
        <v/>
      </c>
      <c r="M447" s="185" t="str">
        <f>IFERROR(__xludf.DUMMYFUNCTION("ifna(VALUE(REGEXEXTRACT(E447,""[0-9.]+[,]+[0-9]+"")))"),"")</f>
        <v/>
      </c>
      <c r="N447" s="185"/>
      <c r="O447" s="185"/>
      <c r="P447" s="185"/>
      <c r="Q447" s="185"/>
      <c r="R447" s="185"/>
      <c r="S447" s="185"/>
      <c r="T447" s="185"/>
      <c r="U447" s="185"/>
      <c r="V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184" t="str">
        <f>IFERROR(__xludf.DUMMYFUNCTION("ifna(IF(and(D448=""Saída"",J448=""Sangria""),if(sum(QUERY(IMPORTRANGE(""https://docs.google.com/spreadsheets/d/1E4szPcLzsqlw4uyBAoJ61L1ChCgpz4wVP8tHfHW1g_c"",""BD M Sangrias!a:i""),""select Col6 where Col7 = 'Depositada' and Col9 = '""&amp;K448&amp;""' and Col6 ="&amp;" ""&amp;M448&amp;"" and Col4 = date '""&amp;YEAR(C448)&amp;""-""&amp;MONTH(C448)&amp;""-""&amp;DAY(C448)&amp;""'""))&gt;0,""Depositada"",if(sum(QUERY(IMPORTRANGE(""https://docs.google.com/spreadsheets/d/1EcLIvUgMoBC5as4ikW0wuQsGH5yVZ6cQ1y16qEfgPnk"",""BD M Sangrias!a:i""),""select Col6 whe"&amp;"re Col7 = 'Caixa Atendimento' and Col9 = '""&amp;K448&amp;""' and Col6 = ""&amp;M448&amp;"" and Col4 = date '""&amp;YEAR(C448)&amp;""-""&amp;MONTH(C448)&amp;""-""&amp;DAY(C448)&amp;""'""))&gt;0,""Caixa Atendimento"",""Caixa Sangria"")),""""),""Caixa Sangria"")"),"")</f>
        <v/>
      </c>
      <c r="M448" s="185" t="str">
        <f>IFERROR(__xludf.DUMMYFUNCTION("ifna(VALUE(REGEXEXTRACT(E448,""[0-9.]+[,]+[0-9]+"")))"),"")</f>
        <v/>
      </c>
      <c r="N448" s="185"/>
      <c r="O448" s="185"/>
      <c r="P448" s="185"/>
      <c r="Q448" s="185"/>
      <c r="R448" s="185"/>
      <c r="S448" s="185"/>
      <c r="T448" s="185"/>
      <c r="U448" s="185"/>
      <c r="V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184" t="str">
        <f>IFERROR(__xludf.DUMMYFUNCTION("ifna(IF(and(D449=""Saída"",J449=""Sangria""),if(sum(QUERY(IMPORTRANGE(""https://docs.google.com/spreadsheets/d/1E4szPcLzsqlw4uyBAoJ61L1ChCgpz4wVP8tHfHW1g_c"",""BD M Sangrias!a:i""),""select Col6 where Col7 = 'Depositada' and Col9 = '""&amp;K449&amp;""' and Col6 ="&amp;" ""&amp;M449&amp;"" and Col4 = date '""&amp;YEAR(C449)&amp;""-""&amp;MONTH(C449)&amp;""-""&amp;DAY(C449)&amp;""'""))&gt;0,""Depositada"",if(sum(QUERY(IMPORTRANGE(""https://docs.google.com/spreadsheets/d/1EcLIvUgMoBC5as4ikW0wuQsGH5yVZ6cQ1y16qEfgPnk"",""BD M Sangrias!a:i""),""select Col6 whe"&amp;"re Col7 = 'Caixa Atendimento' and Col9 = '""&amp;K449&amp;""' and Col6 = ""&amp;M449&amp;"" and Col4 = date '""&amp;YEAR(C449)&amp;""-""&amp;MONTH(C449)&amp;""-""&amp;DAY(C449)&amp;""'""))&gt;0,""Caixa Atendimento"",""Caixa Sangria"")),""""),""Caixa Sangria"")"),"")</f>
        <v/>
      </c>
      <c r="M449" s="185" t="str">
        <f>IFERROR(__xludf.DUMMYFUNCTION("ifna(VALUE(REGEXEXTRACT(E449,""[0-9.]+[,]+[0-9]+"")))"),"")</f>
        <v/>
      </c>
      <c r="N449" s="185"/>
      <c r="O449" s="185"/>
      <c r="P449" s="185"/>
      <c r="Q449" s="185"/>
      <c r="R449" s="185"/>
      <c r="S449" s="185"/>
      <c r="T449" s="185"/>
      <c r="U449" s="185"/>
      <c r="V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184" t="str">
        <f>IFERROR(__xludf.DUMMYFUNCTION("ifna(IF(and(D450=""Saída"",J450=""Sangria""),if(sum(QUERY(IMPORTRANGE(""https://docs.google.com/spreadsheets/d/1E4szPcLzsqlw4uyBAoJ61L1ChCgpz4wVP8tHfHW1g_c"",""BD M Sangrias!a:i""),""select Col6 where Col7 = 'Depositada' and Col9 = '""&amp;K450&amp;""' and Col6 ="&amp;" ""&amp;M450&amp;"" and Col4 = date '""&amp;YEAR(C450)&amp;""-""&amp;MONTH(C450)&amp;""-""&amp;DAY(C450)&amp;""'""))&gt;0,""Depositada"",if(sum(QUERY(IMPORTRANGE(""https://docs.google.com/spreadsheets/d/1EcLIvUgMoBC5as4ikW0wuQsGH5yVZ6cQ1y16qEfgPnk"",""BD M Sangrias!a:i""),""select Col6 whe"&amp;"re Col7 = 'Caixa Atendimento' and Col9 = '""&amp;K450&amp;""' and Col6 = ""&amp;M450&amp;"" and Col4 = date '""&amp;YEAR(C450)&amp;""-""&amp;MONTH(C450)&amp;""-""&amp;DAY(C450)&amp;""'""))&gt;0,""Caixa Atendimento"",""Caixa Sangria"")),""""),""Caixa Sangria"")"),"")</f>
        <v/>
      </c>
      <c r="M450" s="185" t="str">
        <f>IFERROR(__xludf.DUMMYFUNCTION("ifna(VALUE(REGEXEXTRACT(E450,""[0-9.]+[,]+[0-9]+"")))"),"")</f>
        <v/>
      </c>
      <c r="N450" s="185"/>
      <c r="O450" s="185"/>
      <c r="P450" s="185"/>
      <c r="Q450" s="185"/>
      <c r="R450" s="185"/>
      <c r="S450" s="185"/>
      <c r="T450" s="185"/>
      <c r="U450" s="185"/>
      <c r="V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184" t="str">
        <f>IFERROR(__xludf.DUMMYFUNCTION("ifna(IF(and(D451=""Saída"",J451=""Sangria""),if(sum(QUERY(IMPORTRANGE(""https://docs.google.com/spreadsheets/d/1E4szPcLzsqlw4uyBAoJ61L1ChCgpz4wVP8tHfHW1g_c"",""BD M Sangrias!a:i""),""select Col6 where Col7 = 'Depositada' and Col9 = '""&amp;K451&amp;""' and Col6 ="&amp;" ""&amp;M451&amp;"" and Col4 = date '""&amp;YEAR(C451)&amp;""-""&amp;MONTH(C451)&amp;""-""&amp;DAY(C451)&amp;""'""))&gt;0,""Depositada"",if(sum(QUERY(IMPORTRANGE(""https://docs.google.com/spreadsheets/d/1EcLIvUgMoBC5as4ikW0wuQsGH5yVZ6cQ1y16qEfgPnk"",""BD M Sangrias!a:i""),""select Col6 whe"&amp;"re Col7 = 'Caixa Atendimento' and Col9 = '""&amp;K451&amp;""' and Col6 = ""&amp;M451&amp;"" and Col4 = date '""&amp;YEAR(C451)&amp;""-""&amp;MONTH(C451)&amp;""-""&amp;DAY(C451)&amp;""'""))&gt;0,""Caixa Atendimento"",""Caixa Sangria"")),""""),""Caixa Sangria"")"),"")</f>
        <v/>
      </c>
      <c r="M451" s="185" t="str">
        <f>IFERROR(__xludf.DUMMYFUNCTION("ifna(VALUE(REGEXEXTRACT(E451,""[0-9.]+[,]+[0-9]+"")))"),"")</f>
        <v/>
      </c>
      <c r="N451" s="185"/>
      <c r="O451" s="185"/>
      <c r="P451" s="185"/>
      <c r="Q451" s="185"/>
      <c r="R451" s="185"/>
      <c r="S451" s="185"/>
      <c r="T451" s="185"/>
      <c r="U451" s="185"/>
      <c r="V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184" t="str">
        <f>IFERROR(__xludf.DUMMYFUNCTION("ifna(IF(and(D452=""Saída"",J452=""Sangria""),if(sum(QUERY(IMPORTRANGE(""https://docs.google.com/spreadsheets/d/1E4szPcLzsqlw4uyBAoJ61L1ChCgpz4wVP8tHfHW1g_c"",""BD M Sangrias!a:i""),""select Col6 where Col7 = 'Depositada' and Col9 = '""&amp;K452&amp;""' and Col6 ="&amp;" ""&amp;M452&amp;"" and Col4 = date '""&amp;YEAR(C452)&amp;""-""&amp;MONTH(C452)&amp;""-""&amp;DAY(C452)&amp;""'""))&gt;0,""Depositada"",if(sum(QUERY(IMPORTRANGE(""https://docs.google.com/spreadsheets/d/1EcLIvUgMoBC5as4ikW0wuQsGH5yVZ6cQ1y16qEfgPnk"",""BD M Sangrias!a:i""),""select Col6 whe"&amp;"re Col7 = 'Caixa Atendimento' and Col9 = '""&amp;K452&amp;""' and Col6 = ""&amp;M452&amp;"" and Col4 = date '""&amp;YEAR(C452)&amp;""-""&amp;MONTH(C452)&amp;""-""&amp;DAY(C452)&amp;""'""))&gt;0,""Caixa Atendimento"",""Caixa Sangria"")),""""),""Caixa Sangria"")"),"")</f>
        <v/>
      </c>
      <c r="M452" s="185" t="str">
        <f>IFERROR(__xludf.DUMMYFUNCTION("ifna(VALUE(REGEXEXTRACT(E452,""[0-9.]+[,]+[0-9]+"")))"),"")</f>
        <v/>
      </c>
      <c r="N452" s="185"/>
      <c r="O452" s="185"/>
      <c r="P452" s="185"/>
      <c r="Q452" s="185"/>
      <c r="R452" s="185"/>
      <c r="S452" s="185"/>
      <c r="T452" s="185"/>
      <c r="U452" s="185"/>
      <c r="V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184" t="str">
        <f>IFERROR(__xludf.DUMMYFUNCTION("ifna(IF(and(D453=""Saída"",J453=""Sangria""),if(sum(QUERY(IMPORTRANGE(""https://docs.google.com/spreadsheets/d/1E4szPcLzsqlw4uyBAoJ61L1ChCgpz4wVP8tHfHW1g_c"",""BD M Sangrias!a:i""),""select Col6 where Col7 = 'Depositada' and Col9 = '""&amp;K453&amp;""' and Col6 ="&amp;" ""&amp;M453&amp;"" and Col4 = date '""&amp;YEAR(C453)&amp;""-""&amp;MONTH(C453)&amp;""-""&amp;DAY(C453)&amp;""'""))&gt;0,""Depositada"",if(sum(QUERY(IMPORTRANGE(""https://docs.google.com/spreadsheets/d/1EcLIvUgMoBC5as4ikW0wuQsGH5yVZ6cQ1y16qEfgPnk"",""BD M Sangrias!a:i""),""select Col6 whe"&amp;"re Col7 = 'Caixa Atendimento' and Col9 = '""&amp;K453&amp;""' and Col6 = ""&amp;M453&amp;"" and Col4 = date '""&amp;YEAR(C453)&amp;""-""&amp;MONTH(C453)&amp;""-""&amp;DAY(C453)&amp;""'""))&gt;0,""Caixa Atendimento"",""Caixa Sangria"")),""""),""Caixa Sangria"")"),"")</f>
        <v/>
      </c>
      <c r="M453" s="185" t="str">
        <f>IFERROR(__xludf.DUMMYFUNCTION("ifna(VALUE(REGEXEXTRACT(E453,""[0-9.]+[,]+[0-9]+"")))"),"")</f>
        <v/>
      </c>
      <c r="N453" s="185"/>
      <c r="O453" s="185"/>
      <c r="P453" s="185"/>
      <c r="Q453" s="185"/>
      <c r="R453" s="185"/>
      <c r="S453" s="185"/>
      <c r="T453" s="185"/>
      <c r="U453" s="185"/>
      <c r="V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184" t="str">
        <f>IFERROR(__xludf.DUMMYFUNCTION("ifna(IF(and(D454=""Saída"",J454=""Sangria""),if(sum(QUERY(IMPORTRANGE(""https://docs.google.com/spreadsheets/d/1E4szPcLzsqlw4uyBAoJ61L1ChCgpz4wVP8tHfHW1g_c"",""BD M Sangrias!a:i""),""select Col6 where Col7 = 'Depositada' and Col9 = '""&amp;K454&amp;""' and Col6 ="&amp;" ""&amp;M454&amp;"" and Col4 = date '""&amp;YEAR(C454)&amp;""-""&amp;MONTH(C454)&amp;""-""&amp;DAY(C454)&amp;""'""))&gt;0,""Depositada"",if(sum(QUERY(IMPORTRANGE(""https://docs.google.com/spreadsheets/d/1EcLIvUgMoBC5as4ikW0wuQsGH5yVZ6cQ1y16qEfgPnk"",""BD M Sangrias!a:i""),""select Col6 whe"&amp;"re Col7 = 'Caixa Atendimento' and Col9 = '""&amp;K454&amp;""' and Col6 = ""&amp;M454&amp;"" and Col4 = date '""&amp;YEAR(C454)&amp;""-""&amp;MONTH(C454)&amp;""-""&amp;DAY(C454)&amp;""'""))&gt;0,""Caixa Atendimento"",""Caixa Sangria"")),""""),""Caixa Sangria"")"),"")</f>
        <v/>
      </c>
      <c r="M454" s="185" t="str">
        <f>IFERROR(__xludf.DUMMYFUNCTION("ifna(VALUE(REGEXEXTRACT(E454,""[0-9.]+[,]+[0-9]+"")))"),"")</f>
        <v/>
      </c>
      <c r="N454" s="185"/>
      <c r="O454" s="185"/>
      <c r="P454" s="185"/>
      <c r="Q454" s="185"/>
      <c r="R454" s="185"/>
      <c r="S454" s="185"/>
      <c r="T454" s="185"/>
      <c r="U454" s="185"/>
      <c r="V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184" t="str">
        <f>IFERROR(__xludf.DUMMYFUNCTION("ifna(IF(and(D455=""Saída"",J455=""Sangria""),if(sum(QUERY(IMPORTRANGE(""https://docs.google.com/spreadsheets/d/1E4szPcLzsqlw4uyBAoJ61L1ChCgpz4wVP8tHfHW1g_c"",""BD M Sangrias!a:i""),""select Col6 where Col7 = 'Depositada' and Col9 = '""&amp;K455&amp;""' and Col6 ="&amp;" ""&amp;M455&amp;"" and Col4 = date '""&amp;YEAR(C455)&amp;""-""&amp;MONTH(C455)&amp;""-""&amp;DAY(C455)&amp;""'""))&gt;0,""Depositada"",if(sum(QUERY(IMPORTRANGE(""https://docs.google.com/spreadsheets/d/1EcLIvUgMoBC5as4ikW0wuQsGH5yVZ6cQ1y16qEfgPnk"",""BD M Sangrias!a:i""),""select Col6 whe"&amp;"re Col7 = 'Caixa Atendimento' and Col9 = '""&amp;K455&amp;""' and Col6 = ""&amp;M455&amp;"" and Col4 = date '""&amp;YEAR(C455)&amp;""-""&amp;MONTH(C455)&amp;""-""&amp;DAY(C455)&amp;""'""))&gt;0,""Caixa Atendimento"",""Caixa Sangria"")),""""),""Caixa Sangria"")"),"")</f>
        <v/>
      </c>
      <c r="M455" s="185" t="str">
        <f>IFERROR(__xludf.DUMMYFUNCTION("ifna(VALUE(REGEXEXTRACT(E455,""[0-9.]+[,]+[0-9]+"")))"),"")</f>
        <v/>
      </c>
      <c r="N455" s="185"/>
      <c r="O455" s="185"/>
      <c r="P455" s="185"/>
      <c r="Q455" s="185"/>
      <c r="R455" s="185"/>
      <c r="S455" s="185"/>
      <c r="T455" s="185"/>
      <c r="U455" s="185"/>
      <c r="V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184" t="str">
        <f>IFERROR(__xludf.DUMMYFUNCTION("ifna(IF(and(D456=""Saída"",J456=""Sangria""),if(sum(QUERY(IMPORTRANGE(""https://docs.google.com/spreadsheets/d/1E4szPcLzsqlw4uyBAoJ61L1ChCgpz4wVP8tHfHW1g_c"",""BD M Sangrias!a:i""),""select Col6 where Col7 = 'Depositada' and Col9 = '""&amp;K456&amp;""' and Col6 ="&amp;" ""&amp;M456&amp;"" and Col4 = date '""&amp;YEAR(C456)&amp;""-""&amp;MONTH(C456)&amp;""-""&amp;DAY(C456)&amp;""'""))&gt;0,""Depositada"",if(sum(QUERY(IMPORTRANGE(""https://docs.google.com/spreadsheets/d/1EcLIvUgMoBC5as4ikW0wuQsGH5yVZ6cQ1y16qEfgPnk"",""BD M Sangrias!a:i""),""select Col6 whe"&amp;"re Col7 = 'Caixa Atendimento' and Col9 = '""&amp;K456&amp;""' and Col6 = ""&amp;M456&amp;"" and Col4 = date '""&amp;YEAR(C456)&amp;""-""&amp;MONTH(C456)&amp;""-""&amp;DAY(C456)&amp;""'""))&gt;0,""Caixa Atendimento"",""Caixa Sangria"")),""""),""Caixa Sangria"")"),"")</f>
        <v/>
      </c>
      <c r="M456" s="185" t="str">
        <f>IFERROR(__xludf.DUMMYFUNCTION("ifna(VALUE(REGEXEXTRACT(E456,""[0-9.]+[,]+[0-9]+"")))"),"")</f>
        <v/>
      </c>
      <c r="N456" s="185"/>
      <c r="O456" s="185"/>
      <c r="P456" s="185"/>
      <c r="Q456" s="185"/>
      <c r="R456" s="185"/>
      <c r="S456" s="185"/>
      <c r="T456" s="185"/>
      <c r="U456" s="185"/>
      <c r="V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184" t="str">
        <f>IFERROR(__xludf.DUMMYFUNCTION("ifna(IF(and(D457=""Saída"",J457=""Sangria""),if(sum(QUERY(IMPORTRANGE(""https://docs.google.com/spreadsheets/d/1E4szPcLzsqlw4uyBAoJ61L1ChCgpz4wVP8tHfHW1g_c"",""BD M Sangrias!a:i""),""select Col6 where Col7 = 'Depositada' and Col9 = '""&amp;K457&amp;""' and Col6 ="&amp;" ""&amp;M457&amp;"" and Col4 = date '""&amp;YEAR(C457)&amp;""-""&amp;MONTH(C457)&amp;""-""&amp;DAY(C457)&amp;""'""))&gt;0,""Depositada"",if(sum(QUERY(IMPORTRANGE(""https://docs.google.com/spreadsheets/d/1EcLIvUgMoBC5as4ikW0wuQsGH5yVZ6cQ1y16qEfgPnk"",""BD M Sangrias!a:i""),""select Col6 whe"&amp;"re Col7 = 'Caixa Atendimento' and Col9 = '""&amp;K457&amp;""' and Col6 = ""&amp;M457&amp;"" and Col4 = date '""&amp;YEAR(C457)&amp;""-""&amp;MONTH(C457)&amp;""-""&amp;DAY(C457)&amp;""'""))&gt;0,""Caixa Atendimento"",""Caixa Sangria"")),""""),""Caixa Sangria"")"),"")</f>
        <v/>
      </c>
      <c r="M457" s="185" t="str">
        <f>IFERROR(__xludf.DUMMYFUNCTION("ifna(VALUE(REGEXEXTRACT(E457,""[0-9.]+[,]+[0-9]+"")))"),"")</f>
        <v/>
      </c>
      <c r="N457" s="185"/>
      <c r="O457" s="185"/>
      <c r="P457" s="185"/>
      <c r="Q457" s="185"/>
      <c r="R457" s="185"/>
      <c r="S457" s="185"/>
      <c r="T457" s="185"/>
      <c r="U457" s="185"/>
      <c r="V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184" t="str">
        <f>IFERROR(__xludf.DUMMYFUNCTION("ifna(IF(and(D458=""Saída"",J458=""Sangria""),if(sum(QUERY(IMPORTRANGE(""https://docs.google.com/spreadsheets/d/1E4szPcLzsqlw4uyBAoJ61L1ChCgpz4wVP8tHfHW1g_c"",""BD M Sangrias!a:i""),""select Col6 where Col7 = 'Depositada' and Col9 = '""&amp;K458&amp;""' and Col6 ="&amp;" ""&amp;M458&amp;"" and Col4 = date '""&amp;YEAR(C458)&amp;""-""&amp;MONTH(C458)&amp;""-""&amp;DAY(C458)&amp;""'""))&gt;0,""Depositada"",if(sum(QUERY(IMPORTRANGE(""https://docs.google.com/spreadsheets/d/1EcLIvUgMoBC5as4ikW0wuQsGH5yVZ6cQ1y16qEfgPnk"",""BD M Sangrias!a:i""),""select Col6 whe"&amp;"re Col7 = 'Caixa Atendimento' and Col9 = '""&amp;K458&amp;""' and Col6 = ""&amp;M458&amp;"" and Col4 = date '""&amp;YEAR(C458)&amp;""-""&amp;MONTH(C458)&amp;""-""&amp;DAY(C458)&amp;""'""))&gt;0,""Caixa Atendimento"",""Caixa Sangria"")),""""),""Caixa Sangria"")"),"")</f>
        <v/>
      </c>
      <c r="M458" s="185" t="str">
        <f>IFERROR(__xludf.DUMMYFUNCTION("ifna(VALUE(REGEXEXTRACT(E458,""[0-9.]+[,]+[0-9]+"")))"),"")</f>
        <v/>
      </c>
      <c r="N458" s="185"/>
      <c r="O458" s="185"/>
      <c r="P458" s="185"/>
      <c r="Q458" s="185"/>
      <c r="R458" s="185"/>
      <c r="S458" s="185"/>
      <c r="T458" s="185"/>
      <c r="U458" s="185"/>
      <c r="V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184" t="str">
        <f>IFERROR(__xludf.DUMMYFUNCTION("ifna(IF(and(D459=""Saída"",J459=""Sangria""),if(sum(QUERY(IMPORTRANGE(""https://docs.google.com/spreadsheets/d/1E4szPcLzsqlw4uyBAoJ61L1ChCgpz4wVP8tHfHW1g_c"",""BD M Sangrias!a:i""),""select Col6 where Col7 = 'Depositada' and Col9 = '""&amp;K459&amp;""' and Col6 ="&amp;" ""&amp;M459&amp;"" and Col4 = date '""&amp;YEAR(C459)&amp;""-""&amp;MONTH(C459)&amp;""-""&amp;DAY(C459)&amp;""'""))&gt;0,""Depositada"",if(sum(QUERY(IMPORTRANGE(""https://docs.google.com/spreadsheets/d/1EcLIvUgMoBC5as4ikW0wuQsGH5yVZ6cQ1y16qEfgPnk"",""BD M Sangrias!a:i""),""select Col6 whe"&amp;"re Col7 = 'Caixa Atendimento' and Col9 = '""&amp;K459&amp;""' and Col6 = ""&amp;M459&amp;"" and Col4 = date '""&amp;YEAR(C459)&amp;""-""&amp;MONTH(C459)&amp;""-""&amp;DAY(C459)&amp;""'""))&gt;0,""Caixa Atendimento"",""Caixa Sangria"")),""""),""Caixa Sangria"")"),"")</f>
        <v/>
      </c>
      <c r="M459" s="185" t="str">
        <f>IFERROR(__xludf.DUMMYFUNCTION("ifna(VALUE(REGEXEXTRACT(E459,""[0-9.]+[,]+[0-9]+"")))"),"")</f>
        <v/>
      </c>
      <c r="N459" s="185"/>
      <c r="O459" s="185"/>
      <c r="P459" s="185"/>
      <c r="Q459" s="185"/>
      <c r="R459" s="185"/>
      <c r="S459" s="185"/>
      <c r="T459" s="185"/>
      <c r="U459" s="185"/>
      <c r="V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184" t="str">
        <f>IFERROR(__xludf.DUMMYFUNCTION("ifna(IF(and(D460=""Saída"",J460=""Sangria""),if(sum(QUERY(IMPORTRANGE(""https://docs.google.com/spreadsheets/d/1E4szPcLzsqlw4uyBAoJ61L1ChCgpz4wVP8tHfHW1g_c"",""BD M Sangrias!a:i""),""select Col6 where Col7 = 'Depositada' and Col9 = '""&amp;K460&amp;""' and Col6 ="&amp;" ""&amp;M460&amp;"" and Col4 = date '""&amp;YEAR(C460)&amp;""-""&amp;MONTH(C460)&amp;""-""&amp;DAY(C460)&amp;""'""))&gt;0,""Depositada"",if(sum(QUERY(IMPORTRANGE(""https://docs.google.com/spreadsheets/d/1EcLIvUgMoBC5as4ikW0wuQsGH5yVZ6cQ1y16qEfgPnk"",""BD M Sangrias!a:i""),""select Col6 whe"&amp;"re Col7 = 'Caixa Atendimento' and Col9 = '""&amp;K460&amp;""' and Col6 = ""&amp;M460&amp;"" and Col4 = date '""&amp;YEAR(C460)&amp;""-""&amp;MONTH(C460)&amp;""-""&amp;DAY(C460)&amp;""'""))&gt;0,""Caixa Atendimento"",""Caixa Sangria"")),""""),""Caixa Sangria"")"),"")</f>
        <v/>
      </c>
      <c r="M460" s="185" t="str">
        <f>IFERROR(__xludf.DUMMYFUNCTION("ifna(VALUE(REGEXEXTRACT(E460,""[0-9.]+[,]+[0-9]+"")))"),"")</f>
        <v/>
      </c>
      <c r="N460" s="185"/>
      <c r="O460" s="185"/>
      <c r="P460" s="185"/>
      <c r="Q460" s="185"/>
      <c r="R460" s="185"/>
      <c r="S460" s="185"/>
      <c r="T460" s="185"/>
      <c r="U460" s="185"/>
      <c r="V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184" t="str">
        <f>IFERROR(__xludf.DUMMYFUNCTION("ifna(IF(and(D461=""Saída"",J461=""Sangria""),if(sum(QUERY(IMPORTRANGE(""https://docs.google.com/spreadsheets/d/1E4szPcLzsqlw4uyBAoJ61L1ChCgpz4wVP8tHfHW1g_c"",""BD M Sangrias!a:i""),""select Col6 where Col7 = 'Depositada' and Col9 = '""&amp;K461&amp;""' and Col6 ="&amp;" ""&amp;M461&amp;"" and Col4 = date '""&amp;YEAR(C461)&amp;""-""&amp;MONTH(C461)&amp;""-""&amp;DAY(C461)&amp;""'""))&gt;0,""Depositada"",if(sum(QUERY(IMPORTRANGE(""https://docs.google.com/spreadsheets/d/1EcLIvUgMoBC5as4ikW0wuQsGH5yVZ6cQ1y16qEfgPnk"",""BD M Sangrias!a:i""),""select Col6 whe"&amp;"re Col7 = 'Caixa Atendimento' and Col9 = '""&amp;K461&amp;""' and Col6 = ""&amp;M461&amp;"" and Col4 = date '""&amp;YEAR(C461)&amp;""-""&amp;MONTH(C461)&amp;""-""&amp;DAY(C461)&amp;""'""))&gt;0,""Caixa Atendimento"",""Caixa Sangria"")),""""),""Caixa Sangria"")"),"")</f>
        <v/>
      </c>
      <c r="M461" s="185" t="str">
        <f>IFERROR(__xludf.DUMMYFUNCTION("ifna(VALUE(REGEXEXTRACT(E461,""[0-9.]+[,]+[0-9]+"")))"),"")</f>
        <v/>
      </c>
      <c r="N461" s="185"/>
      <c r="O461" s="185"/>
      <c r="P461" s="185"/>
      <c r="Q461" s="185"/>
      <c r="R461" s="185"/>
      <c r="S461" s="185"/>
      <c r="T461" s="185"/>
      <c r="U461" s="185"/>
      <c r="V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184" t="str">
        <f>IFERROR(__xludf.DUMMYFUNCTION("ifna(IF(and(D462=""Saída"",J462=""Sangria""),if(sum(QUERY(IMPORTRANGE(""https://docs.google.com/spreadsheets/d/1E4szPcLzsqlw4uyBAoJ61L1ChCgpz4wVP8tHfHW1g_c"",""BD M Sangrias!a:i""),""select Col6 where Col7 = 'Depositada' and Col9 = '""&amp;K462&amp;""' and Col6 ="&amp;" ""&amp;M462&amp;"" and Col4 = date '""&amp;YEAR(C462)&amp;""-""&amp;MONTH(C462)&amp;""-""&amp;DAY(C462)&amp;""'""))&gt;0,""Depositada"",if(sum(QUERY(IMPORTRANGE(""https://docs.google.com/spreadsheets/d/1EcLIvUgMoBC5as4ikW0wuQsGH5yVZ6cQ1y16qEfgPnk"",""BD M Sangrias!a:i""),""select Col6 whe"&amp;"re Col7 = 'Caixa Atendimento' and Col9 = '""&amp;K462&amp;""' and Col6 = ""&amp;M462&amp;"" and Col4 = date '""&amp;YEAR(C462)&amp;""-""&amp;MONTH(C462)&amp;""-""&amp;DAY(C462)&amp;""'""))&gt;0,""Caixa Atendimento"",""Caixa Sangria"")),""""),""Caixa Sangria"")"),"")</f>
        <v/>
      </c>
      <c r="M462" s="185" t="str">
        <f>IFERROR(__xludf.DUMMYFUNCTION("ifna(VALUE(REGEXEXTRACT(E462,""[0-9.]+[,]+[0-9]+"")))"),"")</f>
        <v/>
      </c>
      <c r="N462" s="185"/>
      <c r="O462" s="185"/>
      <c r="P462" s="185"/>
      <c r="Q462" s="185"/>
      <c r="R462" s="185"/>
      <c r="S462" s="185"/>
      <c r="T462" s="185"/>
      <c r="U462" s="185"/>
      <c r="V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184" t="str">
        <f>IFERROR(__xludf.DUMMYFUNCTION("ifna(IF(and(D463=""Saída"",J463=""Sangria""),if(sum(QUERY(IMPORTRANGE(""https://docs.google.com/spreadsheets/d/1E4szPcLzsqlw4uyBAoJ61L1ChCgpz4wVP8tHfHW1g_c"",""BD M Sangrias!a:i""),""select Col6 where Col7 = 'Depositada' and Col9 = '""&amp;K463&amp;""' and Col6 ="&amp;" ""&amp;M463&amp;"" and Col4 = date '""&amp;YEAR(C463)&amp;""-""&amp;MONTH(C463)&amp;""-""&amp;DAY(C463)&amp;""'""))&gt;0,""Depositada"",if(sum(QUERY(IMPORTRANGE(""https://docs.google.com/spreadsheets/d/1EcLIvUgMoBC5as4ikW0wuQsGH5yVZ6cQ1y16qEfgPnk"",""BD M Sangrias!a:i""),""select Col6 whe"&amp;"re Col7 = 'Caixa Atendimento' and Col9 = '""&amp;K463&amp;""' and Col6 = ""&amp;M463&amp;"" and Col4 = date '""&amp;YEAR(C463)&amp;""-""&amp;MONTH(C463)&amp;""-""&amp;DAY(C463)&amp;""'""))&gt;0,""Caixa Atendimento"",""Caixa Sangria"")),""""),""Caixa Sangria"")"),"")</f>
        <v/>
      </c>
      <c r="M463" s="185" t="str">
        <f>IFERROR(__xludf.DUMMYFUNCTION("ifna(VALUE(REGEXEXTRACT(E463,""[0-9.]+[,]+[0-9]+"")))"),"")</f>
        <v/>
      </c>
      <c r="N463" s="185"/>
      <c r="O463" s="185"/>
      <c r="P463" s="185"/>
      <c r="Q463" s="185"/>
      <c r="R463" s="185"/>
      <c r="S463" s="185"/>
      <c r="T463" s="185"/>
      <c r="U463" s="185"/>
      <c r="V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184" t="str">
        <f>IFERROR(__xludf.DUMMYFUNCTION("ifna(IF(and(D464=""Saída"",J464=""Sangria""),if(sum(QUERY(IMPORTRANGE(""https://docs.google.com/spreadsheets/d/1E4szPcLzsqlw4uyBAoJ61L1ChCgpz4wVP8tHfHW1g_c"",""BD M Sangrias!a:i""),""select Col6 where Col7 = 'Depositada' and Col9 = '""&amp;K464&amp;""' and Col6 ="&amp;" ""&amp;M464&amp;"" and Col4 = date '""&amp;YEAR(C464)&amp;""-""&amp;MONTH(C464)&amp;""-""&amp;DAY(C464)&amp;""'""))&gt;0,""Depositada"",if(sum(QUERY(IMPORTRANGE(""https://docs.google.com/spreadsheets/d/1EcLIvUgMoBC5as4ikW0wuQsGH5yVZ6cQ1y16qEfgPnk"",""BD M Sangrias!a:i""),""select Col6 whe"&amp;"re Col7 = 'Caixa Atendimento' and Col9 = '""&amp;K464&amp;""' and Col6 = ""&amp;M464&amp;"" and Col4 = date '""&amp;YEAR(C464)&amp;""-""&amp;MONTH(C464)&amp;""-""&amp;DAY(C464)&amp;""'""))&gt;0,""Caixa Atendimento"",""Caixa Sangria"")),""""),""Caixa Sangria"")"),"")</f>
        <v/>
      </c>
      <c r="M464" s="185" t="str">
        <f>IFERROR(__xludf.DUMMYFUNCTION("ifna(VALUE(REGEXEXTRACT(E464,""[0-9.]+[,]+[0-9]+"")))"),"")</f>
        <v/>
      </c>
      <c r="N464" s="185"/>
      <c r="O464" s="185"/>
      <c r="P464" s="185"/>
      <c r="Q464" s="185"/>
      <c r="R464" s="185"/>
      <c r="S464" s="185"/>
      <c r="T464" s="185"/>
      <c r="U464" s="185"/>
      <c r="V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184" t="str">
        <f>IFERROR(__xludf.DUMMYFUNCTION("ifna(IF(and(D465=""Saída"",J465=""Sangria""),if(sum(QUERY(IMPORTRANGE(""https://docs.google.com/spreadsheets/d/1E4szPcLzsqlw4uyBAoJ61L1ChCgpz4wVP8tHfHW1g_c"",""BD M Sangrias!a:i""),""select Col6 where Col7 = 'Depositada' and Col9 = '""&amp;K465&amp;""' and Col6 ="&amp;" ""&amp;M465&amp;"" and Col4 = date '""&amp;YEAR(C465)&amp;""-""&amp;MONTH(C465)&amp;""-""&amp;DAY(C465)&amp;""'""))&gt;0,""Depositada"",if(sum(QUERY(IMPORTRANGE(""https://docs.google.com/spreadsheets/d/1EcLIvUgMoBC5as4ikW0wuQsGH5yVZ6cQ1y16qEfgPnk"",""BD M Sangrias!a:i""),""select Col6 whe"&amp;"re Col7 = 'Caixa Atendimento' and Col9 = '""&amp;K465&amp;""' and Col6 = ""&amp;M465&amp;"" and Col4 = date '""&amp;YEAR(C465)&amp;""-""&amp;MONTH(C465)&amp;""-""&amp;DAY(C465)&amp;""'""))&gt;0,""Caixa Atendimento"",""Caixa Sangria"")),""""),""Caixa Sangria"")"),"")</f>
        <v/>
      </c>
      <c r="M465" s="185" t="str">
        <f>IFERROR(__xludf.DUMMYFUNCTION("ifna(VALUE(REGEXEXTRACT(E465,""[0-9.]+[,]+[0-9]+"")))"),"")</f>
        <v/>
      </c>
      <c r="N465" s="185"/>
      <c r="O465" s="185"/>
      <c r="P465" s="185"/>
      <c r="Q465" s="185"/>
      <c r="R465" s="185"/>
      <c r="S465" s="185"/>
      <c r="T465" s="185"/>
      <c r="U465" s="185"/>
      <c r="V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184" t="str">
        <f>IFERROR(__xludf.DUMMYFUNCTION("ifna(IF(and(D466=""Saída"",J466=""Sangria""),if(sum(QUERY(IMPORTRANGE(""https://docs.google.com/spreadsheets/d/1E4szPcLzsqlw4uyBAoJ61L1ChCgpz4wVP8tHfHW1g_c"",""BD M Sangrias!a:i""),""select Col6 where Col7 = 'Depositada' and Col9 = '""&amp;K466&amp;""' and Col6 ="&amp;" ""&amp;M466&amp;"" and Col4 = date '""&amp;YEAR(C466)&amp;""-""&amp;MONTH(C466)&amp;""-""&amp;DAY(C466)&amp;""'""))&gt;0,""Depositada"",if(sum(QUERY(IMPORTRANGE(""https://docs.google.com/spreadsheets/d/1EcLIvUgMoBC5as4ikW0wuQsGH5yVZ6cQ1y16qEfgPnk"",""BD M Sangrias!a:i""),""select Col6 whe"&amp;"re Col7 = 'Caixa Atendimento' and Col9 = '""&amp;K466&amp;""' and Col6 = ""&amp;M466&amp;"" and Col4 = date '""&amp;YEAR(C466)&amp;""-""&amp;MONTH(C466)&amp;""-""&amp;DAY(C466)&amp;""'""))&gt;0,""Caixa Atendimento"",""Caixa Sangria"")),""""),""Caixa Sangria"")"),"")</f>
        <v/>
      </c>
      <c r="M466" s="185" t="str">
        <f>IFERROR(__xludf.DUMMYFUNCTION("ifna(VALUE(REGEXEXTRACT(E466,""[0-9.]+[,]+[0-9]+"")))"),"")</f>
        <v/>
      </c>
      <c r="N466" s="185"/>
      <c r="O466" s="185"/>
      <c r="P466" s="185"/>
      <c r="Q466" s="185"/>
      <c r="R466" s="185"/>
      <c r="S466" s="185"/>
      <c r="T466" s="185"/>
      <c r="U466" s="185"/>
      <c r="V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184" t="str">
        <f>IFERROR(__xludf.DUMMYFUNCTION("ifna(IF(and(D467=""Saída"",J467=""Sangria""),if(sum(QUERY(IMPORTRANGE(""https://docs.google.com/spreadsheets/d/1E4szPcLzsqlw4uyBAoJ61L1ChCgpz4wVP8tHfHW1g_c"",""BD M Sangrias!a:i""),""select Col6 where Col7 = 'Depositada' and Col9 = '""&amp;K467&amp;""' and Col6 ="&amp;" ""&amp;M467&amp;"" and Col4 = date '""&amp;YEAR(C467)&amp;""-""&amp;MONTH(C467)&amp;""-""&amp;DAY(C467)&amp;""'""))&gt;0,""Depositada"",if(sum(QUERY(IMPORTRANGE(""https://docs.google.com/spreadsheets/d/1EcLIvUgMoBC5as4ikW0wuQsGH5yVZ6cQ1y16qEfgPnk"",""BD M Sangrias!a:i""),""select Col6 whe"&amp;"re Col7 = 'Caixa Atendimento' and Col9 = '""&amp;K467&amp;""' and Col6 = ""&amp;M467&amp;"" and Col4 = date '""&amp;YEAR(C467)&amp;""-""&amp;MONTH(C467)&amp;""-""&amp;DAY(C467)&amp;""'""))&gt;0,""Caixa Atendimento"",""Caixa Sangria"")),""""),""Caixa Sangria"")"),"")</f>
        <v/>
      </c>
      <c r="M467" s="185" t="str">
        <f>IFERROR(__xludf.DUMMYFUNCTION("ifna(VALUE(REGEXEXTRACT(E467,""[0-9.]+[,]+[0-9]+"")))"),"")</f>
        <v/>
      </c>
      <c r="N467" s="185"/>
      <c r="O467" s="185"/>
      <c r="P467" s="185"/>
      <c r="Q467" s="185"/>
      <c r="R467" s="185"/>
      <c r="S467" s="185"/>
      <c r="T467" s="185"/>
      <c r="U467" s="185"/>
      <c r="V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184" t="str">
        <f>IFERROR(__xludf.DUMMYFUNCTION("ifna(IF(and(D468=""Saída"",J468=""Sangria""),if(sum(QUERY(IMPORTRANGE(""https://docs.google.com/spreadsheets/d/1E4szPcLzsqlw4uyBAoJ61L1ChCgpz4wVP8tHfHW1g_c"",""BD M Sangrias!a:i""),""select Col6 where Col7 = 'Depositada' and Col9 = '""&amp;K468&amp;""' and Col6 ="&amp;" ""&amp;M468&amp;"" and Col4 = date '""&amp;YEAR(C468)&amp;""-""&amp;MONTH(C468)&amp;""-""&amp;DAY(C468)&amp;""'""))&gt;0,""Depositada"",if(sum(QUERY(IMPORTRANGE(""https://docs.google.com/spreadsheets/d/1EcLIvUgMoBC5as4ikW0wuQsGH5yVZ6cQ1y16qEfgPnk"",""BD M Sangrias!a:i""),""select Col6 whe"&amp;"re Col7 = 'Caixa Atendimento' and Col9 = '""&amp;K468&amp;""' and Col6 = ""&amp;M468&amp;"" and Col4 = date '""&amp;YEAR(C468)&amp;""-""&amp;MONTH(C468)&amp;""-""&amp;DAY(C468)&amp;""'""))&gt;0,""Caixa Atendimento"",""Caixa Sangria"")),""""),""Caixa Sangria"")"),"")</f>
        <v/>
      </c>
      <c r="M468" s="185" t="str">
        <f>IFERROR(__xludf.DUMMYFUNCTION("ifna(VALUE(REGEXEXTRACT(E468,""[0-9.]+[,]+[0-9]+"")))"),"")</f>
        <v/>
      </c>
      <c r="N468" s="185"/>
      <c r="O468" s="185"/>
      <c r="P468" s="185"/>
      <c r="Q468" s="185"/>
      <c r="R468" s="185"/>
      <c r="S468" s="185"/>
      <c r="T468" s="185"/>
      <c r="U468" s="185"/>
      <c r="V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184" t="str">
        <f>IFERROR(__xludf.DUMMYFUNCTION("ifna(IF(and(D469=""Saída"",J469=""Sangria""),if(sum(QUERY(IMPORTRANGE(""https://docs.google.com/spreadsheets/d/1E4szPcLzsqlw4uyBAoJ61L1ChCgpz4wVP8tHfHW1g_c"",""BD M Sangrias!a:i""),""select Col6 where Col7 = 'Depositada' and Col9 = '""&amp;K469&amp;""' and Col6 ="&amp;" ""&amp;M469&amp;"" and Col4 = date '""&amp;YEAR(C469)&amp;""-""&amp;MONTH(C469)&amp;""-""&amp;DAY(C469)&amp;""'""))&gt;0,""Depositada"",if(sum(QUERY(IMPORTRANGE(""https://docs.google.com/spreadsheets/d/1EcLIvUgMoBC5as4ikW0wuQsGH5yVZ6cQ1y16qEfgPnk"",""BD M Sangrias!a:i""),""select Col6 whe"&amp;"re Col7 = 'Caixa Atendimento' and Col9 = '""&amp;K469&amp;""' and Col6 = ""&amp;M469&amp;"" and Col4 = date '""&amp;YEAR(C469)&amp;""-""&amp;MONTH(C469)&amp;""-""&amp;DAY(C469)&amp;""'""))&gt;0,""Caixa Atendimento"",""Caixa Sangria"")),""""),""Caixa Sangria"")"),"")</f>
        <v/>
      </c>
      <c r="M469" s="185" t="str">
        <f>IFERROR(__xludf.DUMMYFUNCTION("ifna(VALUE(REGEXEXTRACT(E469,""[0-9.]+[,]+[0-9]+"")))"),"")</f>
        <v/>
      </c>
      <c r="N469" s="185"/>
      <c r="O469" s="185"/>
      <c r="P469" s="185"/>
      <c r="Q469" s="185"/>
      <c r="R469" s="185"/>
      <c r="S469" s="185"/>
      <c r="T469" s="185"/>
      <c r="U469" s="185"/>
      <c r="V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184" t="str">
        <f>IFERROR(__xludf.DUMMYFUNCTION("ifna(IF(and(D470=""Saída"",J470=""Sangria""),if(sum(QUERY(IMPORTRANGE(""https://docs.google.com/spreadsheets/d/1E4szPcLzsqlw4uyBAoJ61L1ChCgpz4wVP8tHfHW1g_c"",""BD M Sangrias!a:i""),""select Col6 where Col7 = 'Depositada' and Col9 = '""&amp;K470&amp;""' and Col6 ="&amp;" ""&amp;M470&amp;"" and Col4 = date '""&amp;YEAR(C470)&amp;""-""&amp;MONTH(C470)&amp;""-""&amp;DAY(C470)&amp;""'""))&gt;0,""Depositada"",if(sum(QUERY(IMPORTRANGE(""https://docs.google.com/spreadsheets/d/1EcLIvUgMoBC5as4ikW0wuQsGH5yVZ6cQ1y16qEfgPnk"",""BD M Sangrias!a:i""),""select Col6 whe"&amp;"re Col7 = 'Caixa Atendimento' and Col9 = '""&amp;K470&amp;""' and Col6 = ""&amp;M470&amp;"" and Col4 = date '""&amp;YEAR(C470)&amp;""-""&amp;MONTH(C470)&amp;""-""&amp;DAY(C470)&amp;""'""))&gt;0,""Caixa Atendimento"",""Caixa Sangria"")),""""),""Caixa Sangria"")"),"")</f>
        <v/>
      </c>
      <c r="M470" s="185" t="str">
        <f>IFERROR(__xludf.DUMMYFUNCTION("ifna(VALUE(REGEXEXTRACT(E470,""[0-9.]+[,]+[0-9]+"")))"),"")</f>
        <v/>
      </c>
      <c r="N470" s="185"/>
      <c r="O470" s="185"/>
      <c r="P470" s="185"/>
      <c r="Q470" s="185"/>
      <c r="R470" s="185"/>
      <c r="S470" s="185"/>
      <c r="T470" s="185"/>
      <c r="U470" s="185"/>
      <c r="V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184" t="str">
        <f>IFERROR(__xludf.DUMMYFUNCTION("ifna(IF(and(D471=""Saída"",J471=""Sangria""),if(sum(QUERY(IMPORTRANGE(""https://docs.google.com/spreadsheets/d/1E4szPcLzsqlw4uyBAoJ61L1ChCgpz4wVP8tHfHW1g_c"",""BD M Sangrias!a:i""),""select Col6 where Col7 = 'Depositada' and Col9 = '""&amp;K471&amp;""' and Col6 ="&amp;" ""&amp;M471&amp;"" and Col4 = date '""&amp;YEAR(C471)&amp;""-""&amp;MONTH(C471)&amp;""-""&amp;DAY(C471)&amp;""'""))&gt;0,""Depositada"",if(sum(QUERY(IMPORTRANGE(""https://docs.google.com/spreadsheets/d/1EcLIvUgMoBC5as4ikW0wuQsGH5yVZ6cQ1y16qEfgPnk"",""BD M Sangrias!a:i""),""select Col6 whe"&amp;"re Col7 = 'Caixa Atendimento' and Col9 = '""&amp;K471&amp;""' and Col6 = ""&amp;M471&amp;"" and Col4 = date '""&amp;YEAR(C471)&amp;""-""&amp;MONTH(C471)&amp;""-""&amp;DAY(C471)&amp;""'""))&gt;0,""Caixa Atendimento"",""Caixa Sangria"")),""""),""Caixa Sangria"")"),"")</f>
        <v/>
      </c>
      <c r="M471" s="185" t="str">
        <f>IFERROR(__xludf.DUMMYFUNCTION("ifna(VALUE(REGEXEXTRACT(E471,""[0-9.]+[,]+[0-9]+"")))"),"")</f>
        <v/>
      </c>
      <c r="N471" s="185"/>
      <c r="O471" s="185"/>
      <c r="P471" s="185"/>
      <c r="Q471" s="185"/>
      <c r="R471" s="185"/>
      <c r="S471" s="185"/>
      <c r="T471" s="185"/>
      <c r="U471" s="185"/>
      <c r="V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184" t="str">
        <f>IFERROR(__xludf.DUMMYFUNCTION("ifna(IF(and(D472=""Saída"",J472=""Sangria""),if(sum(QUERY(IMPORTRANGE(""https://docs.google.com/spreadsheets/d/1E4szPcLzsqlw4uyBAoJ61L1ChCgpz4wVP8tHfHW1g_c"",""BD M Sangrias!a:i""),""select Col6 where Col7 = 'Depositada' and Col9 = '""&amp;K472&amp;""' and Col6 ="&amp;" ""&amp;M472&amp;"" and Col4 = date '""&amp;YEAR(C472)&amp;""-""&amp;MONTH(C472)&amp;""-""&amp;DAY(C472)&amp;""'""))&gt;0,""Depositada"",if(sum(QUERY(IMPORTRANGE(""https://docs.google.com/spreadsheets/d/1EcLIvUgMoBC5as4ikW0wuQsGH5yVZ6cQ1y16qEfgPnk"",""BD M Sangrias!a:i""),""select Col6 whe"&amp;"re Col7 = 'Caixa Atendimento' and Col9 = '""&amp;K472&amp;""' and Col6 = ""&amp;M472&amp;"" and Col4 = date '""&amp;YEAR(C472)&amp;""-""&amp;MONTH(C472)&amp;""-""&amp;DAY(C472)&amp;""'""))&gt;0,""Caixa Atendimento"",""Caixa Sangria"")),""""),""Caixa Sangria"")"),"")</f>
        <v/>
      </c>
      <c r="M472" s="185" t="str">
        <f>IFERROR(__xludf.DUMMYFUNCTION("ifna(VALUE(REGEXEXTRACT(E472,""[0-9.]+[,]+[0-9]+"")))"),"")</f>
        <v/>
      </c>
      <c r="N472" s="185"/>
      <c r="O472" s="185"/>
      <c r="P472" s="185"/>
      <c r="Q472" s="185"/>
      <c r="R472" s="185"/>
      <c r="S472" s="185"/>
      <c r="T472" s="185"/>
      <c r="U472" s="185"/>
      <c r="V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184" t="str">
        <f>IFERROR(__xludf.DUMMYFUNCTION("ifna(IF(and(D473=""Saída"",J473=""Sangria""),if(sum(QUERY(IMPORTRANGE(""https://docs.google.com/spreadsheets/d/1E4szPcLzsqlw4uyBAoJ61L1ChCgpz4wVP8tHfHW1g_c"",""BD M Sangrias!a:i""),""select Col6 where Col7 = 'Depositada' and Col9 = '""&amp;K473&amp;""' and Col6 ="&amp;" ""&amp;M473&amp;"" and Col4 = date '""&amp;YEAR(C473)&amp;""-""&amp;MONTH(C473)&amp;""-""&amp;DAY(C473)&amp;""'""))&gt;0,""Depositada"",if(sum(QUERY(IMPORTRANGE(""https://docs.google.com/spreadsheets/d/1EcLIvUgMoBC5as4ikW0wuQsGH5yVZ6cQ1y16qEfgPnk"",""BD M Sangrias!a:i""),""select Col6 whe"&amp;"re Col7 = 'Caixa Atendimento' and Col9 = '""&amp;K473&amp;""' and Col6 = ""&amp;M473&amp;"" and Col4 = date '""&amp;YEAR(C473)&amp;""-""&amp;MONTH(C473)&amp;""-""&amp;DAY(C473)&amp;""'""))&gt;0,""Caixa Atendimento"",""Caixa Sangria"")),""""),""Caixa Sangria"")"),"")</f>
        <v/>
      </c>
      <c r="M473" s="185" t="str">
        <f>IFERROR(__xludf.DUMMYFUNCTION("ifna(VALUE(REGEXEXTRACT(E473,""[0-9.]+[,]+[0-9]+"")))"),"")</f>
        <v/>
      </c>
      <c r="N473" s="185"/>
      <c r="O473" s="185"/>
      <c r="P473" s="185"/>
      <c r="Q473" s="185"/>
      <c r="R473" s="185"/>
      <c r="S473" s="185"/>
      <c r="T473" s="185"/>
      <c r="U473" s="185"/>
      <c r="V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184" t="str">
        <f>IFERROR(__xludf.DUMMYFUNCTION("ifna(IF(and(D474=""Saída"",J474=""Sangria""),if(sum(QUERY(IMPORTRANGE(""https://docs.google.com/spreadsheets/d/1E4szPcLzsqlw4uyBAoJ61L1ChCgpz4wVP8tHfHW1g_c"",""BD M Sangrias!a:i""),""select Col6 where Col7 = 'Depositada' and Col9 = '""&amp;K474&amp;""' and Col6 ="&amp;" ""&amp;M474&amp;"" and Col4 = date '""&amp;YEAR(C474)&amp;""-""&amp;MONTH(C474)&amp;""-""&amp;DAY(C474)&amp;""'""))&gt;0,""Depositada"",if(sum(QUERY(IMPORTRANGE(""https://docs.google.com/spreadsheets/d/1EcLIvUgMoBC5as4ikW0wuQsGH5yVZ6cQ1y16qEfgPnk"",""BD M Sangrias!a:i""),""select Col6 whe"&amp;"re Col7 = 'Caixa Atendimento' and Col9 = '""&amp;K474&amp;""' and Col6 = ""&amp;M474&amp;"" and Col4 = date '""&amp;YEAR(C474)&amp;""-""&amp;MONTH(C474)&amp;""-""&amp;DAY(C474)&amp;""'""))&gt;0,""Caixa Atendimento"",""Caixa Sangria"")),""""),""Caixa Sangria"")"),"")</f>
        <v/>
      </c>
      <c r="M474" s="185" t="str">
        <f>IFERROR(__xludf.DUMMYFUNCTION("ifna(VALUE(REGEXEXTRACT(E474,""[0-9.]+[,]+[0-9]+"")))"),"")</f>
        <v/>
      </c>
      <c r="N474" s="185"/>
      <c r="O474" s="185"/>
      <c r="P474" s="185"/>
      <c r="Q474" s="185"/>
      <c r="R474" s="185"/>
      <c r="S474" s="185"/>
      <c r="T474" s="185"/>
      <c r="U474" s="185"/>
      <c r="V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184" t="str">
        <f>IFERROR(__xludf.DUMMYFUNCTION("ifna(IF(and(D475=""Saída"",J475=""Sangria""),if(sum(QUERY(IMPORTRANGE(""https://docs.google.com/spreadsheets/d/1E4szPcLzsqlw4uyBAoJ61L1ChCgpz4wVP8tHfHW1g_c"",""BD M Sangrias!a:i""),""select Col6 where Col7 = 'Depositada' and Col9 = '""&amp;K475&amp;""' and Col6 ="&amp;" ""&amp;M475&amp;"" and Col4 = date '""&amp;YEAR(C475)&amp;""-""&amp;MONTH(C475)&amp;""-""&amp;DAY(C475)&amp;""'""))&gt;0,""Depositada"",if(sum(QUERY(IMPORTRANGE(""https://docs.google.com/spreadsheets/d/1EcLIvUgMoBC5as4ikW0wuQsGH5yVZ6cQ1y16qEfgPnk"",""BD M Sangrias!a:i""),""select Col6 whe"&amp;"re Col7 = 'Caixa Atendimento' and Col9 = '""&amp;K475&amp;""' and Col6 = ""&amp;M475&amp;"" and Col4 = date '""&amp;YEAR(C475)&amp;""-""&amp;MONTH(C475)&amp;""-""&amp;DAY(C475)&amp;""'""))&gt;0,""Caixa Atendimento"",""Caixa Sangria"")),""""),""Caixa Sangria"")"),"")</f>
        <v/>
      </c>
      <c r="M475" s="185" t="str">
        <f>IFERROR(__xludf.DUMMYFUNCTION("ifna(VALUE(REGEXEXTRACT(E475,""[0-9.]+[,]+[0-9]+"")))"),"")</f>
        <v/>
      </c>
      <c r="N475" s="185"/>
      <c r="O475" s="185"/>
      <c r="P475" s="185"/>
      <c r="Q475" s="185"/>
      <c r="R475" s="185"/>
      <c r="S475" s="185"/>
      <c r="T475" s="185"/>
      <c r="U475" s="185"/>
      <c r="V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184" t="str">
        <f>IFERROR(__xludf.DUMMYFUNCTION("ifna(IF(and(D476=""Saída"",J476=""Sangria""),if(sum(QUERY(IMPORTRANGE(""https://docs.google.com/spreadsheets/d/1E4szPcLzsqlw4uyBAoJ61L1ChCgpz4wVP8tHfHW1g_c"",""BD M Sangrias!a:i""),""select Col6 where Col7 = 'Depositada' and Col9 = '""&amp;K476&amp;""' and Col6 ="&amp;" ""&amp;M476&amp;"" and Col4 = date '""&amp;YEAR(C476)&amp;""-""&amp;MONTH(C476)&amp;""-""&amp;DAY(C476)&amp;""'""))&gt;0,""Depositada"",if(sum(QUERY(IMPORTRANGE(""https://docs.google.com/spreadsheets/d/1EcLIvUgMoBC5as4ikW0wuQsGH5yVZ6cQ1y16qEfgPnk"",""BD M Sangrias!a:i""),""select Col6 whe"&amp;"re Col7 = 'Caixa Atendimento' and Col9 = '""&amp;K476&amp;""' and Col6 = ""&amp;M476&amp;"" and Col4 = date '""&amp;YEAR(C476)&amp;""-""&amp;MONTH(C476)&amp;""-""&amp;DAY(C476)&amp;""'""))&gt;0,""Caixa Atendimento"",""Caixa Sangria"")),""""),""Caixa Sangria"")"),"")</f>
        <v/>
      </c>
      <c r="M476" s="185" t="str">
        <f>IFERROR(__xludf.DUMMYFUNCTION("ifna(VALUE(REGEXEXTRACT(E476,""[0-9.]+[,]+[0-9]+"")))"),"")</f>
        <v/>
      </c>
      <c r="N476" s="185"/>
      <c r="O476" s="185"/>
      <c r="P476" s="185"/>
      <c r="Q476" s="185"/>
      <c r="R476" s="185"/>
      <c r="S476" s="185"/>
      <c r="T476" s="185"/>
      <c r="U476" s="185"/>
      <c r="V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184" t="str">
        <f>IFERROR(__xludf.DUMMYFUNCTION("ifna(IF(and(D477=""Saída"",J477=""Sangria""),if(sum(QUERY(IMPORTRANGE(""https://docs.google.com/spreadsheets/d/1E4szPcLzsqlw4uyBAoJ61L1ChCgpz4wVP8tHfHW1g_c"",""BD M Sangrias!a:i""),""select Col6 where Col7 = 'Depositada' and Col9 = '""&amp;K477&amp;""' and Col6 ="&amp;" ""&amp;M477&amp;"" and Col4 = date '""&amp;YEAR(C477)&amp;""-""&amp;MONTH(C477)&amp;""-""&amp;DAY(C477)&amp;""'""))&gt;0,""Depositada"",if(sum(QUERY(IMPORTRANGE(""https://docs.google.com/spreadsheets/d/1EcLIvUgMoBC5as4ikW0wuQsGH5yVZ6cQ1y16qEfgPnk"",""BD M Sangrias!a:i""),""select Col6 whe"&amp;"re Col7 = 'Caixa Atendimento' and Col9 = '""&amp;K477&amp;""' and Col6 = ""&amp;M477&amp;"" and Col4 = date '""&amp;YEAR(C477)&amp;""-""&amp;MONTH(C477)&amp;""-""&amp;DAY(C477)&amp;""'""))&gt;0,""Caixa Atendimento"",""Caixa Sangria"")),""""),""Caixa Sangria"")"),"")</f>
        <v/>
      </c>
      <c r="M477" s="185" t="str">
        <f>IFERROR(__xludf.DUMMYFUNCTION("ifna(VALUE(REGEXEXTRACT(E477,""[0-9.]+[,]+[0-9]+"")))"),"")</f>
        <v/>
      </c>
      <c r="N477" s="185"/>
      <c r="O477" s="185"/>
      <c r="P477" s="185"/>
      <c r="Q477" s="185"/>
      <c r="R477" s="185"/>
      <c r="S477" s="185"/>
      <c r="T477" s="185"/>
      <c r="U477" s="185"/>
      <c r="V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184" t="str">
        <f>IFERROR(__xludf.DUMMYFUNCTION("ifna(IF(and(D478=""Saída"",J478=""Sangria""),if(sum(QUERY(IMPORTRANGE(""https://docs.google.com/spreadsheets/d/1E4szPcLzsqlw4uyBAoJ61L1ChCgpz4wVP8tHfHW1g_c"",""BD M Sangrias!a:i""),""select Col6 where Col7 = 'Depositada' and Col9 = '""&amp;K478&amp;""' and Col6 ="&amp;" ""&amp;M478&amp;"" and Col4 = date '""&amp;YEAR(C478)&amp;""-""&amp;MONTH(C478)&amp;""-""&amp;DAY(C478)&amp;""'""))&gt;0,""Depositada"",if(sum(QUERY(IMPORTRANGE(""https://docs.google.com/spreadsheets/d/1EcLIvUgMoBC5as4ikW0wuQsGH5yVZ6cQ1y16qEfgPnk"",""BD M Sangrias!a:i""),""select Col6 whe"&amp;"re Col7 = 'Caixa Atendimento' and Col9 = '""&amp;K478&amp;""' and Col6 = ""&amp;M478&amp;"" and Col4 = date '""&amp;YEAR(C478)&amp;""-""&amp;MONTH(C478)&amp;""-""&amp;DAY(C478)&amp;""'""))&gt;0,""Caixa Atendimento"",""Caixa Sangria"")),""""),""Caixa Sangria"")"),"")</f>
        <v/>
      </c>
      <c r="M478" s="185" t="str">
        <f>IFERROR(__xludf.DUMMYFUNCTION("ifna(VALUE(REGEXEXTRACT(E478,""[0-9.]+[,]+[0-9]+"")))"),"")</f>
        <v/>
      </c>
      <c r="N478" s="185"/>
      <c r="O478" s="185"/>
      <c r="P478" s="185"/>
      <c r="Q478" s="185"/>
      <c r="R478" s="185"/>
      <c r="S478" s="185"/>
      <c r="T478" s="185"/>
      <c r="U478" s="185"/>
      <c r="V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184" t="str">
        <f>IFERROR(__xludf.DUMMYFUNCTION("ifna(IF(and(D479=""Saída"",J479=""Sangria""),if(sum(QUERY(IMPORTRANGE(""https://docs.google.com/spreadsheets/d/1E4szPcLzsqlw4uyBAoJ61L1ChCgpz4wVP8tHfHW1g_c"",""BD M Sangrias!a:i""),""select Col6 where Col7 = 'Depositada' and Col9 = '""&amp;K479&amp;""' and Col6 ="&amp;" ""&amp;M479&amp;"" and Col4 = date '""&amp;YEAR(C479)&amp;""-""&amp;MONTH(C479)&amp;""-""&amp;DAY(C479)&amp;""'""))&gt;0,""Depositada"",if(sum(QUERY(IMPORTRANGE(""https://docs.google.com/spreadsheets/d/1EcLIvUgMoBC5as4ikW0wuQsGH5yVZ6cQ1y16qEfgPnk"",""BD M Sangrias!a:i""),""select Col6 whe"&amp;"re Col7 = 'Caixa Atendimento' and Col9 = '""&amp;K479&amp;""' and Col6 = ""&amp;M479&amp;"" and Col4 = date '""&amp;YEAR(C479)&amp;""-""&amp;MONTH(C479)&amp;""-""&amp;DAY(C479)&amp;""'""))&gt;0,""Caixa Atendimento"",""Caixa Sangria"")),""""),""Caixa Sangria"")"),"")</f>
        <v/>
      </c>
      <c r="M479" s="185" t="str">
        <f>IFERROR(__xludf.DUMMYFUNCTION("ifna(VALUE(REGEXEXTRACT(E479,""[0-9.]+[,]+[0-9]+"")))"),"")</f>
        <v/>
      </c>
      <c r="N479" s="185"/>
      <c r="O479" s="185"/>
      <c r="P479" s="185"/>
      <c r="Q479" s="185"/>
      <c r="R479" s="185"/>
      <c r="S479" s="185"/>
      <c r="T479" s="185"/>
      <c r="U479" s="185"/>
      <c r="V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184" t="str">
        <f>IFERROR(__xludf.DUMMYFUNCTION("ifna(IF(and(D480=""Saída"",J480=""Sangria""),if(sum(QUERY(IMPORTRANGE(""https://docs.google.com/spreadsheets/d/1E4szPcLzsqlw4uyBAoJ61L1ChCgpz4wVP8tHfHW1g_c"",""BD M Sangrias!a:i""),""select Col6 where Col7 = 'Depositada' and Col9 = '""&amp;K480&amp;""' and Col6 ="&amp;" ""&amp;M480&amp;"" and Col4 = date '""&amp;YEAR(C480)&amp;""-""&amp;MONTH(C480)&amp;""-""&amp;DAY(C480)&amp;""'""))&gt;0,""Depositada"",if(sum(QUERY(IMPORTRANGE(""https://docs.google.com/spreadsheets/d/1EcLIvUgMoBC5as4ikW0wuQsGH5yVZ6cQ1y16qEfgPnk"",""BD M Sangrias!a:i""),""select Col6 whe"&amp;"re Col7 = 'Caixa Atendimento' and Col9 = '""&amp;K480&amp;""' and Col6 = ""&amp;M480&amp;"" and Col4 = date '""&amp;YEAR(C480)&amp;""-""&amp;MONTH(C480)&amp;""-""&amp;DAY(C480)&amp;""'""))&gt;0,""Caixa Atendimento"",""Caixa Sangria"")),""""),""Caixa Sangria"")"),"")</f>
        <v/>
      </c>
      <c r="M480" s="185" t="str">
        <f>IFERROR(__xludf.DUMMYFUNCTION("ifna(VALUE(REGEXEXTRACT(E480,""[0-9.]+[,]+[0-9]+"")))"),"")</f>
        <v/>
      </c>
      <c r="N480" s="185"/>
      <c r="O480" s="185"/>
      <c r="P480" s="185"/>
      <c r="Q480" s="185"/>
      <c r="R480" s="185"/>
      <c r="S480" s="185"/>
      <c r="T480" s="185"/>
      <c r="U480" s="185"/>
      <c r="V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184" t="str">
        <f>IFERROR(__xludf.DUMMYFUNCTION("ifna(IF(and(D481=""Saída"",J481=""Sangria""),if(sum(QUERY(IMPORTRANGE(""https://docs.google.com/spreadsheets/d/1E4szPcLzsqlw4uyBAoJ61L1ChCgpz4wVP8tHfHW1g_c"",""BD M Sangrias!a:i""),""select Col6 where Col7 = 'Depositada' and Col9 = '""&amp;K481&amp;""' and Col6 ="&amp;" ""&amp;M481&amp;"" and Col4 = date '""&amp;YEAR(C481)&amp;""-""&amp;MONTH(C481)&amp;""-""&amp;DAY(C481)&amp;""'""))&gt;0,""Depositada"",if(sum(QUERY(IMPORTRANGE(""https://docs.google.com/spreadsheets/d/1EcLIvUgMoBC5as4ikW0wuQsGH5yVZ6cQ1y16qEfgPnk"",""BD M Sangrias!a:i""),""select Col6 whe"&amp;"re Col7 = 'Caixa Atendimento' and Col9 = '""&amp;K481&amp;""' and Col6 = ""&amp;M481&amp;"" and Col4 = date '""&amp;YEAR(C481)&amp;""-""&amp;MONTH(C481)&amp;""-""&amp;DAY(C481)&amp;""'""))&gt;0,""Caixa Atendimento"",""Caixa Sangria"")),""""),""Caixa Sangria"")"),"")</f>
        <v/>
      </c>
      <c r="M481" s="185" t="str">
        <f>IFERROR(__xludf.DUMMYFUNCTION("ifna(VALUE(REGEXEXTRACT(E481,""[0-9.]+[,]+[0-9]+"")))"),"")</f>
        <v/>
      </c>
      <c r="N481" s="185"/>
      <c r="O481" s="185"/>
      <c r="P481" s="185"/>
      <c r="Q481" s="185"/>
      <c r="R481" s="185"/>
      <c r="S481" s="185"/>
      <c r="T481" s="185"/>
      <c r="U481" s="185"/>
      <c r="V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184" t="str">
        <f>IFERROR(__xludf.DUMMYFUNCTION("ifna(IF(and(D482=""Saída"",J482=""Sangria""),if(sum(QUERY(IMPORTRANGE(""https://docs.google.com/spreadsheets/d/1E4szPcLzsqlw4uyBAoJ61L1ChCgpz4wVP8tHfHW1g_c"",""BD M Sangrias!a:i""),""select Col6 where Col7 = 'Depositada' and Col9 = '""&amp;K482&amp;""' and Col6 ="&amp;" ""&amp;M482&amp;"" and Col4 = date '""&amp;YEAR(C482)&amp;""-""&amp;MONTH(C482)&amp;""-""&amp;DAY(C482)&amp;""'""))&gt;0,""Depositada"",if(sum(QUERY(IMPORTRANGE(""https://docs.google.com/spreadsheets/d/1EcLIvUgMoBC5as4ikW0wuQsGH5yVZ6cQ1y16qEfgPnk"",""BD M Sangrias!a:i""),""select Col6 whe"&amp;"re Col7 = 'Caixa Atendimento' and Col9 = '""&amp;K482&amp;""' and Col6 = ""&amp;M482&amp;"" and Col4 = date '""&amp;YEAR(C482)&amp;""-""&amp;MONTH(C482)&amp;""-""&amp;DAY(C482)&amp;""'""))&gt;0,""Caixa Atendimento"",""Caixa Sangria"")),""""),""Caixa Sangria"")"),"")</f>
        <v/>
      </c>
      <c r="M482" s="185" t="str">
        <f>IFERROR(__xludf.DUMMYFUNCTION("ifna(VALUE(REGEXEXTRACT(E482,""[0-9.]+[,]+[0-9]+"")))"),"")</f>
        <v/>
      </c>
      <c r="N482" s="185"/>
      <c r="O482" s="185"/>
      <c r="P482" s="185"/>
      <c r="Q482" s="185"/>
      <c r="R482" s="185"/>
      <c r="S482" s="185"/>
      <c r="T482" s="185"/>
      <c r="U482" s="185"/>
      <c r="V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184" t="str">
        <f>IFERROR(__xludf.DUMMYFUNCTION("ifna(IF(and(D483=""Saída"",J483=""Sangria""),if(sum(QUERY(IMPORTRANGE(""https://docs.google.com/spreadsheets/d/1E4szPcLzsqlw4uyBAoJ61L1ChCgpz4wVP8tHfHW1g_c"",""BD M Sangrias!a:i""),""select Col6 where Col7 = 'Depositada' and Col9 = '""&amp;K483&amp;""' and Col6 ="&amp;" ""&amp;M483&amp;"" and Col4 = date '""&amp;YEAR(C483)&amp;""-""&amp;MONTH(C483)&amp;""-""&amp;DAY(C483)&amp;""'""))&gt;0,""Depositada"",if(sum(QUERY(IMPORTRANGE(""https://docs.google.com/spreadsheets/d/1EcLIvUgMoBC5as4ikW0wuQsGH5yVZ6cQ1y16qEfgPnk"",""BD M Sangrias!a:i""),""select Col6 whe"&amp;"re Col7 = 'Caixa Atendimento' and Col9 = '""&amp;K483&amp;""' and Col6 = ""&amp;M483&amp;"" and Col4 = date '""&amp;YEAR(C483)&amp;""-""&amp;MONTH(C483)&amp;""-""&amp;DAY(C483)&amp;""'""))&gt;0,""Caixa Atendimento"",""Caixa Sangria"")),""""),""Caixa Sangria"")"),"")</f>
        <v/>
      </c>
      <c r="M483" s="185" t="str">
        <f>IFERROR(__xludf.DUMMYFUNCTION("ifna(VALUE(REGEXEXTRACT(E483,""[0-9.]+[,]+[0-9]+"")))"),"")</f>
        <v/>
      </c>
      <c r="N483" s="185"/>
      <c r="O483" s="185"/>
      <c r="P483" s="185"/>
      <c r="Q483" s="185"/>
      <c r="R483" s="185"/>
      <c r="S483" s="185"/>
      <c r="T483" s="185"/>
      <c r="U483" s="185"/>
      <c r="V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184" t="str">
        <f>IFERROR(__xludf.DUMMYFUNCTION("ifna(IF(and(D484=""Saída"",J484=""Sangria""),if(sum(QUERY(IMPORTRANGE(""https://docs.google.com/spreadsheets/d/1E4szPcLzsqlw4uyBAoJ61L1ChCgpz4wVP8tHfHW1g_c"",""BD M Sangrias!a:i""),""select Col6 where Col7 = 'Depositada' and Col9 = '""&amp;K484&amp;""' and Col6 ="&amp;" ""&amp;M484&amp;"" and Col4 = date '""&amp;YEAR(C484)&amp;""-""&amp;MONTH(C484)&amp;""-""&amp;DAY(C484)&amp;""'""))&gt;0,""Depositada"",if(sum(QUERY(IMPORTRANGE(""https://docs.google.com/spreadsheets/d/1EcLIvUgMoBC5as4ikW0wuQsGH5yVZ6cQ1y16qEfgPnk"",""BD M Sangrias!a:i""),""select Col6 whe"&amp;"re Col7 = 'Caixa Atendimento' and Col9 = '""&amp;K484&amp;""' and Col6 = ""&amp;M484&amp;"" and Col4 = date '""&amp;YEAR(C484)&amp;""-""&amp;MONTH(C484)&amp;""-""&amp;DAY(C484)&amp;""'""))&gt;0,""Caixa Atendimento"",""Caixa Sangria"")),""""),""Caixa Sangria"")"),"")</f>
        <v/>
      </c>
      <c r="M484" s="185" t="str">
        <f>IFERROR(__xludf.DUMMYFUNCTION("ifna(VALUE(REGEXEXTRACT(E484,""[0-9.]+[,]+[0-9]+"")))"),"")</f>
        <v/>
      </c>
      <c r="N484" s="185"/>
      <c r="O484" s="185"/>
      <c r="P484" s="185"/>
      <c r="Q484" s="185"/>
      <c r="R484" s="185"/>
      <c r="S484" s="185"/>
      <c r="T484" s="185"/>
      <c r="U484" s="185"/>
      <c r="V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184" t="str">
        <f>IFERROR(__xludf.DUMMYFUNCTION("ifna(IF(and(D485=""Saída"",J485=""Sangria""),if(sum(QUERY(IMPORTRANGE(""https://docs.google.com/spreadsheets/d/1E4szPcLzsqlw4uyBAoJ61L1ChCgpz4wVP8tHfHW1g_c"",""BD M Sangrias!a:i""),""select Col6 where Col7 = 'Depositada' and Col9 = '""&amp;K485&amp;""' and Col6 ="&amp;" ""&amp;M485&amp;"" and Col4 = date '""&amp;YEAR(C485)&amp;""-""&amp;MONTH(C485)&amp;""-""&amp;DAY(C485)&amp;""'""))&gt;0,""Depositada"",if(sum(QUERY(IMPORTRANGE(""https://docs.google.com/spreadsheets/d/1EcLIvUgMoBC5as4ikW0wuQsGH5yVZ6cQ1y16qEfgPnk"",""BD M Sangrias!a:i""),""select Col6 whe"&amp;"re Col7 = 'Caixa Atendimento' and Col9 = '""&amp;K485&amp;""' and Col6 = ""&amp;M485&amp;"" and Col4 = date '""&amp;YEAR(C485)&amp;""-""&amp;MONTH(C485)&amp;""-""&amp;DAY(C485)&amp;""'""))&gt;0,""Caixa Atendimento"",""Caixa Sangria"")),""""),""Caixa Sangria"")"),"")</f>
        <v/>
      </c>
      <c r="M485" s="185" t="str">
        <f>IFERROR(__xludf.DUMMYFUNCTION("ifna(VALUE(REGEXEXTRACT(E485,""[0-9.]+[,]+[0-9]+"")))"),"")</f>
        <v/>
      </c>
      <c r="N485" s="185"/>
      <c r="O485" s="185"/>
      <c r="P485" s="185"/>
      <c r="Q485" s="185"/>
      <c r="R485" s="185"/>
      <c r="S485" s="185"/>
      <c r="T485" s="185"/>
      <c r="U485" s="185"/>
      <c r="V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184" t="str">
        <f>IFERROR(__xludf.DUMMYFUNCTION("ifna(IF(and(D486=""Saída"",J486=""Sangria""),if(sum(QUERY(IMPORTRANGE(""https://docs.google.com/spreadsheets/d/1E4szPcLzsqlw4uyBAoJ61L1ChCgpz4wVP8tHfHW1g_c"",""BD M Sangrias!a:i""),""select Col6 where Col7 = 'Depositada' and Col9 = '""&amp;K486&amp;""' and Col6 ="&amp;" ""&amp;M486&amp;"" and Col4 = date '""&amp;YEAR(C486)&amp;""-""&amp;MONTH(C486)&amp;""-""&amp;DAY(C486)&amp;""'""))&gt;0,""Depositada"",if(sum(QUERY(IMPORTRANGE(""https://docs.google.com/spreadsheets/d/1EcLIvUgMoBC5as4ikW0wuQsGH5yVZ6cQ1y16qEfgPnk"",""BD M Sangrias!a:i""),""select Col6 whe"&amp;"re Col7 = 'Caixa Atendimento' and Col9 = '""&amp;K486&amp;""' and Col6 = ""&amp;M486&amp;"" and Col4 = date '""&amp;YEAR(C486)&amp;""-""&amp;MONTH(C486)&amp;""-""&amp;DAY(C486)&amp;""'""))&gt;0,""Caixa Atendimento"",""Caixa Sangria"")),""""),""Caixa Sangria"")"),"")</f>
        <v/>
      </c>
      <c r="M486" s="185" t="str">
        <f>IFERROR(__xludf.DUMMYFUNCTION("ifna(VALUE(REGEXEXTRACT(E486,""[0-9.]+[,]+[0-9]+"")))"),"")</f>
        <v/>
      </c>
      <c r="N486" s="185"/>
      <c r="O486" s="185"/>
      <c r="P486" s="185"/>
      <c r="Q486" s="185"/>
      <c r="R486" s="185"/>
      <c r="S486" s="185"/>
      <c r="T486" s="185"/>
      <c r="U486" s="185"/>
      <c r="V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184" t="str">
        <f>IFERROR(__xludf.DUMMYFUNCTION("ifna(IF(and(D487=""Saída"",J487=""Sangria""),if(sum(QUERY(IMPORTRANGE(""https://docs.google.com/spreadsheets/d/1E4szPcLzsqlw4uyBAoJ61L1ChCgpz4wVP8tHfHW1g_c"",""BD M Sangrias!a:i""),""select Col6 where Col7 = 'Depositada' and Col9 = '""&amp;K487&amp;""' and Col6 ="&amp;" ""&amp;M487&amp;"" and Col4 = date '""&amp;YEAR(C487)&amp;""-""&amp;MONTH(C487)&amp;""-""&amp;DAY(C487)&amp;""'""))&gt;0,""Depositada"",if(sum(QUERY(IMPORTRANGE(""https://docs.google.com/spreadsheets/d/1EcLIvUgMoBC5as4ikW0wuQsGH5yVZ6cQ1y16qEfgPnk"",""BD M Sangrias!a:i""),""select Col6 whe"&amp;"re Col7 = 'Caixa Atendimento' and Col9 = '""&amp;K487&amp;""' and Col6 = ""&amp;M487&amp;"" and Col4 = date '""&amp;YEAR(C487)&amp;""-""&amp;MONTH(C487)&amp;""-""&amp;DAY(C487)&amp;""'""))&gt;0,""Caixa Atendimento"",""Caixa Sangria"")),""""),""Caixa Sangria"")"),"")</f>
        <v/>
      </c>
      <c r="M487" s="185" t="str">
        <f>IFERROR(__xludf.DUMMYFUNCTION("ifna(VALUE(REGEXEXTRACT(E487,""[0-9.]+[,]+[0-9]+"")))"),"")</f>
        <v/>
      </c>
      <c r="N487" s="185"/>
      <c r="O487" s="185"/>
      <c r="P487" s="185"/>
      <c r="Q487" s="185"/>
      <c r="R487" s="185"/>
      <c r="S487" s="185"/>
      <c r="T487" s="185"/>
      <c r="U487" s="185"/>
      <c r="V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184" t="str">
        <f>IFERROR(__xludf.DUMMYFUNCTION("ifna(IF(and(D488=""Saída"",J488=""Sangria""),if(sum(QUERY(IMPORTRANGE(""https://docs.google.com/spreadsheets/d/1E4szPcLzsqlw4uyBAoJ61L1ChCgpz4wVP8tHfHW1g_c"",""BD M Sangrias!a:i""),""select Col6 where Col7 = 'Depositada' and Col9 = '""&amp;K488&amp;""' and Col6 ="&amp;" ""&amp;M488&amp;"" and Col4 = date '""&amp;YEAR(C488)&amp;""-""&amp;MONTH(C488)&amp;""-""&amp;DAY(C488)&amp;""'""))&gt;0,""Depositada"",if(sum(QUERY(IMPORTRANGE(""https://docs.google.com/spreadsheets/d/1EcLIvUgMoBC5as4ikW0wuQsGH5yVZ6cQ1y16qEfgPnk"",""BD M Sangrias!a:i""),""select Col6 whe"&amp;"re Col7 = 'Caixa Atendimento' and Col9 = '""&amp;K488&amp;""' and Col6 = ""&amp;M488&amp;"" and Col4 = date '""&amp;YEAR(C488)&amp;""-""&amp;MONTH(C488)&amp;""-""&amp;DAY(C488)&amp;""'""))&gt;0,""Caixa Atendimento"",""Caixa Sangria"")),""""),""Caixa Sangria"")"),"")</f>
        <v/>
      </c>
      <c r="M488" s="185" t="str">
        <f>IFERROR(__xludf.DUMMYFUNCTION("ifna(VALUE(REGEXEXTRACT(E488,""[0-9.]+[,]+[0-9]+"")))"),"")</f>
        <v/>
      </c>
      <c r="N488" s="185"/>
      <c r="O488" s="185"/>
      <c r="P488" s="185"/>
      <c r="Q488" s="185"/>
      <c r="R488" s="185"/>
      <c r="S488" s="185"/>
      <c r="T488" s="185"/>
      <c r="U488" s="185"/>
      <c r="V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184" t="str">
        <f>IFERROR(__xludf.DUMMYFUNCTION("ifna(IF(and(D489=""Saída"",J489=""Sangria""),if(sum(QUERY(IMPORTRANGE(""https://docs.google.com/spreadsheets/d/1E4szPcLzsqlw4uyBAoJ61L1ChCgpz4wVP8tHfHW1g_c"",""BD M Sangrias!a:i""),""select Col6 where Col7 = 'Depositada' and Col9 = '""&amp;K489&amp;""' and Col6 ="&amp;" ""&amp;M489&amp;"" and Col4 = date '""&amp;YEAR(C489)&amp;""-""&amp;MONTH(C489)&amp;""-""&amp;DAY(C489)&amp;""'""))&gt;0,""Depositada"",if(sum(QUERY(IMPORTRANGE(""https://docs.google.com/spreadsheets/d/1EcLIvUgMoBC5as4ikW0wuQsGH5yVZ6cQ1y16qEfgPnk"",""BD M Sangrias!a:i""),""select Col6 whe"&amp;"re Col7 = 'Caixa Atendimento' and Col9 = '""&amp;K489&amp;""' and Col6 = ""&amp;M489&amp;"" and Col4 = date '""&amp;YEAR(C489)&amp;""-""&amp;MONTH(C489)&amp;""-""&amp;DAY(C489)&amp;""'""))&gt;0,""Caixa Atendimento"",""Caixa Sangria"")),""""),""Caixa Sangria"")"),"")</f>
        <v/>
      </c>
      <c r="M489" s="185" t="str">
        <f>IFERROR(__xludf.DUMMYFUNCTION("ifna(VALUE(REGEXEXTRACT(E489,""[0-9.]+[,]+[0-9]+"")))"),"")</f>
        <v/>
      </c>
      <c r="N489" s="185"/>
      <c r="O489" s="185"/>
      <c r="P489" s="185"/>
      <c r="Q489" s="185"/>
      <c r="R489" s="185"/>
      <c r="S489" s="185"/>
      <c r="T489" s="185"/>
      <c r="U489" s="185"/>
      <c r="V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184" t="str">
        <f>IFERROR(__xludf.DUMMYFUNCTION("ifna(IF(and(D490=""Saída"",J490=""Sangria""),if(sum(QUERY(IMPORTRANGE(""https://docs.google.com/spreadsheets/d/1E4szPcLzsqlw4uyBAoJ61L1ChCgpz4wVP8tHfHW1g_c"",""BD M Sangrias!a:i""),""select Col6 where Col7 = 'Depositada' and Col9 = '""&amp;K490&amp;""' and Col6 ="&amp;" ""&amp;M490&amp;"" and Col4 = date '""&amp;YEAR(C490)&amp;""-""&amp;MONTH(C490)&amp;""-""&amp;DAY(C490)&amp;""'""))&gt;0,""Depositada"",if(sum(QUERY(IMPORTRANGE(""https://docs.google.com/spreadsheets/d/1EcLIvUgMoBC5as4ikW0wuQsGH5yVZ6cQ1y16qEfgPnk"",""BD M Sangrias!a:i""),""select Col6 whe"&amp;"re Col7 = 'Caixa Atendimento' and Col9 = '""&amp;K490&amp;""' and Col6 = ""&amp;M490&amp;"" and Col4 = date '""&amp;YEAR(C490)&amp;""-""&amp;MONTH(C490)&amp;""-""&amp;DAY(C490)&amp;""'""))&gt;0,""Caixa Atendimento"",""Caixa Sangria"")),""""),""Caixa Sangria"")"),"")</f>
        <v/>
      </c>
      <c r="M490" s="185" t="str">
        <f>IFERROR(__xludf.DUMMYFUNCTION("ifna(VALUE(REGEXEXTRACT(E490,""[0-9.]+[,]+[0-9]+"")))"),"")</f>
        <v/>
      </c>
      <c r="N490" s="185"/>
      <c r="O490" s="185"/>
      <c r="P490" s="185"/>
      <c r="Q490" s="185"/>
      <c r="R490" s="185"/>
      <c r="S490" s="185"/>
      <c r="T490" s="185"/>
      <c r="U490" s="185"/>
      <c r="V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184" t="str">
        <f>IFERROR(__xludf.DUMMYFUNCTION("ifna(IF(and(D491=""Saída"",J491=""Sangria""),if(sum(QUERY(IMPORTRANGE(""https://docs.google.com/spreadsheets/d/1E4szPcLzsqlw4uyBAoJ61L1ChCgpz4wVP8tHfHW1g_c"",""BD M Sangrias!a:i""),""select Col6 where Col7 = 'Depositada' and Col9 = '""&amp;K491&amp;""' and Col6 ="&amp;" ""&amp;M491&amp;"" and Col4 = date '""&amp;YEAR(C491)&amp;""-""&amp;MONTH(C491)&amp;""-""&amp;DAY(C491)&amp;""'""))&gt;0,""Depositada"",if(sum(QUERY(IMPORTRANGE(""https://docs.google.com/spreadsheets/d/1EcLIvUgMoBC5as4ikW0wuQsGH5yVZ6cQ1y16qEfgPnk"",""BD M Sangrias!a:i""),""select Col6 whe"&amp;"re Col7 = 'Caixa Atendimento' and Col9 = '""&amp;K491&amp;""' and Col6 = ""&amp;M491&amp;"" and Col4 = date '""&amp;YEAR(C491)&amp;""-""&amp;MONTH(C491)&amp;""-""&amp;DAY(C491)&amp;""'""))&gt;0,""Caixa Atendimento"",""Caixa Sangria"")),""""),""Caixa Sangria"")"),"")</f>
        <v/>
      </c>
      <c r="M491" s="185" t="str">
        <f>IFERROR(__xludf.DUMMYFUNCTION("ifna(VALUE(REGEXEXTRACT(E491,""[0-9.]+[,]+[0-9]+"")))"),"")</f>
        <v/>
      </c>
      <c r="N491" s="185"/>
      <c r="O491" s="185"/>
      <c r="P491" s="185"/>
      <c r="Q491" s="185"/>
      <c r="R491" s="185"/>
      <c r="S491" s="185"/>
      <c r="T491" s="185"/>
      <c r="U491" s="185"/>
      <c r="V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184" t="str">
        <f>IFERROR(__xludf.DUMMYFUNCTION("ifna(IF(and(D492=""Saída"",J492=""Sangria""),if(sum(QUERY(IMPORTRANGE(""https://docs.google.com/spreadsheets/d/1E4szPcLzsqlw4uyBAoJ61L1ChCgpz4wVP8tHfHW1g_c"",""BD M Sangrias!a:i""),""select Col6 where Col7 = 'Depositada' and Col9 = '""&amp;K492&amp;""' and Col6 ="&amp;" ""&amp;M492&amp;"" and Col4 = date '""&amp;YEAR(C492)&amp;""-""&amp;MONTH(C492)&amp;""-""&amp;DAY(C492)&amp;""'""))&gt;0,""Depositada"",if(sum(QUERY(IMPORTRANGE(""https://docs.google.com/spreadsheets/d/1EcLIvUgMoBC5as4ikW0wuQsGH5yVZ6cQ1y16qEfgPnk"",""BD M Sangrias!a:i""),""select Col6 whe"&amp;"re Col7 = 'Caixa Atendimento' and Col9 = '""&amp;K492&amp;""' and Col6 = ""&amp;M492&amp;"" and Col4 = date '""&amp;YEAR(C492)&amp;""-""&amp;MONTH(C492)&amp;""-""&amp;DAY(C492)&amp;""'""))&gt;0,""Caixa Atendimento"",""Caixa Sangria"")),""""),""Caixa Sangria"")"),"")</f>
        <v/>
      </c>
      <c r="M492" s="185" t="str">
        <f>IFERROR(__xludf.DUMMYFUNCTION("ifna(VALUE(REGEXEXTRACT(E492,""[0-9.]+[,]+[0-9]+"")))"),"")</f>
        <v/>
      </c>
      <c r="N492" s="185"/>
      <c r="O492" s="185"/>
      <c r="P492" s="185"/>
      <c r="Q492" s="185"/>
      <c r="R492" s="185"/>
      <c r="S492" s="185"/>
      <c r="T492" s="185"/>
      <c r="U492" s="185"/>
      <c r="V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184" t="str">
        <f>IFERROR(__xludf.DUMMYFUNCTION("ifna(IF(and(D493=""Saída"",J493=""Sangria""),if(sum(QUERY(IMPORTRANGE(""https://docs.google.com/spreadsheets/d/1E4szPcLzsqlw4uyBAoJ61L1ChCgpz4wVP8tHfHW1g_c"",""BD M Sangrias!a:i""),""select Col6 where Col7 = 'Depositada' and Col9 = '""&amp;K493&amp;""' and Col6 ="&amp;" ""&amp;M493&amp;"" and Col4 = date '""&amp;YEAR(C493)&amp;""-""&amp;MONTH(C493)&amp;""-""&amp;DAY(C493)&amp;""'""))&gt;0,""Depositada"",if(sum(QUERY(IMPORTRANGE(""https://docs.google.com/spreadsheets/d/1EcLIvUgMoBC5as4ikW0wuQsGH5yVZ6cQ1y16qEfgPnk"",""BD M Sangrias!a:i""),""select Col6 whe"&amp;"re Col7 = 'Caixa Atendimento' and Col9 = '""&amp;K493&amp;""' and Col6 = ""&amp;M493&amp;"" and Col4 = date '""&amp;YEAR(C493)&amp;""-""&amp;MONTH(C493)&amp;""-""&amp;DAY(C493)&amp;""'""))&gt;0,""Caixa Atendimento"",""Caixa Sangria"")),""""),""Caixa Sangria"")"),"")</f>
        <v/>
      </c>
      <c r="M493" s="185" t="str">
        <f>IFERROR(__xludf.DUMMYFUNCTION("ifna(VALUE(REGEXEXTRACT(E493,""[0-9.]+[,]+[0-9]+"")))"),"")</f>
        <v/>
      </c>
      <c r="N493" s="185"/>
      <c r="O493" s="185"/>
      <c r="P493" s="185"/>
      <c r="Q493" s="185"/>
      <c r="R493" s="185"/>
      <c r="S493" s="185"/>
      <c r="T493" s="185"/>
      <c r="U493" s="185"/>
      <c r="V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184" t="str">
        <f>IFERROR(__xludf.DUMMYFUNCTION("ifna(IF(and(D494=""Saída"",J494=""Sangria""),if(sum(QUERY(IMPORTRANGE(""https://docs.google.com/spreadsheets/d/1E4szPcLzsqlw4uyBAoJ61L1ChCgpz4wVP8tHfHW1g_c"",""BD M Sangrias!a:i""),""select Col6 where Col7 = 'Depositada' and Col9 = '""&amp;K494&amp;""' and Col6 ="&amp;" ""&amp;M494&amp;"" and Col4 = date '""&amp;YEAR(C494)&amp;""-""&amp;MONTH(C494)&amp;""-""&amp;DAY(C494)&amp;""'""))&gt;0,""Depositada"",if(sum(QUERY(IMPORTRANGE(""https://docs.google.com/spreadsheets/d/1EcLIvUgMoBC5as4ikW0wuQsGH5yVZ6cQ1y16qEfgPnk"",""BD M Sangrias!a:i""),""select Col6 whe"&amp;"re Col7 = 'Caixa Atendimento' and Col9 = '""&amp;K494&amp;""' and Col6 = ""&amp;M494&amp;"" and Col4 = date '""&amp;YEAR(C494)&amp;""-""&amp;MONTH(C494)&amp;""-""&amp;DAY(C494)&amp;""'""))&gt;0,""Caixa Atendimento"",""Caixa Sangria"")),""""),""Caixa Sangria"")"),"")</f>
        <v/>
      </c>
      <c r="M494" s="185" t="str">
        <f>IFERROR(__xludf.DUMMYFUNCTION("ifna(VALUE(REGEXEXTRACT(E494,""[0-9.]+[,]+[0-9]+"")))"),"")</f>
        <v/>
      </c>
      <c r="N494" s="185"/>
      <c r="O494" s="185"/>
      <c r="P494" s="185"/>
      <c r="Q494" s="185"/>
      <c r="R494" s="185"/>
      <c r="S494" s="185"/>
      <c r="T494" s="185"/>
      <c r="U494" s="185"/>
      <c r="V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184" t="str">
        <f>IFERROR(__xludf.DUMMYFUNCTION("ifna(IF(and(D495=""Saída"",J495=""Sangria""),if(sum(QUERY(IMPORTRANGE(""https://docs.google.com/spreadsheets/d/1E4szPcLzsqlw4uyBAoJ61L1ChCgpz4wVP8tHfHW1g_c"",""BD M Sangrias!a:i""),""select Col6 where Col7 = 'Depositada' and Col9 = '""&amp;K495&amp;""' and Col6 ="&amp;" ""&amp;M495&amp;"" and Col4 = date '""&amp;YEAR(C495)&amp;""-""&amp;MONTH(C495)&amp;""-""&amp;DAY(C495)&amp;""'""))&gt;0,""Depositada"",if(sum(QUERY(IMPORTRANGE(""https://docs.google.com/spreadsheets/d/1EcLIvUgMoBC5as4ikW0wuQsGH5yVZ6cQ1y16qEfgPnk"",""BD M Sangrias!a:i""),""select Col6 whe"&amp;"re Col7 = 'Caixa Atendimento' and Col9 = '""&amp;K495&amp;""' and Col6 = ""&amp;M495&amp;"" and Col4 = date '""&amp;YEAR(C495)&amp;""-""&amp;MONTH(C495)&amp;""-""&amp;DAY(C495)&amp;""'""))&gt;0,""Caixa Atendimento"",""Caixa Sangria"")),""""),""Caixa Sangria"")"),"")</f>
        <v/>
      </c>
      <c r="M495" s="185" t="str">
        <f>IFERROR(__xludf.DUMMYFUNCTION("ifna(VALUE(REGEXEXTRACT(E495,""[0-9.]+[,]+[0-9]+"")))"),"")</f>
        <v/>
      </c>
      <c r="N495" s="185"/>
      <c r="O495" s="185"/>
      <c r="P495" s="185"/>
      <c r="Q495" s="185"/>
      <c r="R495" s="185"/>
      <c r="S495" s="185"/>
      <c r="T495" s="185"/>
      <c r="U495" s="185"/>
      <c r="V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184" t="str">
        <f>IFERROR(__xludf.DUMMYFUNCTION("ifna(IF(and(D496=""Saída"",J496=""Sangria""),if(sum(QUERY(IMPORTRANGE(""https://docs.google.com/spreadsheets/d/1E4szPcLzsqlw4uyBAoJ61L1ChCgpz4wVP8tHfHW1g_c"",""BD M Sangrias!a:i""),""select Col6 where Col7 = 'Depositada' and Col9 = '""&amp;K496&amp;""' and Col6 ="&amp;" ""&amp;M496&amp;"" and Col4 = date '""&amp;YEAR(C496)&amp;""-""&amp;MONTH(C496)&amp;""-""&amp;DAY(C496)&amp;""'""))&gt;0,""Depositada"",if(sum(QUERY(IMPORTRANGE(""https://docs.google.com/spreadsheets/d/1EcLIvUgMoBC5as4ikW0wuQsGH5yVZ6cQ1y16qEfgPnk"",""BD M Sangrias!a:i""),""select Col6 whe"&amp;"re Col7 = 'Caixa Atendimento' and Col9 = '""&amp;K496&amp;""' and Col6 = ""&amp;M496&amp;"" and Col4 = date '""&amp;YEAR(C496)&amp;""-""&amp;MONTH(C496)&amp;""-""&amp;DAY(C496)&amp;""'""))&gt;0,""Caixa Atendimento"",""Caixa Sangria"")),""""),""Caixa Sangria"")"),"")</f>
        <v/>
      </c>
      <c r="M496" s="185" t="str">
        <f>IFERROR(__xludf.DUMMYFUNCTION("ifna(VALUE(REGEXEXTRACT(E496,""[0-9.]+[,]+[0-9]+"")))"),"")</f>
        <v/>
      </c>
      <c r="N496" s="185"/>
      <c r="O496" s="185"/>
      <c r="P496" s="185"/>
      <c r="Q496" s="185"/>
      <c r="R496" s="185"/>
      <c r="S496" s="185"/>
      <c r="T496" s="185"/>
      <c r="U496" s="185"/>
      <c r="V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184" t="str">
        <f>IFERROR(__xludf.DUMMYFUNCTION("ifna(IF(and(D497=""Saída"",J497=""Sangria""),if(sum(QUERY(IMPORTRANGE(""https://docs.google.com/spreadsheets/d/1E4szPcLzsqlw4uyBAoJ61L1ChCgpz4wVP8tHfHW1g_c"",""BD M Sangrias!a:i""),""select Col6 where Col7 = 'Depositada' and Col9 = '""&amp;K497&amp;""' and Col6 ="&amp;" ""&amp;M497&amp;"" and Col4 = date '""&amp;YEAR(C497)&amp;""-""&amp;MONTH(C497)&amp;""-""&amp;DAY(C497)&amp;""'""))&gt;0,""Depositada"",if(sum(QUERY(IMPORTRANGE(""https://docs.google.com/spreadsheets/d/1EcLIvUgMoBC5as4ikW0wuQsGH5yVZ6cQ1y16qEfgPnk"",""BD M Sangrias!a:i""),""select Col6 whe"&amp;"re Col7 = 'Caixa Atendimento' and Col9 = '""&amp;K497&amp;""' and Col6 = ""&amp;M497&amp;"" and Col4 = date '""&amp;YEAR(C497)&amp;""-""&amp;MONTH(C497)&amp;""-""&amp;DAY(C497)&amp;""'""))&gt;0,""Caixa Atendimento"",""Caixa Sangria"")),""""),""Caixa Sangria"")"),"")</f>
        <v/>
      </c>
      <c r="M497" s="185" t="str">
        <f>IFERROR(__xludf.DUMMYFUNCTION("ifna(VALUE(REGEXEXTRACT(E497,""[0-9.]+[,]+[0-9]+"")))"),"")</f>
        <v/>
      </c>
      <c r="N497" s="185"/>
      <c r="O497" s="185"/>
      <c r="P497" s="185"/>
      <c r="Q497" s="185"/>
      <c r="R497" s="185"/>
      <c r="S497" s="185"/>
      <c r="T497" s="185"/>
      <c r="U497" s="185"/>
      <c r="V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184" t="str">
        <f>IFERROR(__xludf.DUMMYFUNCTION("ifna(IF(and(D498=""Saída"",J498=""Sangria""),if(sum(QUERY(IMPORTRANGE(""https://docs.google.com/spreadsheets/d/1E4szPcLzsqlw4uyBAoJ61L1ChCgpz4wVP8tHfHW1g_c"",""BD M Sangrias!a:i""),""select Col6 where Col7 = 'Depositada' and Col9 = '""&amp;K498&amp;""' and Col6 ="&amp;" ""&amp;M498&amp;"" and Col4 = date '""&amp;YEAR(C498)&amp;""-""&amp;MONTH(C498)&amp;""-""&amp;DAY(C498)&amp;""'""))&gt;0,""Depositada"",if(sum(QUERY(IMPORTRANGE(""https://docs.google.com/spreadsheets/d/1EcLIvUgMoBC5as4ikW0wuQsGH5yVZ6cQ1y16qEfgPnk"",""BD M Sangrias!a:i""),""select Col6 whe"&amp;"re Col7 = 'Caixa Atendimento' and Col9 = '""&amp;K498&amp;""' and Col6 = ""&amp;M498&amp;"" and Col4 = date '""&amp;YEAR(C498)&amp;""-""&amp;MONTH(C498)&amp;""-""&amp;DAY(C498)&amp;""'""))&gt;0,""Caixa Atendimento"",""Caixa Sangria"")),""""),""Caixa Sangria"")"),"")</f>
        <v/>
      </c>
      <c r="M498" s="185" t="str">
        <f>IFERROR(__xludf.DUMMYFUNCTION("ifna(VALUE(REGEXEXTRACT(E498,""[0-9.]+[,]+[0-9]+"")))"),"")</f>
        <v/>
      </c>
      <c r="N498" s="185"/>
      <c r="O498" s="185"/>
      <c r="P498" s="185"/>
      <c r="Q498" s="185"/>
      <c r="R498" s="185"/>
      <c r="S498" s="185"/>
      <c r="T498" s="185"/>
      <c r="U498" s="185"/>
      <c r="V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184" t="str">
        <f>IFERROR(__xludf.DUMMYFUNCTION("ifna(IF(and(D499=""Saída"",J499=""Sangria""),if(sum(QUERY(IMPORTRANGE(""https://docs.google.com/spreadsheets/d/1E4szPcLzsqlw4uyBAoJ61L1ChCgpz4wVP8tHfHW1g_c"",""BD M Sangrias!a:i""),""select Col6 where Col7 = 'Depositada' and Col9 = '""&amp;K499&amp;""' and Col6 ="&amp;" ""&amp;M499&amp;"" and Col4 = date '""&amp;YEAR(C499)&amp;""-""&amp;MONTH(C499)&amp;""-""&amp;DAY(C499)&amp;""'""))&gt;0,""Depositada"",if(sum(QUERY(IMPORTRANGE(""https://docs.google.com/spreadsheets/d/1EcLIvUgMoBC5as4ikW0wuQsGH5yVZ6cQ1y16qEfgPnk"",""BD M Sangrias!a:i""),""select Col6 whe"&amp;"re Col7 = 'Caixa Atendimento' and Col9 = '""&amp;K499&amp;""' and Col6 = ""&amp;M499&amp;"" and Col4 = date '""&amp;YEAR(C499)&amp;""-""&amp;MONTH(C499)&amp;""-""&amp;DAY(C499)&amp;""'""))&gt;0,""Caixa Atendimento"",""Caixa Sangria"")),""""),""Caixa Sangria"")"),"")</f>
        <v/>
      </c>
      <c r="M499" s="185" t="str">
        <f>IFERROR(__xludf.DUMMYFUNCTION("ifna(VALUE(REGEXEXTRACT(E499,""[0-9.]+[,]+[0-9]+"")))"),"")</f>
        <v/>
      </c>
      <c r="N499" s="185"/>
      <c r="O499" s="185"/>
      <c r="P499" s="185"/>
      <c r="Q499" s="185"/>
      <c r="R499" s="185"/>
      <c r="S499" s="185"/>
      <c r="T499" s="185"/>
      <c r="U499" s="185"/>
      <c r="V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184" t="str">
        <f>IFERROR(__xludf.DUMMYFUNCTION("ifna(IF(and(D500=""Saída"",J500=""Sangria""),if(sum(QUERY(IMPORTRANGE(""https://docs.google.com/spreadsheets/d/1E4szPcLzsqlw4uyBAoJ61L1ChCgpz4wVP8tHfHW1g_c"",""BD M Sangrias!a:i""),""select Col6 where Col7 = 'Depositada' and Col9 = '""&amp;K500&amp;""' and Col6 ="&amp;" ""&amp;M500&amp;"" and Col4 = date '""&amp;YEAR(C500)&amp;""-""&amp;MONTH(C500)&amp;""-""&amp;DAY(C500)&amp;""'""))&gt;0,""Depositada"",if(sum(QUERY(IMPORTRANGE(""https://docs.google.com/spreadsheets/d/1EcLIvUgMoBC5as4ikW0wuQsGH5yVZ6cQ1y16qEfgPnk"",""BD M Sangrias!a:i""),""select Col6 whe"&amp;"re Col7 = 'Caixa Atendimento' and Col9 = '""&amp;K500&amp;""' and Col6 = ""&amp;M500&amp;"" and Col4 = date '""&amp;YEAR(C500)&amp;""-""&amp;MONTH(C500)&amp;""-""&amp;DAY(C500)&amp;""'""))&gt;0,""Caixa Atendimento"",""Caixa Sangria"")),""""),""Caixa Sangria"")"),"")</f>
        <v/>
      </c>
      <c r="M500" s="185" t="str">
        <f>IFERROR(__xludf.DUMMYFUNCTION("ifna(VALUE(REGEXEXTRACT(E500,""[0-9.]+[,]+[0-9]+"")))"),"")</f>
        <v/>
      </c>
      <c r="N500" s="185"/>
      <c r="O500" s="185"/>
      <c r="P500" s="185"/>
      <c r="Q500" s="185"/>
      <c r="R500" s="185"/>
      <c r="S500" s="185"/>
      <c r="T500" s="185"/>
      <c r="U500" s="185"/>
      <c r="V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184" t="str">
        <f>IFERROR(__xludf.DUMMYFUNCTION("ifna(IF(and(D501=""Saída"",J501=""Sangria""),if(sum(QUERY(IMPORTRANGE(""https://docs.google.com/spreadsheets/d/1E4szPcLzsqlw4uyBAoJ61L1ChCgpz4wVP8tHfHW1g_c"",""BD M Sangrias!a:i""),""select Col6 where Col7 = 'Depositada' and Col9 = '""&amp;K501&amp;""' and Col6 ="&amp;" ""&amp;M501&amp;"" and Col4 = date '""&amp;YEAR(C501)&amp;""-""&amp;MONTH(C501)&amp;""-""&amp;DAY(C501)&amp;""'""))&gt;0,""Depositada"",if(sum(QUERY(IMPORTRANGE(""https://docs.google.com/spreadsheets/d/1EcLIvUgMoBC5as4ikW0wuQsGH5yVZ6cQ1y16qEfgPnk"",""BD M Sangrias!a:i""),""select Col6 whe"&amp;"re Col7 = 'Caixa Atendimento' and Col9 = '""&amp;K501&amp;""' and Col6 = ""&amp;M501&amp;"" and Col4 = date '""&amp;YEAR(C501)&amp;""-""&amp;MONTH(C501)&amp;""-""&amp;DAY(C501)&amp;""'""))&gt;0,""Caixa Atendimento"",""Caixa Sangria"")),""""),""Caixa Sangria"")"),"")</f>
        <v/>
      </c>
      <c r="M501" s="185" t="str">
        <f>IFERROR(__xludf.DUMMYFUNCTION("ifna(VALUE(REGEXEXTRACT(E501,""[0-9.]+[,]+[0-9]+"")))"),"")</f>
        <v/>
      </c>
      <c r="N501" s="185"/>
      <c r="O501" s="185"/>
      <c r="P501" s="185"/>
      <c r="Q501" s="185"/>
      <c r="R501" s="185"/>
      <c r="S501" s="185"/>
      <c r="T501" s="185"/>
      <c r="U501" s="185"/>
      <c r="V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184" t="str">
        <f>IFERROR(__xludf.DUMMYFUNCTION("ifna(IF(and(D502=""Saída"",J502=""Sangria""),if(sum(QUERY(IMPORTRANGE(""https://docs.google.com/spreadsheets/d/1E4szPcLzsqlw4uyBAoJ61L1ChCgpz4wVP8tHfHW1g_c"",""BD M Sangrias!a:i""),""select Col6 where Col7 = 'Depositada' and Col9 = '""&amp;K502&amp;""' and Col6 ="&amp;" ""&amp;M502&amp;"" and Col4 = date '""&amp;YEAR(C502)&amp;""-""&amp;MONTH(C502)&amp;""-""&amp;DAY(C502)&amp;""'""))&gt;0,""Depositada"",if(sum(QUERY(IMPORTRANGE(""https://docs.google.com/spreadsheets/d/1EcLIvUgMoBC5as4ikW0wuQsGH5yVZ6cQ1y16qEfgPnk"",""BD M Sangrias!a:i""),""select Col6 whe"&amp;"re Col7 = 'Caixa Atendimento' and Col9 = '""&amp;K502&amp;""' and Col6 = ""&amp;M502&amp;"" and Col4 = date '""&amp;YEAR(C502)&amp;""-""&amp;MONTH(C502)&amp;""-""&amp;DAY(C502)&amp;""'""))&gt;0,""Caixa Atendimento"",""Caixa Sangria"")),""""),""Caixa Sangria"")"),"")</f>
        <v/>
      </c>
      <c r="M502" s="185" t="str">
        <f>IFERROR(__xludf.DUMMYFUNCTION("ifna(VALUE(REGEXEXTRACT(E502,""[0-9.]+[,]+[0-9]+"")))"),"")</f>
        <v/>
      </c>
      <c r="N502" s="185"/>
      <c r="O502" s="185"/>
      <c r="P502" s="185"/>
      <c r="Q502" s="185"/>
      <c r="R502" s="185"/>
      <c r="S502" s="185"/>
      <c r="T502" s="185"/>
      <c r="U502" s="185"/>
      <c r="V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184" t="str">
        <f>IFERROR(__xludf.DUMMYFUNCTION("ifna(IF(and(D503=""Saída"",J503=""Sangria""),if(sum(QUERY(IMPORTRANGE(""https://docs.google.com/spreadsheets/d/1E4szPcLzsqlw4uyBAoJ61L1ChCgpz4wVP8tHfHW1g_c"",""BD M Sangrias!a:i""),""select Col6 where Col7 = 'Depositada' and Col9 = '""&amp;K503&amp;""' and Col6 ="&amp;" ""&amp;M503&amp;"" and Col4 = date '""&amp;YEAR(C503)&amp;""-""&amp;MONTH(C503)&amp;""-""&amp;DAY(C503)&amp;""'""))&gt;0,""Depositada"",if(sum(QUERY(IMPORTRANGE(""https://docs.google.com/spreadsheets/d/1EcLIvUgMoBC5as4ikW0wuQsGH5yVZ6cQ1y16qEfgPnk"",""BD M Sangrias!a:i""),""select Col6 whe"&amp;"re Col7 = 'Caixa Atendimento' and Col9 = '""&amp;K503&amp;""' and Col6 = ""&amp;M503&amp;"" and Col4 = date '""&amp;YEAR(C503)&amp;""-""&amp;MONTH(C503)&amp;""-""&amp;DAY(C503)&amp;""'""))&gt;0,""Caixa Atendimento"",""Caixa Sangria"")),""""),""Caixa Sangria"")"),"")</f>
        <v/>
      </c>
      <c r="M503" s="185" t="str">
        <f>IFERROR(__xludf.DUMMYFUNCTION("ifna(VALUE(REGEXEXTRACT(E503,""[0-9.]+[,]+[0-9]+"")))"),"")</f>
        <v/>
      </c>
      <c r="N503" s="185"/>
      <c r="O503" s="185"/>
      <c r="P503" s="185"/>
      <c r="Q503" s="185"/>
      <c r="R503" s="185"/>
      <c r="S503" s="185"/>
      <c r="T503" s="185"/>
      <c r="U503" s="185"/>
      <c r="V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184" t="str">
        <f>IFERROR(__xludf.DUMMYFUNCTION("ifna(IF(and(D504=""Saída"",J504=""Sangria""),if(sum(QUERY(IMPORTRANGE(""https://docs.google.com/spreadsheets/d/1E4szPcLzsqlw4uyBAoJ61L1ChCgpz4wVP8tHfHW1g_c"",""BD M Sangrias!a:i""),""select Col6 where Col7 = 'Depositada' and Col9 = '""&amp;K504&amp;""' and Col6 ="&amp;" ""&amp;M504&amp;"" and Col4 = date '""&amp;YEAR(C504)&amp;""-""&amp;MONTH(C504)&amp;""-""&amp;DAY(C504)&amp;""'""))&gt;0,""Depositada"",if(sum(QUERY(IMPORTRANGE(""https://docs.google.com/spreadsheets/d/1EcLIvUgMoBC5as4ikW0wuQsGH5yVZ6cQ1y16qEfgPnk"",""BD M Sangrias!a:i""),""select Col6 whe"&amp;"re Col7 = 'Caixa Atendimento' and Col9 = '""&amp;K504&amp;""' and Col6 = ""&amp;M504&amp;"" and Col4 = date '""&amp;YEAR(C504)&amp;""-""&amp;MONTH(C504)&amp;""-""&amp;DAY(C504)&amp;""'""))&gt;0,""Caixa Atendimento"",""Caixa Sangria"")),""""),""Caixa Sangria"")"),"")</f>
        <v/>
      </c>
      <c r="M504" s="185" t="str">
        <f>IFERROR(__xludf.DUMMYFUNCTION("ifna(VALUE(REGEXEXTRACT(E504,""[0-9.]+[,]+[0-9]+"")))"),"")</f>
        <v/>
      </c>
      <c r="N504" s="185"/>
      <c r="O504" s="185"/>
      <c r="P504" s="185"/>
      <c r="Q504" s="185"/>
      <c r="R504" s="185"/>
      <c r="S504" s="185"/>
      <c r="T504" s="185"/>
      <c r="U504" s="185"/>
      <c r="V504" s="185"/>
    </row>
  </sheetData>
  <mergeCells count="47">
    <mergeCell ref="A2:L2"/>
    <mergeCell ref="N2:V2"/>
    <mergeCell ref="A3:B3"/>
    <mergeCell ref="C3:D3"/>
    <mergeCell ref="E3:F3"/>
    <mergeCell ref="G3:H3"/>
    <mergeCell ref="I3:J3"/>
    <mergeCell ref="S3:V3"/>
    <mergeCell ref="K3:L3"/>
    <mergeCell ref="N3:Q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L27"/>
    <mergeCell ref="G14:H14"/>
    <mergeCell ref="I14:J14"/>
    <mergeCell ref="C18:D18"/>
    <mergeCell ref="E18:H18"/>
    <mergeCell ref="I18:J18"/>
    <mergeCell ref="E19:F19"/>
    <mergeCell ref="I22:J22"/>
    <mergeCell ref="N93:S94"/>
    <mergeCell ref="R95:S95"/>
    <mergeCell ref="K18:L18"/>
    <mergeCell ref="K19:L19"/>
    <mergeCell ref="S19:V19"/>
    <mergeCell ref="N48:Q48"/>
    <mergeCell ref="S48:V48"/>
    <mergeCell ref="N68:Q68"/>
    <mergeCell ref="S68:V68"/>
  </mergeCells>
  <conditionalFormatting sqref="E29:E159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V4 L11 D20 R20:V20 N49:V49 N69:V69">
    <cfRule type="cellIs" dxfId="6" priority="10" operator="greaterThanOrEqual">
      <formula>500</formula>
    </cfRule>
  </conditionalFormatting>
  <conditionalFormatting sqref="L4:V4 L11 D20 R20:V20 N49:V49 N69:V69">
    <cfRule type="cellIs" dxfId="7" priority="11" operator="between">
      <formula>400</formula>
      <formula>500</formula>
    </cfRule>
  </conditionalFormatting>
  <conditionalFormatting sqref="E29:E504">
    <cfRule type="containsText" dxfId="9" priority="12" operator="containsText" text="R$">
      <formula>NOT(ISERROR(SEARCH(("R$"),(E29))))</formula>
    </cfRule>
  </conditionalFormatting>
  <conditionalFormatting sqref="B29:L504">
    <cfRule type="expression" dxfId="5" priority="13">
      <formula>and($J$29:$J$504="Sangria",$D$29:$D$504="Saída")</formula>
    </cfRule>
  </conditionalFormatting>
  <conditionalFormatting sqref="K29:K504">
    <cfRule type="expression" dxfId="10" priority="14">
      <formula>or($J$29:$J$218="Compra Moedas",$J$29:$J$218="Cortesias",$J$29:$J$218="Troco")</formula>
    </cfRule>
  </conditionalFormatting>
  <conditionalFormatting sqref="K29:K504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4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4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4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4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4">
    <cfRule type="expression" dxfId="11" priority="21">
      <formula>and($C$29:$C$218="",or($D$29:$D$218="Entrada",$D$29:$D$218="Saída"))</formula>
    </cfRule>
  </conditionalFormatting>
  <conditionalFormatting sqref="I29:I504">
    <cfRule type="expression" dxfId="8" priority="22">
      <formula>and(K29 = "",or(J29="Consumo",J29="Adiantamento"))</formula>
    </cfRule>
  </conditionalFormatting>
  <dataValidations>
    <dataValidation type="list" allowBlank="1" showErrorMessage="1" sqref="K29:K504">
      <formula1>'AGOSTO 2025'!$B$4:$B$16</formula1>
    </dataValidation>
    <dataValidation type="list" allowBlank="1" showErrorMessage="1" sqref="J29:J77 J79:J97 J99:J105 J107:J130 J132 J134:J176 J178:J179 J181:J190 J192:J195 J197:J208 J210:J267 J269:J286 J288:J303 J306:J308 J310:J376 J378:J388 J390:J504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.13"/>
    <col customWidth="1" min="14" max="14" width="10.13"/>
    <col customWidth="1" min="15" max="15" width="12.0"/>
    <col customWidth="1" min="16" max="16" width="12.75"/>
    <col customWidth="1" min="17" max="17" width="12.38"/>
    <col customWidth="1" min="18" max="18" width="0.63"/>
    <col customWidth="1" min="19" max="19" width="10.13"/>
    <col customWidth="1" min="20" max="20" width="9.88"/>
    <col customWidth="1" min="21" max="21" width="12.5"/>
    <col customWidth="1" min="22" max="22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30" t="s">
        <v>1840</v>
      </c>
      <c r="O2" s="28"/>
      <c r="P2" s="28"/>
      <c r="Q2" s="28"/>
      <c r="R2" s="28"/>
      <c r="S2" s="28"/>
      <c r="T2" s="28"/>
      <c r="U2" s="28"/>
      <c r="V2" s="29"/>
    </row>
    <row r="3">
      <c r="A3" s="31" t="s">
        <v>1847</v>
      </c>
      <c r="B3" s="32"/>
      <c r="C3" s="33" t="str">
        <f>B4</f>
        <v>Marcelo 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>Helena Cardoso</v>
      </c>
      <c r="J3" s="32"/>
      <c r="K3" s="34" t="str">
        <f>B8</f>
        <v/>
      </c>
      <c r="L3" s="35"/>
      <c r="M3" s="36"/>
      <c r="N3" s="37" t="str">
        <f>B4</f>
        <v>Marcelo </v>
      </c>
      <c r="O3" s="28"/>
      <c r="P3" s="28"/>
      <c r="Q3" s="29"/>
      <c r="R3" s="38"/>
      <c r="S3" s="39" t="str">
        <f>B5</f>
        <v>Mariane</v>
      </c>
      <c r="T3" s="28"/>
      <c r="U3" s="28"/>
      <c r="V3" s="29"/>
    </row>
    <row r="4" ht="15.75" customHeight="1">
      <c r="A4" s="40" t="s">
        <v>132</v>
      </c>
      <c r="B4" s="41" t="s">
        <v>1894</v>
      </c>
      <c r="C4" s="42" t="s">
        <v>1900</v>
      </c>
      <c r="D4" s="43">
        <f>SUMIFS(M29:M504,J29:J504,C4,K29:K504,C3)+SUMIF(P96:P138,A4,Q96:Q138)+D9</f>
        <v>0</v>
      </c>
      <c r="E4" s="44" t="s">
        <v>1900</v>
      </c>
      <c r="F4" s="43">
        <f>SUMIFS(M29:M504,J29:J504,E4,K29:K504,E3)+SUMIF(P96:P138,A5,Q96:Q138)+F9</f>
        <v>0</v>
      </c>
      <c r="G4" s="44" t="s">
        <v>1900</v>
      </c>
      <c r="H4" s="43">
        <f>SUMIFS(M29:M504,J29:J504,C4,K29:K504,G3)+SUMIF(P96:P138,A6,Q96:Q138)+H9</f>
        <v>0</v>
      </c>
      <c r="I4" s="44" t="s">
        <v>1900</v>
      </c>
      <c r="J4" s="43">
        <f>SUMIFS(M29:M504,J29:J504,C4,K29:K504,I3)+SUMIF(P96:P138,A7,Q96:Q138)+J9</f>
        <v>0</v>
      </c>
      <c r="K4" s="44" t="s">
        <v>1900</v>
      </c>
      <c r="L4" s="45">
        <f>SUMIFS(M29:M504,J29:J504,C4,K29:K504,K3)+SUMIF(P96:P138,A8,Q96:Q138)+L9</f>
        <v>0</v>
      </c>
      <c r="M4" s="26"/>
      <c r="N4" s="46" t="str">
        <f>IFERROR(__xludf.DUMMYFUNCTION("query(C28:L504,""select Col1,Col3,Col8,Col9 where (Col8 = 'Adiantamento' or Col8 = 'Consumo') and Col9 = '""&amp;B4&amp;""'"",1)"),"Data")</f>
        <v>Data</v>
      </c>
      <c r="O4" s="47" t="str">
        <f>IFERROR(__xludf.DUMMYFUNCTION("""COMPUTED_VALUE"""),"Valor ")</f>
        <v>Valor </v>
      </c>
      <c r="P4" s="47" t="str">
        <f>IFERROR(__xludf.DUMMYFUNCTION("""COMPUTED_VALUE"""),"Tipo")</f>
        <v>Tipo</v>
      </c>
      <c r="Q4" s="48" t="str">
        <f>IFERROR(__xludf.DUMMYFUNCTION("""COMPUTED_VALUE"""),"Funcionário")</f>
        <v>Funcionário</v>
      </c>
      <c r="R4" s="49"/>
      <c r="S4" s="50" t="str">
        <f>IFERROR(__xludf.DUMMYFUNCTION("query(C28:L504,""select Col1,Col3,Col8,Col9 where (Col8 = 'Adiantamento' or Col8 = 'Consumo') and Col9 = '""&amp;B5&amp;""'"",1)"),"Data")</f>
        <v>Data</v>
      </c>
      <c r="T4" s="50" t="str">
        <f>IFERROR(__xludf.DUMMYFUNCTION("""COMPUTED_VALUE"""),"Valor ")</f>
        <v>Valor </v>
      </c>
      <c r="U4" s="50" t="str">
        <f>IFERROR(__xludf.DUMMYFUNCTION("""COMPUTED_VALUE"""),"Tipo")</f>
        <v>Tipo</v>
      </c>
      <c r="V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SUMIFS(M29:M504,J29:J504,C5,K29:K504,C3)</f>
        <v>0</v>
      </c>
      <c r="E5" s="44" t="s">
        <v>2019</v>
      </c>
      <c r="F5" s="43">
        <f>SUMIFS(M29:M504,J29:J504,C5,K29:K504,E3)</f>
        <v>72.85</v>
      </c>
      <c r="G5" s="44" t="s">
        <v>2019</v>
      </c>
      <c r="H5" s="43">
        <f>SUMIFS(M29:M504,J29:J504,C5,K29:K504,G3)</f>
        <v>17.61</v>
      </c>
      <c r="I5" s="44" t="s">
        <v>2019</v>
      </c>
      <c r="J5" s="43">
        <f>SUMIFS(M29:M504,J29:J504,C5,K29:K504,I3)</f>
        <v>54.85</v>
      </c>
      <c r="K5" s="44" t="s">
        <v>2019</v>
      </c>
      <c r="L5" s="45">
        <f>SUMIFS(M29:M504,J29:J504,C5,K29:K504,K3)</f>
        <v>0</v>
      </c>
      <c r="M5" s="26"/>
      <c r="N5" s="52"/>
      <c r="O5" s="53"/>
      <c r="P5" s="53"/>
      <c r="Q5" s="54"/>
      <c r="R5" s="55"/>
      <c r="S5" s="238">
        <f>IFERROR(__xludf.DUMMYFUNCTION("""COMPUTED_VALUE"""),45898.81984953704)</f>
        <v>45898.81985</v>
      </c>
      <c r="T5" s="53" t="str">
        <f>IFERROR(__xludf.DUMMYFUNCTION("""COMPUTED_VALUE"""),"R$ 37,87")</f>
        <v>R$ 37,87</v>
      </c>
      <c r="U5" s="53" t="str">
        <f>IFERROR(__xludf.DUMMYFUNCTION("""COMPUTED_VALUE"""),"Consumo")</f>
        <v>Consumo</v>
      </c>
      <c r="V5" s="54" t="str">
        <f>IFERROR(__xludf.DUMMYFUNCTION("""COMPUTED_VALUE"""),"Mariane")</f>
        <v>Mariane</v>
      </c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58.28</v>
      </c>
      <c r="G6" s="44" t="s">
        <v>2079</v>
      </c>
      <c r="H6" s="43">
        <f>H5*0.8</f>
        <v>14.088</v>
      </c>
      <c r="I6" s="44" t="s">
        <v>2079</v>
      </c>
      <c r="J6" s="43">
        <f>J5*0.8</f>
        <v>43.88</v>
      </c>
      <c r="K6" s="57" t="s">
        <v>2079</v>
      </c>
      <c r="L6" s="45">
        <f>L5*0.8</f>
        <v>0</v>
      </c>
      <c r="M6" s="26"/>
      <c r="N6" s="52"/>
      <c r="O6" s="53"/>
      <c r="P6" s="53"/>
      <c r="Q6" s="54"/>
      <c r="R6" s="55"/>
      <c r="S6" s="238">
        <f>IFERROR(__xludf.DUMMYFUNCTION("""COMPUTED_VALUE"""),45906.61657407407)</f>
        <v>45906.61657</v>
      </c>
      <c r="T6" s="53" t="str">
        <f>IFERROR(__xludf.DUMMYFUNCTION("""COMPUTED_VALUE"""),"R$ 19,00")</f>
        <v>R$ 19,00</v>
      </c>
      <c r="U6" s="53" t="str">
        <f>IFERROR(__xludf.DUMMYFUNCTION("""COMPUTED_VALUE"""),"Consumo")</f>
        <v>Consumo</v>
      </c>
      <c r="V6" s="54" t="str">
        <f>IFERROR(__xludf.DUMMYFUNCTION("""COMPUTED_VALUE"""),"Mariane")</f>
        <v>Mariane</v>
      </c>
    </row>
    <row r="7" ht="14.25" customHeight="1">
      <c r="A7" s="40" t="s">
        <v>754</v>
      </c>
      <c r="B7" s="41" t="s">
        <v>2117</v>
      </c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52"/>
      <c r="O7" s="53"/>
      <c r="P7" s="53"/>
      <c r="Q7" s="54"/>
      <c r="R7" s="55"/>
      <c r="S7" s="238">
        <f>IFERROR(__xludf.DUMMYFUNCTION("""COMPUTED_VALUE"""),45919.72752314815)</f>
        <v>45919.72752</v>
      </c>
      <c r="T7" s="53" t="str">
        <f>IFERROR(__xludf.DUMMYFUNCTION("""COMPUTED_VALUE"""),"R$ 15,98")</f>
        <v>R$ 15,98</v>
      </c>
      <c r="U7" s="53" t="str">
        <f>IFERROR(__xludf.DUMMYFUNCTION("""COMPUTED_VALUE"""),"Consumo")</f>
        <v>Consumo</v>
      </c>
      <c r="V7" s="54" t="str">
        <f>IFERROR(__xludf.DUMMYFUNCTION("""COMPUTED_VALUE"""),"Mariane")</f>
        <v>Mariane</v>
      </c>
    </row>
    <row r="8" ht="14.25" customHeight="1">
      <c r="B8" s="41"/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52"/>
      <c r="O8" s="53"/>
      <c r="P8" s="53"/>
      <c r="Q8" s="54"/>
      <c r="R8" s="55"/>
      <c r="S8" s="53"/>
      <c r="T8" s="53"/>
      <c r="U8" s="53"/>
      <c r="V8" s="54"/>
    </row>
    <row r="9">
      <c r="A9" s="40"/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52"/>
      <c r="O9" s="53"/>
      <c r="P9" s="53"/>
      <c r="Q9" s="54"/>
      <c r="R9" s="55"/>
      <c r="S9" s="53"/>
      <c r="T9" s="53"/>
      <c r="U9" s="53"/>
      <c r="V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52"/>
      <c r="O10" s="79"/>
      <c r="P10" s="79"/>
      <c r="Q10" s="80"/>
      <c r="R10" s="81"/>
      <c r="S10" s="79"/>
      <c r="T10" s="79"/>
      <c r="U10" s="79"/>
      <c r="V10" s="80"/>
    </row>
    <row r="11">
      <c r="A11" s="82"/>
      <c r="B11" s="83"/>
      <c r="C11" s="84" t="s">
        <v>1900</v>
      </c>
      <c r="D11" s="85">
        <f>SUMIFS(M29:M511,J29:J511,C11,K29:K511,C10)+SUMIF(P96:P138,A9,Q96:Q138)+D16</f>
        <v>0</v>
      </c>
      <c r="E11" s="86" t="s">
        <v>1900</v>
      </c>
      <c r="F11" s="85">
        <f>SUMIFS(M29:M511,J29:J511,E11,K29:K511,E10)+SUMIF(P96:P138,A10,Q96:Q138)+F16</f>
        <v>0</v>
      </c>
      <c r="G11" s="86" t="s">
        <v>1900</v>
      </c>
      <c r="H11" s="85">
        <f>SUMIFS(M29:M511,J29:J511,C11,K29:K511,G10)+SUMIF(P96:P138,A11,Q96:Q138)+H16</f>
        <v>0</v>
      </c>
      <c r="I11" s="86" t="s">
        <v>1900</v>
      </c>
      <c r="J11" s="85">
        <f>SUMIFS(M29:M511,J29:J511,C11,K29:K511,I10)+SUMIF(P96:P138,A11,Q96:Q138)+J16</f>
        <v>0</v>
      </c>
      <c r="K11" s="86" t="s">
        <v>1900</v>
      </c>
      <c r="L11" s="87">
        <f>SUMIFS(M29:M511,J29:J511,C11,K29:K511,K10)+SUMIF(P96:P138,A13,Q96:Q138)+L16</f>
        <v>0</v>
      </c>
      <c r="M11" s="25"/>
      <c r="N11" s="88"/>
      <c r="O11" s="89"/>
      <c r="P11" s="89"/>
      <c r="Q11" s="90"/>
      <c r="R11" s="91"/>
      <c r="S11" s="89"/>
      <c r="T11" s="89"/>
      <c r="U11" s="89"/>
      <c r="V11" s="90"/>
    </row>
    <row r="12">
      <c r="A12" s="82"/>
      <c r="B12" s="83"/>
      <c r="C12" s="84" t="s">
        <v>2019</v>
      </c>
      <c r="D12" s="85">
        <f>SUMIFS(M36:M511,J36:J511,C12,K36:K511,C10)</f>
        <v>0</v>
      </c>
      <c r="E12" s="86" t="s">
        <v>2019</v>
      </c>
      <c r="F12" s="85">
        <f>SUMIFS(M29:M511,J29:J511,C12,K29:K511,E10)</f>
        <v>0</v>
      </c>
      <c r="G12" s="86" t="s">
        <v>2019</v>
      </c>
      <c r="H12" s="85">
        <f>SUMIFS(M36:M511,J36:J511,C12,K36:K511,G10)</f>
        <v>0</v>
      </c>
      <c r="I12" s="86" t="s">
        <v>2019</v>
      </c>
      <c r="J12" s="85">
        <f>SUMIFS(M29:M511,J29:J511,C12,K29:K511,I10)</f>
        <v>0</v>
      </c>
      <c r="K12" s="86" t="s">
        <v>2019</v>
      </c>
      <c r="L12" s="87">
        <f>SUMIFS(M29:M511,J29:J511,C12,K29:K511,K10)</f>
        <v>0</v>
      </c>
      <c r="M12" s="25"/>
      <c r="N12" s="88"/>
      <c r="O12" s="89"/>
      <c r="P12" s="89"/>
      <c r="Q12" s="90"/>
      <c r="R12" s="91"/>
      <c r="S12" s="89"/>
      <c r="T12" s="89"/>
      <c r="U12" s="89"/>
      <c r="V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88"/>
      <c r="O13" s="89"/>
      <c r="P13" s="89"/>
      <c r="Q13" s="90"/>
      <c r="R13" s="91"/>
      <c r="S13" s="89"/>
      <c r="T13" s="89"/>
      <c r="U13" s="89"/>
      <c r="V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88"/>
      <c r="O14" s="89"/>
      <c r="P14" s="89"/>
      <c r="Q14" s="90"/>
      <c r="R14" s="91"/>
      <c r="S14" s="89"/>
      <c r="T14" s="89"/>
      <c r="U14" s="89"/>
      <c r="V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88"/>
      <c r="O15" s="89"/>
      <c r="P15" s="89"/>
      <c r="Q15" s="90"/>
      <c r="R15" s="91"/>
      <c r="S15" s="89"/>
      <c r="T15" s="89"/>
      <c r="U15" s="89"/>
      <c r="V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88"/>
      <c r="O16" s="89"/>
      <c r="P16" s="89"/>
      <c r="Q16" s="90"/>
      <c r="R16" s="91"/>
      <c r="S16" s="89"/>
      <c r="T16" s="89"/>
      <c r="U16" s="89"/>
      <c r="V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88"/>
      <c r="O17" s="89"/>
      <c r="P17" s="89"/>
      <c r="Q17" s="90"/>
      <c r="R17" s="91"/>
      <c r="S17" s="89"/>
      <c r="T17" s="89"/>
      <c r="U17" s="89"/>
      <c r="V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108"/>
      <c r="O18" s="109"/>
      <c r="P18" s="109"/>
      <c r="Q18" s="109"/>
      <c r="R18" s="110"/>
      <c r="S18" s="109"/>
      <c r="T18" s="109"/>
      <c r="U18" s="109"/>
      <c r="V18" s="111"/>
    </row>
    <row r="19">
      <c r="A19" s="24"/>
      <c r="B19" s="24"/>
      <c r="C19" s="112"/>
      <c r="D19" s="113"/>
      <c r="E19" s="112"/>
      <c r="F19" s="114"/>
      <c r="G19" s="115" t="s">
        <v>2425</v>
      </c>
      <c r="H19" s="116">
        <f>((H20+H21)-H22)-H25</f>
        <v>29270</v>
      </c>
      <c r="I19" s="117" t="s">
        <v>2436</v>
      </c>
      <c r="J19" s="118" t="s">
        <v>2438</v>
      </c>
      <c r="K19" s="119" t="s">
        <v>2440</v>
      </c>
      <c r="L19" s="113"/>
      <c r="M19" s="25"/>
      <c r="N19" s="120"/>
      <c r="O19" s="121"/>
      <c r="P19" s="121"/>
      <c r="Q19" s="121"/>
      <c r="R19" s="122"/>
      <c r="S19" s="123" t="str">
        <f>B7</f>
        <v>Helena Cardoso</v>
      </c>
      <c r="T19" s="106"/>
      <c r="U19" s="106"/>
      <c r="V19" s="124"/>
    </row>
    <row r="20">
      <c r="A20" s="125"/>
      <c r="B20" s="125"/>
      <c r="C20" s="126" t="s">
        <v>1900</v>
      </c>
      <c r="D20" s="127">
        <f>SUMIFS(M29:M504,J29:J504,C20,K29:K504,C19)+SUMIF(P102:P138,A9,Q102:Q138)+D25</f>
        <v>0</v>
      </c>
      <c r="E20" s="126" t="s">
        <v>1900</v>
      </c>
      <c r="F20" s="128">
        <f>SUMIFS(M29:M504,J29:J504,C20,K29:K504,E19)+SUMIF(P102:P138,A10,Q102:Q138)+F25</f>
        <v>0</v>
      </c>
      <c r="G20" s="129" t="s">
        <v>2473</v>
      </c>
      <c r="H20" s="130">
        <v>0.0</v>
      </c>
      <c r="I20" s="131">
        <f>SUMIF(J29:J504,I19,M29:M504)</f>
        <v>509.93</v>
      </c>
      <c r="J20" s="132">
        <f>SUMIF(J29:J504,J19,M29:M504)</f>
        <v>291.97</v>
      </c>
      <c r="K20" s="133" t="s">
        <v>2491</v>
      </c>
      <c r="L20" s="134"/>
      <c r="M20" s="25"/>
      <c r="N20" s="135"/>
      <c r="O20" s="136"/>
      <c r="P20" s="136"/>
      <c r="Q20" s="136"/>
      <c r="R20" s="49"/>
      <c r="S20" s="50" t="str">
        <f>IFERROR(__xludf.DUMMYFUNCTION("query(C28:L504,""select Col1,Col3,Col8,Col9 where (Col8 = 'Adiantamento' or Col8 = 'Consumo') and Col9 = '""&amp;B7&amp;""'"",1)"),"Data")</f>
        <v>Data</v>
      </c>
      <c r="T20" s="50" t="str">
        <f>IFERROR(__xludf.DUMMYFUNCTION("""COMPUTED_VALUE"""),"Valor ")</f>
        <v>Valor </v>
      </c>
      <c r="U20" s="50" t="str">
        <f>IFERROR(__xludf.DUMMYFUNCTION("""COMPUTED_VALUE"""),"Tipo")</f>
        <v>Tipo</v>
      </c>
      <c r="V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SUMIFS(M29:M504,J29:J504,C21,K29:K504,C19)</f>
        <v>0</v>
      </c>
      <c r="E21" s="126" t="s">
        <v>2019</v>
      </c>
      <c r="F21" s="128">
        <f>SUMIFS(M29:M504,J29:J504,E21,K29:K504,E19)</f>
        <v>0</v>
      </c>
      <c r="G21" s="86" t="s">
        <v>2522</v>
      </c>
      <c r="H21" s="127">
        <f>SUMIFS(M29:M504,D29:D504,"Saída",J29:J504,"Sangria")</f>
        <v>29270</v>
      </c>
      <c r="I21" s="138"/>
      <c r="J21" s="139"/>
      <c r="K21" s="133" t="s">
        <v>2530</v>
      </c>
      <c r="L21" s="134"/>
      <c r="M21" s="25"/>
      <c r="N21" s="108"/>
      <c r="O21" s="53"/>
      <c r="P21" s="53"/>
      <c r="Q21" s="54"/>
      <c r="R21" s="55"/>
      <c r="S21" s="238">
        <f>IFERROR(__xludf.DUMMYFUNCTION("""COMPUTED_VALUE"""),45916.70412037037)</f>
        <v>45916.70412</v>
      </c>
      <c r="T21" s="53" t="str">
        <f>IFERROR(__xludf.DUMMYFUNCTION("""COMPUTED_VALUE"""),"R$ 16,61")</f>
        <v>R$ 16,61</v>
      </c>
      <c r="U21" s="53" t="str">
        <f>IFERROR(__xludf.DUMMYFUNCTION("""COMPUTED_VALUE"""),"Consumo")</f>
        <v>Consumo</v>
      </c>
      <c r="V21" s="54" t="str">
        <f>IFERROR(__xludf.DUMMYFUNCTION("""COMPUTED_VALUE"""),"Helena Cardoso")</f>
        <v>Helena Cardoso</v>
      </c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SUMIFS(M29:M504,D29:D504,"Entrada",J29:J504,"Sangria")</f>
        <v>0</v>
      </c>
      <c r="I22" s="144" t="s">
        <v>2556</v>
      </c>
      <c r="J22" s="145"/>
      <c r="K22" s="133" t="s">
        <v>2559</v>
      </c>
      <c r="L22" s="134"/>
      <c r="M22" s="25"/>
      <c r="N22" s="52"/>
      <c r="O22" s="53"/>
      <c r="P22" s="53"/>
      <c r="Q22" s="54"/>
      <c r="R22" s="55"/>
      <c r="S22" s="238">
        <f>IFERROR(__xludf.DUMMYFUNCTION("""COMPUTED_VALUE"""),45919.72724537037)</f>
        <v>45919.72725</v>
      </c>
      <c r="T22" s="53" t="str">
        <f>IFERROR(__xludf.DUMMYFUNCTION("""COMPUTED_VALUE"""),"R$ 15,47")</f>
        <v>R$ 15,47</v>
      </c>
      <c r="U22" s="53" t="str">
        <f>IFERROR(__xludf.DUMMYFUNCTION("""COMPUTED_VALUE"""),"Consumo")</f>
        <v>Consumo</v>
      </c>
      <c r="V22" s="54" t="str">
        <f>IFERROR(__xludf.DUMMYFUNCTION("""COMPUTED_VALUE"""),"Helena Cardoso")</f>
        <v>Helena Cardoso</v>
      </c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SUMIF(J29:J504,I22,M29:M504)</f>
        <v>0</v>
      </c>
      <c r="J23" s="152"/>
      <c r="K23" s="133" t="s">
        <v>2578</v>
      </c>
      <c r="L23" s="134"/>
      <c r="M23" s="25"/>
      <c r="N23" s="52"/>
      <c r="O23" s="53"/>
      <c r="P23" s="53"/>
      <c r="Q23" s="54"/>
      <c r="R23" s="55"/>
      <c r="S23" s="238">
        <f>IFERROR(__xludf.DUMMYFUNCTION("""COMPUTED_VALUE"""),45921.92412037037)</f>
        <v>45921.92412</v>
      </c>
      <c r="T23" s="53" t="str">
        <f>IFERROR(__xludf.DUMMYFUNCTION("""COMPUTED_VALUE"""),"R$ 11,45")</f>
        <v>R$ 11,45</v>
      </c>
      <c r="U23" s="53" t="str">
        <f>IFERROR(__xludf.DUMMYFUNCTION("""COMPUTED_VALUE"""),"Consumo")</f>
        <v>Consumo</v>
      </c>
      <c r="V23" s="54" t="str">
        <f>IFERROR(__xludf.DUMMYFUNCTION("""COMPUTED_VALUE"""),"Helena Cardoso")</f>
        <v>Helena Cardoso</v>
      </c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SUMIF(L29:L504,G24,M29:M504)</f>
        <v>0</v>
      </c>
      <c r="I24" s="157" t="s">
        <v>2593</v>
      </c>
      <c r="J24" s="150"/>
      <c r="K24" s="133" t="s">
        <v>2594</v>
      </c>
      <c r="L24" s="134"/>
      <c r="M24" s="25"/>
      <c r="N24" s="52"/>
      <c r="O24" s="53"/>
      <c r="P24" s="53"/>
      <c r="Q24" s="54"/>
      <c r="R24" s="55"/>
      <c r="S24" s="238">
        <f>IFERROR(__xludf.DUMMYFUNCTION("""COMPUTED_VALUE"""),45922.865752314814)</f>
        <v>45922.86575</v>
      </c>
      <c r="T24" s="53" t="str">
        <f>IFERROR(__xludf.DUMMYFUNCTION("""COMPUTED_VALUE"""),"R$ 11,32")</f>
        <v>R$ 11,32</v>
      </c>
      <c r="U24" s="53" t="str">
        <f>IFERROR(__xludf.DUMMYFUNCTION("""COMPUTED_VALUE"""),"Consumo")</f>
        <v>Consumo</v>
      </c>
      <c r="V24" s="54" t="str">
        <f>IFERROR(__xludf.DUMMYFUNCTION("""COMPUTED_VALUE"""),"Helena Cardoso")</f>
        <v>Helena Cardoso</v>
      </c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SUMIF(L29:L504,G25,M29:M504)</f>
        <v>0</v>
      </c>
      <c r="I25" s="151">
        <f>SUMIF(J29:J504,I24,M29:M504)</f>
        <v>0</v>
      </c>
      <c r="J25" s="152"/>
      <c r="K25" s="162"/>
      <c r="L25" s="163"/>
      <c r="M25" s="26"/>
      <c r="N25" s="52"/>
      <c r="O25" s="53"/>
      <c r="P25" s="53"/>
      <c r="Q25" s="54"/>
      <c r="R25" s="55"/>
      <c r="S25" s="53"/>
      <c r="T25" s="53"/>
      <c r="U25" s="53"/>
      <c r="V25" s="54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52"/>
      <c r="O26" s="79"/>
      <c r="P26" s="79"/>
      <c r="Q26" s="80"/>
      <c r="R26" s="81"/>
      <c r="S26" s="79"/>
      <c r="T26" s="79"/>
      <c r="U26" s="79"/>
      <c r="V26" s="80"/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04"/>
      <c r="M27" s="167"/>
      <c r="N27" s="88"/>
      <c r="O27" s="89"/>
      <c r="P27" s="89"/>
      <c r="Q27" s="90"/>
      <c r="R27" s="91"/>
      <c r="S27" s="89"/>
      <c r="T27" s="89"/>
      <c r="U27" s="89"/>
      <c r="V27" s="90"/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177" t="s">
        <v>2647</v>
      </c>
      <c r="M28" s="167"/>
      <c r="N28" s="88"/>
      <c r="O28" s="89"/>
      <c r="P28" s="89"/>
      <c r="Q28" s="90"/>
      <c r="R28" s="91"/>
      <c r="S28" s="89"/>
      <c r="T28" s="89"/>
      <c r="U28" s="89"/>
      <c r="V28" s="90"/>
    </row>
    <row r="29" ht="14.25" customHeight="1">
      <c r="A29" s="178"/>
      <c r="B29" s="12">
        <v>1645398.0</v>
      </c>
      <c r="C29" s="13">
        <v>45895.930752314816</v>
      </c>
      <c r="D29" s="179" t="s">
        <v>81</v>
      </c>
      <c r="E29" s="180" t="s">
        <v>127</v>
      </c>
      <c r="F29" s="188"/>
      <c r="G29" s="179" t="s">
        <v>4071</v>
      </c>
      <c r="H29" s="182"/>
      <c r="I29" s="182"/>
      <c r="J29" s="183" t="s">
        <v>2735</v>
      </c>
      <c r="K29" s="183" t="s">
        <v>2018</v>
      </c>
      <c r="L29" s="184" t="str">
        <f>IFERROR(__xludf.DUMMYFUNCTION("ifna(IF(and(D29=""Saída"",J29=""Sangria""),if(sum(QUERY(IMPORTRANGE(""https://docs.google.com/spreadsheets/d/1E4szPcLzsqlw4uyBAoJ61L1ChCgpz4wVP8tHfHW1g_c"",""BD M Sangrias!a:i""),""select Col6 where Col7 = 'Depositada' and Col9 = '""&amp;K29&amp;""' and Col6 = """&amp;"&amp;M29&amp;"" and Col4 = date '""&amp;YEAR(C29)&amp;""-""&amp;MONTH(C29)&amp;""-""&amp;DAY(C29)&amp;""'""))&gt;0,""Depositada"",if(sum(QUERY(IMPORTRANGE(""https://docs.google.com/spreadsheets/d/1EcLIvUgMoBC5as4ikW0wuQsGH5yVZ6cQ1y16qEfgPnk"",""BD M Sangrias!a:i""),""select Col6 where Col7"&amp;" = 'Caixa Atendimento' and Col9 = '""&amp;K29&amp;""' and Col6 = ""&amp;M29&amp;"" and Col4 = date '""&amp;YEAR(C29)&amp;""-""&amp;MONTH(C29)&amp;""-""&amp;DAY(C29)&amp;""'""))&gt;0,""Caixa Atendimento"",""Caixa Sangria"")),""""),""Caixa Sangria"")"),"#REF!")</f>
        <v>#REF!</v>
      </c>
      <c r="M29" s="185">
        <f>IFERROR(__xludf.DUMMYFUNCTION("ifna(VALUE(REGEXEXTRACT(E29,""[0-9.]+[,]+[0-9]+"")))"),250.0)</f>
        <v>250</v>
      </c>
      <c r="N29" s="88"/>
      <c r="O29" s="89"/>
      <c r="P29" s="89"/>
      <c r="Q29" s="90"/>
      <c r="R29" s="91"/>
      <c r="S29" s="89"/>
      <c r="T29" s="89"/>
      <c r="U29" s="89"/>
      <c r="V29" s="90"/>
    </row>
    <row r="30" ht="14.25" customHeight="1">
      <c r="A30" s="178"/>
      <c r="B30" s="12">
        <v>1645823.0</v>
      </c>
      <c r="C30" s="13">
        <v>45896.641435185185</v>
      </c>
      <c r="D30" s="179" t="s">
        <v>152</v>
      </c>
      <c r="E30" s="180" t="s">
        <v>6249</v>
      </c>
      <c r="F30" s="181"/>
      <c r="G30" s="179" t="s">
        <v>158</v>
      </c>
      <c r="H30" s="186"/>
      <c r="I30" s="186"/>
      <c r="J30" s="187" t="s">
        <v>2669</v>
      </c>
      <c r="K30" s="187"/>
      <c r="L30" s="184" t="str">
        <f>IFERROR(__xludf.DUMMYFUNCTION("ifna(IF(and(D30=""Saída"",J30=""Sangria""),if(sum(QUERY(IMPORTRANGE(""https://docs.google.com/spreadsheets/d/1E4szPcLzsqlw4uyBAoJ61L1ChCgpz4wVP8tHfHW1g_c"",""BD M Sangrias!a:i""),""select Col6 where Col7 = 'Depositada' and Col9 = '""&amp;K30&amp;""' and Col6 = """&amp;"&amp;M30&amp;"" and Col4 = date '""&amp;YEAR(C30)&amp;""-""&amp;MONTH(C30)&amp;""-""&amp;DAY(C30)&amp;""'""))&gt;0,""Depositada"",if(sum(QUERY(IMPORTRANGE(""https://docs.google.com/spreadsheets/d/1EcLIvUgMoBC5as4ikW0wuQsGH5yVZ6cQ1y16qEfgPnk"",""BD M Sangrias!a:i""),""select Col6 where Col7"&amp;" = 'Caixa Atendimento' and Col9 = '""&amp;K30&amp;""' and Col6 = ""&amp;M30&amp;"" and Col4 = date '""&amp;YEAR(C30)&amp;""-""&amp;MONTH(C30)&amp;""-""&amp;DAY(C30)&amp;""'""))&gt;0,""Caixa Atendimento"",""Caixa Sangria"")),""""),""Caixa Sangria"")"),"")</f>
        <v/>
      </c>
      <c r="M30" s="185">
        <f>IFERROR(__xludf.DUMMYFUNCTION("ifna(VALUE(REGEXEXTRACT(E30,""[0-9.]+[,]+[0-9]+"")))"),11.0)</f>
        <v>11</v>
      </c>
      <c r="N30" s="88"/>
      <c r="O30" s="89"/>
      <c r="P30" s="89"/>
      <c r="Q30" s="90"/>
      <c r="R30" s="91"/>
      <c r="S30" s="89"/>
      <c r="T30" s="89"/>
      <c r="U30" s="89"/>
      <c r="V30" s="90"/>
    </row>
    <row r="31" ht="14.25" customHeight="1">
      <c r="A31" s="178"/>
      <c r="B31" s="12">
        <v>1645976.0</v>
      </c>
      <c r="C31" s="13">
        <v>45896.69318287037</v>
      </c>
      <c r="D31" s="179" t="s">
        <v>81</v>
      </c>
      <c r="E31" s="180" t="s">
        <v>446</v>
      </c>
      <c r="F31" s="181"/>
      <c r="G31" s="179" t="s">
        <v>3587</v>
      </c>
      <c r="H31" s="186"/>
      <c r="I31" s="186"/>
      <c r="J31" s="187" t="s">
        <v>2735</v>
      </c>
      <c r="K31" s="187" t="s">
        <v>2018</v>
      </c>
      <c r="L31" s="184" t="str">
        <f>IFERROR(__xludf.DUMMYFUNCTION("ifna(IF(and(D31=""Saída"",J31=""Sangria""),if(sum(QUERY(IMPORTRANGE(""https://docs.google.com/spreadsheets/d/1E4szPcLzsqlw4uyBAoJ61L1ChCgpz4wVP8tHfHW1g_c"",""BD M Sangrias!a:i""),""select Col6 where Col7 = 'Depositada' and Col9 = '""&amp;K31&amp;""' and Col6 = """&amp;"&amp;M31&amp;"" and Col4 = date '""&amp;YEAR(C31)&amp;""-""&amp;MONTH(C31)&amp;""-""&amp;DAY(C31)&amp;""'""))&gt;0,""Depositada"",if(sum(QUERY(IMPORTRANGE(""https://docs.google.com/spreadsheets/d/1EcLIvUgMoBC5as4ikW0wuQsGH5yVZ6cQ1y16qEfgPnk"",""BD M Sangrias!a:i""),""select Col6 where Col7"&amp;" = 'Caixa Atendimento' and Col9 = '""&amp;K31&amp;""' and Col6 = ""&amp;M31&amp;"" and Col4 = date '""&amp;YEAR(C31)&amp;""-""&amp;MONTH(C31)&amp;""-""&amp;DAY(C31)&amp;""'""))&gt;0,""Caixa Atendimento"",""Caixa Sangria"")),""""),""Caixa Sangria"")"),"#REF!")</f>
        <v>#REF!</v>
      </c>
      <c r="M31" s="185">
        <f>IFERROR(__xludf.DUMMYFUNCTION("ifna(VALUE(REGEXEXTRACT(E31,""[0-9.]+[,]+[0-9]+"")))"),700.0)</f>
        <v>700</v>
      </c>
      <c r="N31" s="88"/>
      <c r="O31" s="89"/>
      <c r="P31" s="89"/>
      <c r="Q31" s="90"/>
      <c r="R31" s="91"/>
      <c r="S31" s="89"/>
      <c r="T31" s="89"/>
      <c r="U31" s="89"/>
      <c r="V31" s="90"/>
    </row>
    <row r="32" ht="14.25" customHeight="1">
      <c r="A32" s="178"/>
      <c r="B32" s="12">
        <v>1645984.0</v>
      </c>
      <c r="C32" s="13">
        <v>45896.69582175926</v>
      </c>
      <c r="D32" s="179" t="s">
        <v>81</v>
      </c>
      <c r="E32" s="180" t="s">
        <v>6257</v>
      </c>
      <c r="F32" s="181"/>
      <c r="G32" s="179" t="s">
        <v>193</v>
      </c>
      <c r="H32" s="186"/>
      <c r="I32" s="186"/>
      <c r="J32" s="187" t="s">
        <v>3151</v>
      </c>
      <c r="K32" s="187"/>
      <c r="L32" s="184" t="str">
        <f>IFERROR(__xludf.DUMMYFUNCTION("ifna(IF(and(D32=""Saída"",J32=""Sangria""),if(sum(QUERY(IMPORTRANGE(""https://docs.google.com/spreadsheets/d/1E4szPcLzsqlw4uyBAoJ61L1ChCgpz4wVP8tHfHW1g_c"",""BD M Sangrias!a:i""),""select Col6 where Col7 = 'Depositada' and Col9 = '""&amp;K32&amp;""' and Col6 = """&amp;"&amp;M32&amp;"" and Col4 = date '""&amp;YEAR(C32)&amp;""-""&amp;MONTH(C32)&amp;""-""&amp;DAY(C32)&amp;""'""))&gt;0,""Depositada"",if(sum(QUERY(IMPORTRANGE(""https://docs.google.com/spreadsheets/d/1EcLIvUgMoBC5as4ikW0wuQsGH5yVZ6cQ1y16qEfgPnk"",""BD M Sangrias!a:i""),""select Col6 where Col7"&amp;" = 'Caixa Atendimento' and Col9 = '""&amp;K32&amp;""' and Col6 = ""&amp;M32&amp;"" and Col4 = date '""&amp;YEAR(C32)&amp;""-""&amp;MONTH(C32)&amp;""-""&amp;DAY(C32)&amp;""'""))&gt;0,""Caixa Atendimento"",""Caixa Sangria"")),""""),""Caixa Sangria"")"),"")</f>
        <v/>
      </c>
      <c r="M32" s="185">
        <f>IFERROR(__xludf.DUMMYFUNCTION("ifna(VALUE(REGEXEXTRACT(E32,""[0-9.]+[,]+[0-9]+"")))"),9.78)</f>
        <v>9.78</v>
      </c>
      <c r="N32" s="88"/>
      <c r="O32" s="89"/>
      <c r="P32" s="89"/>
      <c r="Q32" s="90"/>
      <c r="R32" s="91"/>
      <c r="S32" s="89"/>
      <c r="T32" s="89"/>
      <c r="U32" s="89"/>
      <c r="V32" s="90"/>
    </row>
    <row r="33" ht="14.25" customHeight="1">
      <c r="A33" s="178"/>
      <c r="B33" s="12">
        <v>1646677.0</v>
      </c>
      <c r="C33" s="13">
        <v>45896.923113425924</v>
      </c>
      <c r="D33" s="179" t="s">
        <v>81</v>
      </c>
      <c r="E33" s="180" t="s">
        <v>162</v>
      </c>
      <c r="F33" s="188"/>
      <c r="G33" s="179" t="s">
        <v>381</v>
      </c>
      <c r="H33" s="186"/>
      <c r="I33" s="186"/>
      <c r="J33" s="187" t="s">
        <v>2735</v>
      </c>
      <c r="K33" s="187" t="s">
        <v>1894</v>
      </c>
      <c r="L33" s="184" t="str">
        <f>IFERROR(__xludf.DUMMYFUNCTION("ifna(IF(and(D33=""Saída"",J33=""Sangria""),if(sum(QUERY(IMPORTRANGE(""https://docs.google.com/spreadsheets/d/1E4szPcLzsqlw4uyBAoJ61L1ChCgpz4wVP8tHfHW1g_c"",""BD M Sangrias!a:i""),""select Col6 where Col7 = 'Depositada' and Col9 = '""&amp;K33&amp;""' and Col6 = """&amp;"&amp;M33&amp;"" and Col4 = date '""&amp;YEAR(C33)&amp;""-""&amp;MONTH(C33)&amp;""-""&amp;DAY(C33)&amp;""'""))&gt;0,""Depositada"",if(sum(QUERY(IMPORTRANGE(""https://docs.google.com/spreadsheets/d/1EcLIvUgMoBC5as4ikW0wuQsGH5yVZ6cQ1y16qEfgPnk"",""BD M Sangrias!a:i""),""select Col6 where Col7"&amp;" = 'Caixa Atendimento' and Col9 = '""&amp;K33&amp;""' and Col6 = ""&amp;M33&amp;"" and Col4 = date '""&amp;YEAR(C33)&amp;""-""&amp;MONTH(C33)&amp;""-""&amp;DAY(C33)&amp;""'""))&gt;0,""Caixa Atendimento"",""Caixa Sangria"")),""""),""Caixa Sangria"")"),"#REF!")</f>
        <v>#REF!</v>
      </c>
      <c r="M33" s="185">
        <f>IFERROR(__xludf.DUMMYFUNCTION("ifna(VALUE(REGEXEXTRACT(E33,""[0-9.]+[,]+[0-9]+"")))"),150.0)</f>
        <v>150</v>
      </c>
      <c r="N33" s="88"/>
      <c r="O33" s="89"/>
      <c r="P33" s="89"/>
      <c r="Q33" s="90"/>
      <c r="R33" s="91"/>
      <c r="S33" s="89"/>
      <c r="T33" s="89"/>
      <c r="U33" s="89"/>
      <c r="V33" s="90"/>
    </row>
    <row r="34" ht="14.25" customHeight="1">
      <c r="A34" s="178"/>
      <c r="B34" s="12">
        <v>1648190.0</v>
      </c>
      <c r="C34" s="13">
        <v>45897.93736111111</v>
      </c>
      <c r="D34" s="179" t="s">
        <v>81</v>
      </c>
      <c r="E34" s="180" t="s">
        <v>590</v>
      </c>
      <c r="F34" s="188"/>
      <c r="G34" s="179" t="s">
        <v>4071</v>
      </c>
      <c r="H34" s="186"/>
      <c r="I34" s="186"/>
      <c r="J34" s="187" t="s">
        <v>2735</v>
      </c>
      <c r="K34" s="187" t="s">
        <v>2018</v>
      </c>
      <c r="L34" s="184" t="str">
        <f>IFERROR(__xludf.DUMMYFUNCTION("ifna(IF(and(D34=""Saída"",J34=""Sangria""),if(sum(QUERY(IMPORTRANGE(""https://docs.google.com/spreadsheets/d/1E4szPcLzsqlw4uyBAoJ61L1ChCgpz4wVP8tHfHW1g_c"",""BD M Sangrias!a:i""),""select Col6 where Col7 = 'Depositada' and Col9 = '""&amp;K34&amp;""' and Col6 = """&amp;"&amp;M34&amp;"" and Col4 = date '""&amp;YEAR(C34)&amp;""-""&amp;MONTH(C34)&amp;""-""&amp;DAY(C34)&amp;""'""))&gt;0,""Depositada"",if(sum(QUERY(IMPORTRANGE(""https://docs.google.com/spreadsheets/d/1EcLIvUgMoBC5as4ikW0wuQsGH5yVZ6cQ1y16qEfgPnk"",""BD M Sangrias!a:i""),""select Col6 where Col7"&amp;" = 'Caixa Atendimento' and Col9 = '""&amp;K34&amp;""' and Col6 = ""&amp;M34&amp;"" and Col4 = date '""&amp;YEAR(C34)&amp;""-""&amp;MONTH(C34)&amp;""-""&amp;DAY(C34)&amp;""'""))&gt;0,""Caixa Atendimento"",""Caixa Sangria"")),""""),""Caixa Sangria"")"),"#REF!")</f>
        <v>#REF!</v>
      </c>
      <c r="M34" s="185">
        <f>IFERROR(__xludf.DUMMYFUNCTION("ifna(VALUE(REGEXEXTRACT(E34,""[0-9.]+[,]+[0-9]+"")))"),350.0)</f>
        <v>350</v>
      </c>
      <c r="N34" s="108"/>
      <c r="O34" s="109"/>
      <c r="P34" s="109"/>
      <c r="Q34" s="109"/>
      <c r="R34" s="110"/>
      <c r="S34" s="109"/>
      <c r="T34" s="109"/>
      <c r="U34" s="109"/>
      <c r="V34" s="111"/>
    </row>
    <row r="35" ht="18.75" customHeight="1">
      <c r="A35" s="178"/>
      <c r="B35" s="12">
        <v>1648438.0</v>
      </c>
      <c r="C35" s="13">
        <v>45898.53611111111</v>
      </c>
      <c r="D35" s="179" t="s">
        <v>152</v>
      </c>
      <c r="E35" s="180" t="s">
        <v>6249</v>
      </c>
      <c r="F35" s="181"/>
      <c r="G35" s="179" t="s">
        <v>1126</v>
      </c>
      <c r="H35" s="186"/>
      <c r="I35" s="186"/>
      <c r="J35" s="187" t="s">
        <v>2669</v>
      </c>
      <c r="K35" s="187"/>
      <c r="L35" s="184" t="str">
        <f>IFERROR(__xludf.DUMMYFUNCTION("ifna(IF(and(D35=""Saída"",J35=""Sangria""),if(sum(QUERY(IMPORTRANGE(""https://docs.google.com/spreadsheets/d/1E4szPcLzsqlw4uyBAoJ61L1ChCgpz4wVP8tHfHW1g_c"",""BD M Sangrias!a:i""),""select Col6 where Col7 = 'Depositada' and Col9 = '""&amp;K35&amp;""' and Col6 = """&amp;"&amp;M35&amp;"" and Col4 = date '""&amp;YEAR(C35)&amp;""-""&amp;MONTH(C35)&amp;""-""&amp;DAY(C35)&amp;""'""))&gt;0,""Depositada"",if(sum(QUERY(IMPORTRANGE(""https://docs.google.com/spreadsheets/d/1EcLIvUgMoBC5as4ikW0wuQsGH5yVZ6cQ1y16qEfgPnk"",""BD M Sangrias!a:i""),""select Col6 where Col7"&amp;" = 'Caixa Atendimento' and Col9 = '""&amp;K35&amp;""' and Col6 = ""&amp;M35&amp;"" and Col4 = date '""&amp;YEAR(C35)&amp;""-""&amp;MONTH(C35)&amp;""-""&amp;DAY(C35)&amp;""'""))&gt;0,""Caixa Atendimento"",""Caixa Sangria"")),""""),""Caixa Sangria"")"),"")</f>
        <v/>
      </c>
      <c r="M35" s="185">
        <f>IFERROR(__xludf.DUMMYFUNCTION("ifna(VALUE(REGEXEXTRACT(E35,""[0-9.]+[,]+[0-9]+"")))"),11.0)</f>
        <v>11</v>
      </c>
      <c r="N35" s="108"/>
      <c r="R35" s="110"/>
    </row>
    <row r="36" ht="14.25" customHeight="1">
      <c r="A36" s="178"/>
      <c r="B36" s="12">
        <v>1648618.0</v>
      </c>
      <c r="C36" s="13">
        <v>45898.61100694445</v>
      </c>
      <c r="D36" s="179" t="s">
        <v>81</v>
      </c>
      <c r="E36" s="180" t="s">
        <v>3486</v>
      </c>
      <c r="F36" s="181"/>
      <c r="G36" s="179" t="s">
        <v>3907</v>
      </c>
      <c r="H36" s="186"/>
      <c r="I36" s="186"/>
      <c r="J36" s="187" t="s">
        <v>2735</v>
      </c>
      <c r="K36" s="187" t="s">
        <v>2018</v>
      </c>
      <c r="L36" s="184" t="str">
        <f>IFERROR(__xludf.DUMMYFUNCTION("ifna(IF(and(D36=""Saída"",J36=""Sangria""),if(sum(QUERY(IMPORTRANGE(""https://docs.google.com/spreadsheets/d/1E4szPcLzsqlw4uyBAoJ61L1ChCgpz4wVP8tHfHW1g_c"",""BD M Sangrias!a:i""),""select Col6 where Col7 = 'Depositada' and Col9 = '""&amp;K36&amp;""' and Col6 = """&amp;"&amp;M36&amp;"" and Col4 = date '""&amp;YEAR(C36)&amp;""-""&amp;MONTH(C36)&amp;""-""&amp;DAY(C36)&amp;""'""))&gt;0,""Depositada"",if(sum(QUERY(IMPORTRANGE(""https://docs.google.com/spreadsheets/d/1EcLIvUgMoBC5as4ikW0wuQsGH5yVZ6cQ1y16qEfgPnk"",""BD M Sangrias!a:i""),""select Col6 where Col7"&amp;" = 'Caixa Atendimento' and Col9 = '""&amp;K36&amp;""' and Col6 = ""&amp;M36&amp;"" and Col4 = date '""&amp;YEAR(C36)&amp;""-""&amp;MONTH(C36)&amp;""-""&amp;DAY(C36)&amp;""'""))&gt;0,""Caixa Atendimento"",""Caixa Sangria"")),""""),""Caixa Sangria"")"),"#REF!")</f>
        <v>#REF!</v>
      </c>
      <c r="M36" s="185">
        <f>IFERROR(__xludf.DUMMYFUNCTION("ifna(VALUE(REGEXEXTRACT(E36,""[0-9.]+[,]+[0-9]+"")))"),500.0)</f>
        <v>500</v>
      </c>
      <c r="N36" s="108"/>
      <c r="R36" s="110"/>
    </row>
    <row r="37" ht="14.25" customHeight="1">
      <c r="A37" s="178"/>
      <c r="B37" s="12">
        <v>1649452.0</v>
      </c>
      <c r="C37" s="13">
        <v>45898.81984953704</v>
      </c>
      <c r="D37" s="179" t="s">
        <v>81</v>
      </c>
      <c r="E37" s="180" t="s">
        <v>6282</v>
      </c>
      <c r="F37" s="181"/>
      <c r="G37" s="179" t="s">
        <v>6284</v>
      </c>
      <c r="H37" s="186"/>
      <c r="I37" s="186"/>
      <c r="J37" s="187" t="s">
        <v>2019</v>
      </c>
      <c r="K37" s="187" t="s">
        <v>2018</v>
      </c>
      <c r="L37" s="184" t="str">
        <f>IFERROR(__xludf.DUMMYFUNCTION("ifna(IF(and(D37=""Saída"",J37=""Sangria""),if(sum(QUERY(IMPORTRANGE(""https://docs.google.com/spreadsheets/d/1E4szPcLzsqlw4uyBAoJ61L1ChCgpz4wVP8tHfHW1g_c"",""BD M Sangrias!a:i""),""select Col6 where Col7 = 'Depositada' and Col9 = '""&amp;K37&amp;""' and Col6 = """&amp;"&amp;M37&amp;"" and Col4 = date '""&amp;YEAR(C37)&amp;""-""&amp;MONTH(C37)&amp;""-""&amp;DAY(C37)&amp;""'""))&gt;0,""Depositada"",if(sum(QUERY(IMPORTRANGE(""https://docs.google.com/spreadsheets/d/1EcLIvUgMoBC5as4ikW0wuQsGH5yVZ6cQ1y16qEfgPnk"",""BD M Sangrias!a:i""),""select Col6 where Col7"&amp;" = 'Caixa Atendimento' and Col9 = '""&amp;K37&amp;""' and Col6 = ""&amp;M37&amp;"" and Col4 = date '""&amp;YEAR(C37)&amp;""-""&amp;MONTH(C37)&amp;""-""&amp;DAY(C37)&amp;""'""))&gt;0,""Caixa Atendimento"",""Caixa Sangria"")),""""),""Caixa Sangria"")"),"")</f>
        <v/>
      </c>
      <c r="M37" s="185">
        <f>IFERROR(__xludf.DUMMYFUNCTION("ifna(VALUE(REGEXEXTRACT(E37,""[0-9.]+[,]+[0-9]+"")))"),37.87)</f>
        <v>37.87</v>
      </c>
      <c r="N37" s="108"/>
      <c r="R37" s="110"/>
    </row>
    <row r="38" ht="14.25" customHeight="1">
      <c r="A38" s="178"/>
      <c r="B38" s="12">
        <v>1649907.0</v>
      </c>
      <c r="C38" s="13">
        <v>45898.9318287037</v>
      </c>
      <c r="D38" s="179" t="s">
        <v>81</v>
      </c>
      <c r="E38" s="180" t="s">
        <v>443</v>
      </c>
      <c r="F38" s="181"/>
      <c r="G38" s="179" t="s">
        <v>3587</v>
      </c>
      <c r="H38" s="186"/>
      <c r="I38" s="186"/>
      <c r="J38" s="187" t="s">
        <v>2735</v>
      </c>
      <c r="K38" s="187" t="s">
        <v>2018</v>
      </c>
      <c r="L38" s="184" t="str">
        <f>IFERROR(__xludf.DUMMYFUNCTION("ifna(IF(and(D38=""Saída"",J38=""Sangria""),if(sum(QUERY(IMPORTRANGE(""https://docs.google.com/spreadsheets/d/1E4szPcLzsqlw4uyBAoJ61L1ChCgpz4wVP8tHfHW1g_c"",""BD M Sangrias!a:i""),""select Col6 where Col7 = 'Depositada' and Col9 = '""&amp;K38&amp;""' and Col6 = """&amp;"&amp;M38&amp;"" and Col4 = date '""&amp;YEAR(C38)&amp;""-""&amp;MONTH(C38)&amp;""-""&amp;DAY(C38)&amp;""'""))&gt;0,""Depositada"",if(sum(QUERY(IMPORTRANGE(""https://docs.google.com/spreadsheets/d/1EcLIvUgMoBC5as4ikW0wuQsGH5yVZ6cQ1y16qEfgPnk"",""BD M Sangrias!a:i""),""select Col6 where Col7"&amp;" = 'Caixa Atendimento' and Col9 = '""&amp;K38&amp;""' and Col6 = ""&amp;M38&amp;"" and Col4 = date '""&amp;YEAR(C38)&amp;""-""&amp;MONTH(C38)&amp;""-""&amp;DAY(C38)&amp;""'""))&gt;0,""Caixa Atendimento"",""Caixa Sangria"")),""""),""Caixa Sangria"")"),"#REF!")</f>
        <v>#REF!</v>
      </c>
      <c r="M38" s="185">
        <f>IFERROR(__xludf.DUMMYFUNCTION("ifna(VALUE(REGEXEXTRACT(E38,""[0-9.]+[,]+[0-9]+"")))"),900.0)</f>
        <v>900</v>
      </c>
      <c r="N38" s="108"/>
      <c r="R38" s="110"/>
    </row>
    <row r="39" ht="21.75" customHeight="1">
      <c r="A39" s="178"/>
      <c r="B39" s="12">
        <v>1650378.0</v>
      </c>
      <c r="C39" s="13">
        <v>45899.58435185185</v>
      </c>
      <c r="D39" s="179" t="s">
        <v>152</v>
      </c>
      <c r="E39" s="180" t="s">
        <v>517</v>
      </c>
      <c r="F39" s="181"/>
      <c r="G39" s="179" t="s">
        <v>1126</v>
      </c>
      <c r="H39" s="186"/>
      <c r="I39" s="186"/>
      <c r="J39" s="187" t="s">
        <v>2669</v>
      </c>
      <c r="K39" s="187"/>
      <c r="L39" s="184" t="str">
        <f>IFERROR(__xludf.DUMMYFUNCTION("ifna(IF(and(D39=""Saída"",J39=""Sangria""),if(sum(QUERY(IMPORTRANGE(""https://docs.google.com/spreadsheets/d/1E4szPcLzsqlw4uyBAoJ61L1ChCgpz4wVP8tHfHW1g_c"",""BD M Sangrias!a:i""),""select Col6 where Col7 = 'Depositada' and Col9 = '""&amp;K39&amp;""' and Col6 = """&amp;"&amp;M39&amp;"" and Col4 = date '""&amp;YEAR(C39)&amp;""-""&amp;MONTH(C39)&amp;""-""&amp;DAY(C39)&amp;""'""))&gt;0,""Depositada"",if(sum(QUERY(IMPORTRANGE(""https://docs.google.com/spreadsheets/d/1EcLIvUgMoBC5as4ikW0wuQsGH5yVZ6cQ1y16qEfgPnk"",""BD M Sangrias!a:i""),""select Col6 where Col7"&amp;" = 'Caixa Atendimento' and Col9 = '""&amp;K39&amp;""' and Col6 = ""&amp;M39&amp;"" and Col4 = date '""&amp;YEAR(C39)&amp;""-""&amp;MONTH(C39)&amp;""-""&amp;DAY(C39)&amp;""'""))&gt;0,""Caixa Atendimento"",""Caixa Sangria"")),""""),""Caixa Sangria"")"),"")</f>
        <v/>
      </c>
      <c r="M39" s="185">
        <f>IFERROR(__xludf.DUMMYFUNCTION("ifna(VALUE(REGEXEXTRACT(E39,""[0-9.]+[,]+[0-9]+"")))"),40.0)</f>
        <v>40</v>
      </c>
      <c r="N39" s="108"/>
      <c r="R39" s="110"/>
    </row>
    <row r="40" ht="14.25" customHeight="1">
      <c r="A40" s="178"/>
      <c r="B40" s="12">
        <v>1650519.0</v>
      </c>
      <c r="C40" s="13">
        <v>45899.62789351852</v>
      </c>
      <c r="D40" s="179" t="s">
        <v>81</v>
      </c>
      <c r="E40" s="180" t="s">
        <v>184</v>
      </c>
      <c r="F40" s="181"/>
      <c r="G40" s="179" t="s">
        <v>6293</v>
      </c>
      <c r="H40" s="186"/>
      <c r="I40" s="186"/>
      <c r="J40" s="187" t="s">
        <v>2735</v>
      </c>
      <c r="K40" s="187" t="s">
        <v>2018</v>
      </c>
      <c r="L40" s="184" t="str">
        <f>IFERROR(__xludf.DUMMYFUNCTION("ifna(IF(and(D40=""Saída"",J40=""Sangria""),if(sum(QUERY(IMPORTRANGE(""https://docs.google.com/spreadsheets/d/1E4szPcLzsqlw4uyBAoJ61L1ChCgpz4wVP8tHfHW1g_c"",""BD M Sangrias!a:i""),""select Col6 where Col7 = 'Depositada' and Col9 = '""&amp;K40&amp;""' and Col6 = """&amp;"&amp;M40&amp;"" and Col4 = date '""&amp;YEAR(C40)&amp;""-""&amp;MONTH(C40)&amp;""-""&amp;DAY(C40)&amp;""'""))&gt;0,""Depositada"",if(sum(QUERY(IMPORTRANGE(""https://docs.google.com/spreadsheets/d/1EcLIvUgMoBC5as4ikW0wuQsGH5yVZ6cQ1y16qEfgPnk"",""BD M Sangrias!a:i""),""select Col6 where Col7"&amp;" = 'Caixa Atendimento' and Col9 = '""&amp;K40&amp;""' and Col6 = ""&amp;M40&amp;"" and Col4 = date '""&amp;YEAR(C40)&amp;""-""&amp;MONTH(C40)&amp;""-""&amp;DAY(C40)&amp;""'""))&gt;0,""Caixa Atendimento"",""Caixa Sangria"")),""""),""Caixa Sangria"")"),"#REF!")</f>
        <v>#REF!</v>
      </c>
      <c r="M40" s="185">
        <f>IFERROR(__xludf.DUMMYFUNCTION("ifna(VALUE(REGEXEXTRACT(E40,""[0-9.]+[,]+[0-9]+"")))"),450.0)</f>
        <v>450</v>
      </c>
      <c r="N40" s="108"/>
      <c r="R40" s="110"/>
    </row>
    <row r="41" ht="14.25" customHeight="1">
      <c r="A41" s="178"/>
      <c r="B41" s="12">
        <v>1650531.0</v>
      </c>
      <c r="C41" s="13">
        <v>45899.63201388889</v>
      </c>
      <c r="D41" s="179" t="s">
        <v>81</v>
      </c>
      <c r="E41" s="180" t="s">
        <v>6298</v>
      </c>
      <c r="F41" s="181"/>
      <c r="G41" s="179" t="s">
        <v>4041</v>
      </c>
      <c r="H41" s="186"/>
      <c r="I41" s="186"/>
      <c r="J41" s="187" t="s">
        <v>3151</v>
      </c>
      <c r="K41" s="187"/>
      <c r="L41" s="184" t="str">
        <f>IFERROR(__xludf.DUMMYFUNCTION("ifna(IF(and(D41=""Saída"",J41=""Sangria""),if(sum(QUERY(IMPORTRANGE(""https://docs.google.com/spreadsheets/d/1E4szPcLzsqlw4uyBAoJ61L1ChCgpz4wVP8tHfHW1g_c"",""BD M Sangrias!a:i""),""select Col6 where Col7 = 'Depositada' and Col9 = '""&amp;K41&amp;""' and Col6 = """&amp;"&amp;M41&amp;"" and Col4 = date '""&amp;YEAR(C41)&amp;""-""&amp;MONTH(C41)&amp;""-""&amp;DAY(C41)&amp;""'""))&gt;0,""Depositada"",if(sum(QUERY(IMPORTRANGE(""https://docs.google.com/spreadsheets/d/1EcLIvUgMoBC5as4ikW0wuQsGH5yVZ6cQ1y16qEfgPnk"",""BD M Sangrias!a:i""),""select Col6 where Col7"&amp;" = 'Caixa Atendimento' and Col9 = '""&amp;K41&amp;""' and Col6 = ""&amp;M41&amp;"" and Col4 = date '""&amp;YEAR(C41)&amp;""-""&amp;MONTH(C41)&amp;""-""&amp;DAY(C41)&amp;""'""))&gt;0,""Caixa Atendimento"",""Caixa Sangria"")),""""),""Caixa Sangria"")"),"")</f>
        <v/>
      </c>
      <c r="M41" s="185">
        <f>IFERROR(__xludf.DUMMYFUNCTION("ifna(VALUE(REGEXEXTRACT(E41,""[0-9.]+[,]+[0-9]+"")))"),102.29)</f>
        <v>102.29</v>
      </c>
      <c r="N41" s="108"/>
      <c r="R41" s="110"/>
    </row>
    <row r="42" ht="14.25" customHeight="1">
      <c r="A42" s="178"/>
      <c r="B42" s="12">
        <v>1651146.0</v>
      </c>
      <c r="C42" s="13">
        <v>45899.760983796295</v>
      </c>
      <c r="D42" s="179" t="s">
        <v>81</v>
      </c>
      <c r="E42" s="180" t="s">
        <v>6306</v>
      </c>
      <c r="F42" s="181"/>
      <c r="G42" s="179" t="s">
        <v>6307</v>
      </c>
      <c r="H42" s="186"/>
      <c r="I42" s="186"/>
      <c r="J42" s="187" t="s">
        <v>2735</v>
      </c>
      <c r="K42" s="187" t="s">
        <v>2018</v>
      </c>
      <c r="L42" s="184" t="str">
        <f>IFERROR(__xludf.DUMMYFUNCTION("ifna(IF(and(D42=""Saída"",J42=""Sangria""),if(sum(QUERY(IMPORTRANGE(""https://docs.google.com/spreadsheets/d/1E4szPcLzsqlw4uyBAoJ61L1ChCgpz4wVP8tHfHW1g_c"",""BD M Sangrias!a:i""),""select Col6 where Col7 = 'Depositada' and Col9 = '""&amp;K42&amp;""' and Col6 = """&amp;"&amp;M42&amp;"" and Col4 = date '""&amp;YEAR(C42)&amp;""-""&amp;MONTH(C42)&amp;""-""&amp;DAY(C42)&amp;""'""))&gt;0,""Depositada"",if(sum(QUERY(IMPORTRANGE(""https://docs.google.com/spreadsheets/d/1EcLIvUgMoBC5as4ikW0wuQsGH5yVZ6cQ1y16qEfgPnk"",""BD M Sangrias!a:i""),""select Col6 where Col7"&amp;" = 'Caixa Atendimento' and Col9 = '""&amp;K42&amp;""' and Col6 = ""&amp;M42&amp;"" and Col4 = date '""&amp;YEAR(C42)&amp;""-""&amp;MONTH(C42)&amp;""-""&amp;DAY(C42)&amp;""'""))&gt;0,""Caixa Atendimento"",""Caixa Sangria"")),""""),""Caixa Sangria"")"),"#REF!")</f>
        <v>#REF!</v>
      </c>
      <c r="M42" s="185">
        <f>IFERROR(__xludf.DUMMYFUNCTION("ifna(VALUE(REGEXEXTRACT(E42,""[0-9.]+[,]+[0-9]+"")))"),1650.0)</f>
        <v>1650</v>
      </c>
      <c r="N42" s="108"/>
      <c r="R42" s="110"/>
    </row>
    <row r="43" ht="14.25" customHeight="1">
      <c r="A43" s="178"/>
      <c r="B43" s="12">
        <v>1651307.0</v>
      </c>
      <c r="C43" s="13">
        <v>45899.79313657407</v>
      </c>
      <c r="D43" s="179" t="s">
        <v>81</v>
      </c>
      <c r="E43" s="180" t="s">
        <v>162</v>
      </c>
      <c r="F43" s="181"/>
      <c r="G43" s="179" t="s">
        <v>388</v>
      </c>
      <c r="H43" s="189"/>
      <c r="I43" s="189"/>
      <c r="J43" s="187"/>
      <c r="K43" s="187"/>
      <c r="L43" s="184" t="str">
        <f>IFERROR(__xludf.DUMMYFUNCTION("ifna(IF(and(D43=""Saída"",J43=""Sangria""),if(sum(QUERY(IMPORTRANGE(""https://docs.google.com/spreadsheets/d/1E4szPcLzsqlw4uyBAoJ61L1ChCgpz4wVP8tHfHW1g_c"",""BD M Sangrias!a:i""),""select Col6 where Col7 = 'Depositada' and Col9 = '""&amp;K43&amp;""' and Col6 = """&amp;"&amp;M43&amp;"" and Col4 = date '""&amp;YEAR(C43)&amp;""-""&amp;MONTH(C43)&amp;""-""&amp;DAY(C43)&amp;""'""))&gt;0,""Depositada"",if(sum(QUERY(IMPORTRANGE(""https://docs.google.com/spreadsheets/d/1EcLIvUgMoBC5as4ikW0wuQsGH5yVZ6cQ1y16qEfgPnk"",""BD M Sangrias!a:i""),""select Col6 where Col7"&amp;" = 'Caixa Atendimento' and Col9 = '""&amp;K43&amp;""' and Col6 = ""&amp;M43&amp;"" and Col4 = date '""&amp;YEAR(C43)&amp;""-""&amp;MONTH(C43)&amp;""-""&amp;DAY(C43)&amp;""'""))&gt;0,""Caixa Atendimento"",""Caixa Sangria"")),""""),""Caixa Sangria"")"),"")</f>
        <v/>
      </c>
      <c r="M43" s="185">
        <f>IFERROR(__xludf.DUMMYFUNCTION("ifna(VALUE(REGEXEXTRACT(E43,""[0-9.]+[,]+[0-9]+"")))"),150.0)</f>
        <v>150</v>
      </c>
      <c r="N43" s="108"/>
      <c r="R43" s="110"/>
    </row>
    <row r="44" ht="14.25" customHeight="1">
      <c r="A44" s="178"/>
      <c r="B44" s="12">
        <v>1651575.0</v>
      </c>
      <c r="C44" s="13">
        <v>45899.849224537036</v>
      </c>
      <c r="D44" s="179" t="s">
        <v>81</v>
      </c>
      <c r="E44" s="180" t="s">
        <v>457</v>
      </c>
      <c r="F44" s="188"/>
      <c r="G44" s="179" t="s">
        <v>6314</v>
      </c>
      <c r="H44" s="189"/>
      <c r="I44" s="189"/>
      <c r="J44" s="187" t="s">
        <v>2735</v>
      </c>
      <c r="K44" s="187" t="s">
        <v>2018</v>
      </c>
      <c r="L44" s="184" t="str">
        <f>IFERROR(__xludf.DUMMYFUNCTION("ifna(IF(and(D44=""Saída"",J44=""Sangria""),if(sum(QUERY(IMPORTRANGE(""https://docs.google.com/spreadsheets/d/1E4szPcLzsqlw4uyBAoJ61L1ChCgpz4wVP8tHfHW1g_c"",""BD M Sangrias!a:i""),""select Col6 where Col7 = 'Depositada' and Col9 = '""&amp;K44&amp;""' and Col6 = """&amp;"&amp;M44&amp;"" and Col4 = date '""&amp;YEAR(C44)&amp;""-""&amp;MONTH(C44)&amp;""-""&amp;DAY(C44)&amp;""'""))&gt;0,""Depositada"",if(sum(QUERY(IMPORTRANGE(""https://docs.google.com/spreadsheets/d/1EcLIvUgMoBC5as4ikW0wuQsGH5yVZ6cQ1y16qEfgPnk"",""BD M Sangrias!a:i""),""select Col6 where Col7"&amp;" = 'Caixa Atendimento' and Col9 = '""&amp;K44&amp;""' and Col6 = ""&amp;M44&amp;"" and Col4 = date '""&amp;YEAR(C44)&amp;""-""&amp;MONTH(C44)&amp;""-""&amp;DAY(C44)&amp;""'""))&gt;0,""Caixa Atendimento"",""Caixa Sangria"")),""""),""Caixa Sangria"")"),"#REF!")</f>
        <v>#REF!</v>
      </c>
      <c r="M44" s="185">
        <f>IFERROR(__xludf.DUMMYFUNCTION("ifna(VALUE(REGEXEXTRACT(E44,""[0-9.]+[,]+[0-9]+"")))"),200.0)</f>
        <v>200</v>
      </c>
      <c r="N44" s="108"/>
      <c r="R44" s="110"/>
    </row>
    <row r="45" ht="14.25" customHeight="1">
      <c r="A45" s="178"/>
      <c r="B45" s="12">
        <v>1651910.0</v>
      </c>
      <c r="C45" s="13">
        <v>45899.91063657407</v>
      </c>
      <c r="D45" s="179" t="s">
        <v>81</v>
      </c>
      <c r="E45" s="180" t="s">
        <v>6319</v>
      </c>
      <c r="F45" s="181"/>
      <c r="G45" s="179" t="s">
        <v>5535</v>
      </c>
      <c r="H45" s="190"/>
      <c r="I45" s="190"/>
      <c r="J45" s="187" t="s">
        <v>2438</v>
      </c>
      <c r="K45" s="187"/>
      <c r="L45" s="184" t="str">
        <f>IFERROR(__xludf.DUMMYFUNCTION("ifna(IF(and(D45=""Saída"",J45=""Sangria""),if(sum(QUERY(IMPORTRANGE(""https://docs.google.com/spreadsheets/d/1E4szPcLzsqlw4uyBAoJ61L1ChCgpz4wVP8tHfHW1g_c"",""BD M Sangrias!a:i""),""select Col6 where Col7 = 'Depositada' and Col9 = '""&amp;K45&amp;""' and Col6 = """&amp;"&amp;M45&amp;"" and Col4 = date '""&amp;YEAR(C45)&amp;""-""&amp;MONTH(C45)&amp;""-""&amp;DAY(C45)&amp;""'""))&gt;0,""Depositada"",if(sum(QUERY(IMPORTRANGE(""https://docs.google.com/spreadsheets/d/1EcLIvUgMoBC5as4ikW0wuQsGH5yVZ6cQ1y16qEfgPnk"",""BD M Sangrias!a:i""),""select Col6 where Col7"&amp;" = 'Caixa Atendimento' and Col9 = '""&amp;K45&amp;""' and Col6 = ""&amp;M45&amp;"" and Col4 = date '""&amp;YEAR(C45)&amp;""-""&amp;MONTH(C45)&amp;""-""&amp;DAY(C45)&amp;""'""))&gt;0,""Caixa Atendimento"",""Caixa Sangria"")),""""),""Caixa Sangria"")"),"")</f>
        <v/>
      </c>
      <c r="M45" s="185">
        <f>IFERROR(__xludf.DUMMYFUNCTION("ifna(VALUE(REGEXEXTRACT(E45,""[0-9.]+[,]+[0-9]+"")))"),147.81)</f>
        <v>147.81</v>
      </c>
      <c r="N45" s="108"/>
      <c r="R45" s="110"/>
    </row>
    <row r="46" ht="18.75" customHeight="1">
      <c r="A46" s="178"/>
      <c r="B46" s="12">
        <v>1652832.0</v>
      </c>
      <c r="C46" s="13">
        <v>45900.622395833336</v>
      </c>
      <c r="D46" s="179" t="s">
        <v>81</v>
      </c>
      <c r="E46" s="180" t="s">
        <v>6322</v>
      </c>
      <c r="F46" s="181"/>
      <c r="G46" s="179" t="s">
        <v>5535</v>
      </c>
      <c r="H46" s="190"/>
      <c r="I46" s="190"/>
      <c r="J46" s="187" t="s">
        <v>2438</v>
      </c>
      <c r="K46" s="187"/>
      <c r="L46" s="184" t="str">
        <f>IFERROR(__xludf.DUMMYFUNCTION("ifna(IF(and(D46=""Saída"",J46=""Sangria""),if(sum(QUERY(IMPORTRANGE(""https://docs.google.com/spreadsheets/d/1E4szPcLzsqlw4uyBAoJ61L1ChCgpz4wVP8tHfHW1g_c"",""BD M Sangrias!a:i""),""select Col6 where Col7 = 'Depositada' and Col9 = '""&amp;K46&amp;""' and Col6 = """&amp;"&amp;M46&amp;"" and Col4 = date '""&amp;YEAR(C46)&amp;""-""&amp;MONTH(C46)&amp;""-""&amp;DAY(C46)&amp;""'""))&gt;0,""Depositada"",if(sum(QUERY(IMPORTRANGE(""https://docs.google.com/spreadsheets/d/1EcLIvUgMoBC5as4ikW0wuQsGH5yVZ6cQ1y16qEfgPnk"",""BD M Sangrias!a:i""),""select Col6 where Col7"&amp;" = 'Caixa Atendimento' and Col9 = '""&amp;K46&amp;""' and Col6 = ""&amp;M46&amp;"" and Col4 = date '""&amp;YEAR(C46)&amp;""-""&amp;MONTH(C46)&amp;""-""&amp;DAY(C46)&amp;""'""))&gt;0,""Caixa Atendimento"",""Caixa Sangria"")),""""),""Caixa Sangria"")"),"")</f>
        <v/>
      </c>
      <c r="M46" s="185">
        <f>IFERROR(__xludf.DUMMYFUNCTION("ifna(VALUE(REGEXEXTRACT(E46,""[0-9.]+[,]+[0-9]+"")))"),37.74)</f>
        <v>37.74</v>
      </c>
      <c r="N46" s="108"/>
      <c r="R46" s="110"/>
    </row>
    <row r="47" ht="14.25" customHeight="1">
      <c r="A47" s="178"/>
      <c r="B47" s="12">
        <v>1654163.0</v>
      </c>
      <c r="C47" s="13">
        <v>45900.84774305556</v>
      </c>
      <c r="D47" s="179" t="s">
        <v>81</v>
      </c>
      <c r="E47" s="180" t="s">
        <v>6326</v>
      </c>
      <c r="F47" s="181"/>
      <c r="G47" s="179" t="s">
        <v>6327</v>
      </c>
      <c r="H47" s="190"/>
      <c r="I47" s="190"/>
      <c r="J47" s="187" t="s">
        <v>3151</v>
      </c>
      <c r="K47" s="187"/>
      <c r="L47" s="184" t="str">
        <f>IFERROR(__xludf.DUMMYFUNCTION("ifna(IF(and(D47=""Saída"",J47=""Sangria""),if(sum(QUERY(IMPORTRANGE(""https://docs.google.com/spreadsheets/d/1E4szPcLzsqlw4uyBAoJ61L1ChCgpz4wVP8tHfHW1g_c"",""BD M Sangrias!a:i""),""select Col6 where Col7 = 'Depositada' and Col9 = '""&amp;K48&amp;""' and Col6 = """&amp;"&amp;M47&amp;"" and Col4 = date '""&amp;YEAR(C47)&amp;""-""&amp;MONTH(C47)&amp;""-""&amp;DAY(C47)&amp;""'""))&gt;0,""Depositada"",if(sum(QUERY(IMPORTRANGE(""https://docs.google.com/spreadsheets/d/1EcLIvUgMoBC5as4ikW0wuQsGH5yVZ6cQ1y16qEfgPnk"",""BD M Sangrias!a:i""),""select Col6 where Col7"&amp;" = 'Caixa Atendimento' and Col9 = '""&amp;K48&amp;""' and Col6 = ""&amp;M47&amp;"" and Col4 = date '""&amp;YEAR(C47)&amp;""-""&amp;MONTH(C47)&amp;""-""&amp;DAY(C47)&amp;""'""))&gt;0,""Caixa Atendimento"",""Caixa Sangria"")),""""),""Caixa Sangria"")"),"")</f>
        <v/>
      </c>
      <c r="M47" s="185">
        <f>IFERROR(__xludf.DUMMYFUNCTION("ifna(VALUE(REGEXEXTRACT(E47,""[0-9.]+[,]+[0-9]+"")))"),566.0)</f>
        <v>566</v>
      </c>
      <c r="R47" s="110"/>
    </row>
    <row r="48">
      <c r="A48" s="178"/>
      <c r="B48" s="12">
        <v>1654183.0</v>
      </c>
      <c r="C48" s="13">
        <v>45900.85045138889</v>
      </c>
      <c r="D48" s="179" t="s">
        <v>81</v>
      </c>
      <c r="E48" s="180" t="s">
        <v>3515</v>
      </c>
      <c r="F48" s="181"/>
      <c r="G48" s="179" t="s">
        <v>5841</v>
      </c>
      <c r="H48" s="190"/>
      <c r="I48" s="190"/>
      <c r="J48" s="187" t="s">
        <v>1782</v>
      </c>
      <c r="K48" s="187"/>
      <c r="L48" s="184" t="str">
        <f>IFERROR(__xludf.DUMMYFUNCTION("ifna(IF(and(D48=""Saída"",J48=""Sangria""),if(sum(QUERY(IMPORTRANGE(""https://docs.google.com/spreadsheets/d/1E4szPcLzsqlw4uyBAoJ61L1ChCgpz4wVP8tHfHW1g_c"",""BD M Sangrias!a:i""),""select Col6 where Col7 = 'Depositada' and Col9 = '""&amp;#REF!&amp;""' and Col6 = "&amp;"""&amp;M48&amp;"" and Col4 = date '""&amp;YEAR(C48)&amp;""-""&amp;MONTH(C48)&amp;""-""&amp;DAY(C48)&amp;""'""))&gt;0,""Depositada"",if(sum(QUERY(IMPORTRANGE(""https://docs.google.com/spreadsheets/d/1EcLIvUgMoBC5as4ikW0wuQsGH5yVZ6cQ1y16qEfgPnk"",""BD M Sangrias!a:i""),""select Col6 where Co"&amp;"l7 = 'Caixa Atendimento' and Col9 = '""&amp;#REF!&amp;""' and Col6 = ""&amp;M48&amp;"" and Col4 = date '""&amp;YEAR(C48)&amp;""-""&amp;MONTH(C48)&amp;""-""&amp;DAY(C48)&amp;""'""))&gt;0,""Caixa Atendimento"",""Caixa Sangria"")),""""),""Caixa Sangria"")"),"")</f>
        <v/>
      </c>
      <c r="M48" s="185">
        <f>IFERROR(__xludf.DUMMYFUNCTION("ifna(VALUE(REGEXEXTRACT(E48,""[0-9.]+[,]+[0-9]+"")))"),240.0)</f>
        <v>240</v>
      </c>
      <c r="N48" s="193" t="str">
        <f>B8</f>
        <v/>
      </c>
      <c r="O48" s="106"/>
      <c r="P48" s="106"/>
      <c r="Q48" s="106"/>
      <c r="R48" s="110"/>
      <c r="S48" s="123" t="str">
        <f>B9</f>
        <v/>
      </c>
      <c r="T48" s="106"/>
      <c r="U48" s="106"/>
      <c r="V48" s="124"/>
    </row>
    <row r="49" ht="14.25" customHeight="1">
      <c r="A49" s="178"/>
      <c r="B49" s="12">
        <v>1654239.0</v>
      </c>
      <c r="C49" s="13">
        <v>45900.860972222225</v>
      </c>
      <c r="D49" s="179" t="s">
        <v>152</v>
      </c>
      <c r="E49" s="180" t="s">
        <v>1234</v>
      </c>
      <c r="F49" s="181"/>
      <c r="G49" s="179" t="s">
        <v>6341</v>
      </c>
      <c r="H49" s="190"/>
      <c r="I49" s="190"/>
      <c r="J49" s="187"/>
      <c r="K49" s="187"/>
      <c r="L49" s="184" t="str">
        <f>IFERROR(__xludf.DUMMYFUNCTION("ifna(IF(and(D49=""Saída"",J49=""Sangria""),if(sum(QUERY(IMPORTRANGE(""https://docs.google.com/spreadsheets/d/1E4szPcLzsqlw4uyBAoJ61L1ChCgpz4wVP8tHfHW1g_c"",""BD M Sangrias!a:i""),""select Col6 where Col7 = 'Depositada' and Col9 = '""&amp;K49&amp;""' and Col6 = """&amp;"&amp;M49&amp;"" and Col4 = date '""&amp;YEAR(C49)&amp;""-""&amp;MONTH(C49)&amp;""-""&amp;DAY(C49)&amp;""'""))&gt;0,""Depositada"",if(sum(QUERY(IMPORTRANGE(""https://docs.google.com/spreadsheets/d/1EcLIvUgMoBC5as4ikW0wuQsGH5yVZ6cQ1y16qEfgPnk"",""BD M Sangrias!a:i""),""select Col6 where Col7"&amp;" = 'Caixa Atendimento' and Col9 = '""&amp;K49&amp;""' and Col6 = ""&amp;M49&amp;"" and Col4 = date '""&amp;YEAR(C49)&amp;""-""&amp;MONTH(C49)&amp;""-""&amp;DAY(C49)&amp;""'""))&gt;0,""Caixa Atendimento"",""Caixa Sangria"")),""""),""Caixa Sangria"")"),"")</f>
        <v/>
      </c>
      <c r="M49" s="185">
        <f>IFERROR(__xludf.DUMMYFUNCTION("ifna(VALUE(REGEXEXTRACT(E49,""[0-9.]+[,]+[0-9]+"")))"),73.0)</f>
        <v>73</v>
      </c>
      <c r="N49" s="46" t="str">
        <f>IFERROR(__xludf.DUMMYFUNCTION("query(C28:L504,""select Col1,Col3,Col8,Col9 where (Col8 = 'Adiantamento' or Col8 = 'Consumo') and Col9 = '""&amp;B8&amp;""'"",1)"),"Data")</f>
        <v>Data</v>
      </c>
      <c r="O49" s="47" t="str">
        <f>IFERROR(__xludf.DUMMYFUNCTION("""COMPUTED_VALUE"""),"Valor ")</f>
        <v>Valor </v>
      </c>
      <c r="P49" s="47" t="str">
        <f>IFERROR(__xludf.DUMMYFUNCTION("""COMPUTED_VALUE"""),"Tipo")</f>
        <v>Tipo</v>
      </c>
      <c r="Q49" s="47" t="str">
        <f>IFERROR(__xludf.DUMMYFUNCTION("""COMPUTED_VALUE"""),"Funcionário")</f>
        <v>Funcionário</v>
      </c>
      <c r="R49" s="49"/>
      <c r="S49" s="50" t="str">
        <f>IFERROR(__xludf.DUMMYFUNCTION("query(C28:L504,""select Col1,Col3,Col8,Col9 where (Col8 = 'Adiantamento' or Col8 = 'Consumo') and Col9 = '""&amp;B9&amp;""'"",1)"),"Data")</f>
        <v>Data</v>
      </c>
      <c r="T49" s="50" t="str">
        <f>IFERROR(__xludf.DUMMYFUNCTION("""COMPUTED_VALUE"""),"Valor ")</f>
        <v>Valor </v>
      </c>
      <c r="U49" s="50" t="str">
        <f>IFERROR(__xludf.DUMMYFUNCTION("""COMPUTED_VALUE"""),"Tipo")</f>
        <v>Tipo</v>
      </c>
      <c r="V49" s="51" t="str">
        <f>IFERROR(__xludf.DUMMYFUNCTION("""COMPUTED_VALUE"""),"Funcionário")</f>
        <v>Funcionário</v>
      </c>
    </row>
    <row r="50" ht="14.25" customHeight="1">
      <c r="A50" s="178"/>
      <c r="B50" s="12">
        <v>1655002.0</v>
      </c>
      <c r="C50" s="13">
        <v>45900.945243055554</v>
      </c>
      <c r="D50" s="179" t="s">
        <v>152</v>
      </c>
      <c r="E50" s="180" t="s">
        <v>6351</v>
      </c>
      <c r="F50" s="181"/>
      <c r="G50" s="179" t="s">
        <v>5296</v>
      </c>
      <c r="H50" s="190"/>
      <c r="I50" s="190"/>
      <c r="J50" s="187" t="s">
        <v>5195</v>
      </c>
      <c r="K50" s="187"/>
      <c r="L50" s="184" t="str">
        <f>IFERROR(__xludf.DUMMYFUNCTION("ifna(IF(and(D50=""Saída"",J50=""Sangria""),if(sum(QUERY(IMPORTRANGE(""https://docs.google.com/spreadsheets/d/1E4szPcLzsqlw4uyBAoJ61L1ChCgpz4wVP8tHfHW1g_c"",""BD M Sangrias!a:i""),""select Col6 where Col7 = 'Depositada' and Col9 = '""&amp;K50&amp;""' and Col6 = """&amp;"&amp;M50&amp;"" and Col4 = date '""&amp;YEAR(C50)&amp;""-""&amp;MONTH(C50)&amp;""-""&amp;DAY(C50)&amp;""'""))&gt;0,""Depositada"",if(sum(QUERY(IMPORTRANGE(""https://docs.google.com/spreadsheets/d/1EcLIvUgMoBC5as4ikW0wuQsGH5yVZ6cQ1y16qEfgPnk"",""BD M Sangrias!a:i""),""select Col6 where Col7"&amp;" = 'Caixa Atendimento' and Col9 = '""&amp;K50&amp;""' and Col6 = ""&amp;M50&amp;"" and Col4 = date '""&amp;YEAR(C50)&amp;""-""&amp;MONTH(C50)&amp;""-""&amp;DAY(C50)&amp;""'""))&gt;0,""Caixa Atendimento"",""Caixa Sangria"")),""""),""Caixa Sangria"")"),"")</f>
        <v/>
      </c>
      <c r="M50" s="185">
        <f>IFERROR(__xludf.DUMMYFUNCTION("ifna(VALUE(REGEXEXTRACT(E50,""[0-9.]+[,]+[0-9]+"")))"),105.0)</f>
        <v>105</v>
      </c>
      <c r="N50" s="52"/>
      <c r="O50" s="53"/>
      <c r="P50" s="53"/>
      <c r="Q50" s="53"/>
      <c r="R50" s="55"/>
      <c r="S50" s="53"/>
      <c r="T50" s="53"/>
      <c r="U50" s="53"/>
      <c r="V50" s="54"/>
    </row>
    <row r="51" ht="19.5" customHeight="1">
      <c r="A51" s="178"/>
      <c r="B51" s="12">
        <v>1655006.0</v>
      </c>
      <c r="C51" s="13">
        <v>45900.94613425926</v>
      </c>
      <c r="D51" s="179" t="s">
        <v>81</v>
      </c>
      <c r="E51" s="180" t="s">
        <v>6351</v>
      </c>
      <c r="F51" s="181"/>
      <c r="G51" s="179" t="s">
        <v>6352</v>
      </c>
      <c r="H51" s="190"/>
      <c r="I51" s="190"/>
      <c r="J51" s="187" t="s">
        <v>3151</v>
      </c>
      <c r="K51" s="187"/>
      <c r="L51" s="184" t="str">
        <f>IFERROR(__xludf.DUMMYFUNCTION("ifna(IF(and(D51=""Saída"",J51=""Sangria""),if(sum(QUERY(IMPORTRANGE(""https://docs.google.com/spreadsheets/d/1E4szPcLzsqlw4uyBAoJ61L1ChCgpz4wVP8tHfHW1g_c"",""BD M Sangrias!a:i""),""select Col6 where Col7 = 'Depositada' and Col9 = '""&amp;K51&amp;""' and Col6 = """&amp;"&amp;M51&amp;"" and Col4 = date '""&amp;YEAR(C51)&amp;""-""&amp;MONTH(C51)&amp;""-""&amp;DAY(C51)&amp;""'""))&gt;0,""Depositada"",if(sum(QUERY(IMPORTRANGE(""https://docs.google.com/spreadsheets/d/1EcLIvUgMoBC5as4ikW0wuQsGH5yVZ6cQ1y16qEfgPnk"",""BD M Sangrias!a:i""),""select Col6 where Col7"&amp;" = 'Caixa Atendimento' and Col9 = '""&amp;K51&amp;""' and Col6 = ""&amp;M51&amp;"" and Col4 = date '""&amp;YEAR(C51)&amp;""-""&amp;MONTH(C51)&amp;""-""&amp;DAY(C51)&amp;""'""))&gt;0,""Caixa Atendimento"",""Caixa Sangria"")),""""),""Caixa Sangria"")"),"")</f>
        <v/>
      </c>
      <c r="M51" s="185">
        <f>IFERROR(__xludf.DUMMYFUNCTION("ifna(VALUE(REGEXEXTRACT(E51,""[0-9.]+[,]+[0-9]+"")))"),105.0)</f>
        <v>105</v>
      </c>
      <c r="N51" s="52"/>
      <c r="O51" s="53"/>
      <c r="P51" s="53"/>
      <c r="Q51" s="53"/>
      <c r="R51" s="55"/>
      <c r="S51" s="53"/>
      <c r="T51" s="53"/>
      <c r="U51" s="53"/>
      <c r="V51" s="54"/>
    </row>
    <row r="52" ht="14.25" customHeight="1">
      <c r="A52" s="178"/>
      <c r="B52" s="12">
        <v>1655194.0</v>
      </c>
      <c r="C52" s="13">
        <v>45900.96994212963</v>
      </c>
      <c r="D52" s="179" t="s">
        <v>81</v>
      </c>
      <c r="E52" s="180" t="s">
        <v>6353</v>
      </c>
      <c r="F52" s="181"/>
      <c r="G52" s="179" t="s">
        <v>5825</v>
      </c>
      <c r="H52" s="190"/>
      <c r="I52" s="190"/>
      <c r="J52" s="187" t="s">
        <v>1782</v>
      </c>
      <c r="K52" s="187"/>
      <c r="L52" s="184" t="str">
        <f>IFERROR(__xludf.DUMMYFUNCTION("ifna(IF(and(D52=""Saída"",J52=""Sangria""),if(sum(QUERY(IMPORTRANGE(""https://docs.google.com/spreadsheets/d/1E4szPcLzsqlw4uyBAoJ61L1ChCgpz4wVP8tHfHW1g_c"",""BD M Sangrias!a:i""),""select Col6 where Col7 = 'Depositada' and Col9 = '""&amp;K52&amp;""' and Col6 = """&amp;"&amp;M52&amp;"" and Col4 = date '""&amp;YEAR(C52)&amp;""-""&amp;MONTH(C52)&amp;""-""&amp;DAY(C52)&amp;""'""))&gt;0,""Depositada"",if(sum(QUERY(IMPORTRANGE(""https://docs.google.com/spreadsheets/d/1EcLIvUgMoBC5as4ikW0wuQsGH5yVZ6cQ1y16qEfgPnk"",""BD M Sangrias!a:i""),""select Col6 where Col7"&amp;" = 'Caixa Atendimento' and Col9 = '""&amp;K52&amp;""' and Col6 = ""&amp;M52&amp;"" and Col4 = date '""&amp;YEAR(C52)&amp;""-""&amp;MONTH(C52)&amp;""-""&amp;DAY(C52)&amp;""'""))&gt;0,""Caixa Atendimento"",""Caixa Sangria"")),""""),""Caixa Sangria"")"),"")</f>
        <v/>
      </c>
      <c r="M52" s="185">
        <f>IFERROR(__xludf.DUMMYFUNCTION("ifna(VALUE(REGEXEXTRACT(E52,""[0-9.]+[,]+[0-9]+"")))"),407.5)</f>
        <v>407.5</v>
      </c>
      <c r="N52" s="52"/>
      <c r="O52" s="53"/>
      <c r="P52" s="53"/>
      <c r="Q52" s="53"/>
      <c r="R52" s="55"/>
      <c r="S52" s="53"/>
      <c r="T52" s="53"/>
      <c r="U52" s="53"/>
      <c r="V52" s="54"/>
    </row>
    <row r="53" ht="14.25" customHeight="1">
      <c r="A53" s="178"/>
      <c r="B53" s="12">
        <v>1655195.0</v>
      </c>
      <c r="C53" s="13">
        <v>45900.970347222225</v>
      </c>
      <c r="D53" s="179" t="s">
        <v>81</v>
      </c>
      <c r="E53" s="180" t="s">
        <v>6354</v>
      </c>
      <c r="F53" s="181"/>
      <c r="G53" s="179" t="s">
        <v>6355</v>
      </c>
      <c r="H53" s="190"/>
      <c r="I53" s="190"/>
      <c r="J53" s="187" t="s">
        <v>1782</v>
      </c>
      <c r="K53" s="187"/>
      <c r="L53" s="184" t="str">
        <f>IFERROR(__xludf.DUMMYFUNCTION("ifna(IF(and(D53=""Saída"",J53=""Sangria""),if(sum(QUERY(IMPORTRANGE(""https://docs.google.com/spreadsheets/d/1E4szPcLzsqlw4uyBAoJ61L1ChCgpz4wVP8tHfHW1g_c"",""BD M Sangrias!a:i""),""select Col6 where Col7 = 'Depositada' and Col9 = '""&amp;K53&amp;""' and Col6 = """&amp;"&amp;M53&amp;"" and Col4 = date '""&amp;YEAR(C53)&amp;""-""&amp;MONTH(C53)&amp;""-""&amp;DAY(C53)&amp;""'""))&gt;0,""Depositada"",if(sum(QUERY(IMPORTRANGE(""https://docs.google.com/spreadsheets/d/1EcLIvUgMoBC5as4ikW0wuQsGH5yVZ6cQ1y16qEfgPnk"",""BD M Sangrias!a:i""),""select Col6 where Col7"&amp;" = 'Caixa Atendimento' and Col9 = '""&amp;K53&amp;""' and Col6 = ""&amp;M53&amp;"" and Col4 = date '""&amp;YEAR(C53)&amp;""-""&amp;MONTH(C53)&amp;""-""&amp;DAY(C53)&amp;""'""))&gt;0,""Caixa Atendimento"",""Caixa Sangria"")),""""),""Caixa Sangria"")"),"")</f>
        <v/>
      </c>
      <c r="M53" s="185">
        <f>IFERROR(__xludf.DUMMYFUNCTION("ifna(VALUE(REGEXEXTRACT(E53,""[0-9.]+[,]+[0-9]+"")))"),201.0)</f>
        <v>201</v>
      </c>
      <c r="N53" s="52"/>
      <c r="O53" s="53"/>
      <c r="P53" s="53"/>
      <c r="Q53" s="53"/>
      <c r="R53" s="55"/>
      <c r="S53" s="53"/>
      <c r="T53" s="53"/>
      <c r="U53" s="53"/>
      <c r="V53" s="54"/>
    </row>
    <row r="54" ht="14.25" customHeight="1">
      <c r="A54" s="178"/>
      <c r="B54" s="12">
        <v>1655206.0</v>
      </c>
      <c r="C54" s="13">
        <v>45900.97215277778</v>
      </c>
      <c r="D54" s="179" t="s">
        <v>81</v>
      </c>
      <c r="E54" s="180" t="s">
        <v>1293</v>
      </c>
      <c r="F54" s="188"/>
      <c r="G54" s="179" t="s">
        <v>381</v>
      </c>
      <c r="H54" s="190"/>
      <c r="I54" s="190"/>
      <c r="J54" s="187" t="s">
        <v>2735</v>
      </c>
      <c r="K54" s="187" t="s">
        <v>1894</v>
      </c>
      <c r="L54" s="184" t="str">
        <f>IFERROR(__xludf.DUMMYFUNCTION("ifna(IF(and(D54=""Saída"",J54=""Sangria""),if(sum(QUERY(IMPORTRANGE(""https://docs.google.com/spreadsheets/d/1E4szPcLzsqlw4uyBAoJ61L1ChCgpz4wVP8tHfHW1g_c"",""BD M Sangrias!a:i""),""select Col6 where Col7 = 'Depositada' and Col9 = '""&amp;K54&amp;""' and Col6 = """&amp;"&amp;M54&amp;"" and Col4 = date '""&amp;YEAR(C54)&amp;""-""&amp;MONTH(C54)&amp;""-""&amp;DAY(C54)&amp;""'""))&gt;0,""Depositada"",if(sum(QUERY(IMPORTRANGE(""https://docs.google.com/spreadsheets/d/1EcLIvUgMoBC5as4ikW0wuQsGH5yVZ6cQ1y16qEfgPnk"",""BD M Sangrias!a:i""),""select Col6 where Col7"&amp;" = 'Caixa Atendimento' and Col9 = '""&amp;K54&amp;""' and Col6 = ""&amp;M54&amp;"" and Col4 = date '""&amp;YEAR(C54)&amp;""-""&amp;MONTH(C54)&amp;""-""&amp;DAY(C54)&amp;""'""))&gt;0,""Caixa Atendimento"",""Caixa Sangria"")),""""),""Caixa Sangria"")"),"#REF!")</f>
        <v>#REF!</v>
      </c>
      <c r="M54" s="185">
        <f>IFERROR(__xludf.DUMMYFUNCTION("ifna(VALUE(REGEXEXTRACT(E54,""[0-9.]+[,]+[0-9]+"")))"),1150.0)</f>
        <v>1150</v>
      </c>
      <c r="N54" s="52"/>
      <c r="O54" s="53"/>
      <c r="P54" s="53"/>
      <c r="Q54" s="53"/>
      <c r="R54" s="55"/>
      <c r="S54" s="53"/>
      <c r="T54" s="53"/>
      <c r="U54" s="53"/>
      <c r="V54" s="54"/>
    </row>
    <row r="55" ht="14.25" customHeight="1">
      <c r="A55" s="178"/>
      <c r="B55" s="12">
        <v>1655748.0</v>
      </c>
      <c r="C55" s="13">
        <v>45901.64979166666</v>
      </c>
      <c r="D55" s="179" t="s">
        <v>81</v>
      </c>
      <c r="E55" s="180" t="s">
        <v>6358</v>
      </c>
      <c r="F55" s="181"/>
      <c r="G55" s="179" t="s">
        <v>5718</v>
      </c>
      <c r="H55" s="190"/>
      <c r="I55" s="190"/>
      <c r="J55" s="187" t="s">
        <v>2436</v>
      </c>
      <c r="K55" s="187"/>
      <c r="L55" s="184" t="str">
        <f>IFERROR(__xludf.DUMMYFUNCTION("ifna(IF(and(D55=""Saída"",J55=""Sangria""),if(sum(QUERY(IMPORTRANGE(""https://docs.google.com/spreadsheets/d/1E4szPcLzsqlw4uyBAoJ61L1ChCgpz4wVP8tHfHW1g_c"",""BD M Sangrias!a:i""),""select Col6 where Col7 = 'Depositada' and Col9 = '""&amp;K55&amp;""' and Col6 = """&amp;"&amp;M55&amp;"" and Col4 = date '""&amp;YEAR(C55)&amp;""-""&amp;MONTH(C55)&amp;""-""&amp;DAY(C55)&amp;""'""))&gt;0,""Depositada"",if(sum(QUERY(IMPORTRANGE(""https://docs.google.com/spreadsheets/d/1EcLIvUgMoBC5as4ikW0wuQsGH5yVZ6cQ1y16qEfgPnk"",""BD M Sangrias!a:i""),""select Col6 where Col7"&amp;" = 'Caixa Atendimento' and Col9 = '""&amp;K55&amp;""' and Col6 = ""&amp;M55&amp;"" and Col4 = date '""&amp;YEAR(C55)&amp;""-""&amp;MONTH(C55)&amp;""-""&amp;DAY(C55)&amp;""'""))&gt;0,""Caixa Atendimento"",""Caixa Sangria"")),""""),""Caixa Sangria"")"),"")</f>
        <v/>
      </c>
      <c r="M55" s="185">
        <f>IFERROR(__xludf.DUMMYFUNCTION("ifna(VALUE(REGEXEXTRACT(E55,""[0-9.]+[,]+[0-9]+"")))"),332.0)</f>
        <v>332</v>
      </c>
      <c r="N55" s="52"/>
      <c r="O55" s="79"/>
      <c r="P55" s="79"/>
      <c r="Q55" s="79"/>
      <c r="R55" s="81"/>
      <c r="S55" s="79"/>
      <c r="T55" s="79"/>
      <c r="U55" s="79"/>
      <c r="V55" s="80"/>
    </row>
    <row r="56" ht="14.25" customHeight="1">
      <c r="A56" s="178"/>
      <c r="B56" s="12">
        <v>1656610.0</v>
      </c>
      <c r="C56" s="13">
        <v>45901.9034837963</v>
      </c>
      <c r="D56" s="179" t="s">
        <v>81</v>
      </c>
      <c r="E56" s="180" t="s">
        <v>5437</v>
      </c>
      <c r="F56" s="188"/>
      <c r="G56" s="179" t="s">
        <v>6364</v>
      </c>
      <c r="H56" s="190"/>
      <c r="I56" s="190"/>
      <c r="J56" s="187" t="s">
        <v>2735</v>
      </c>
      <c r="K56" s="187" t="s">
        <v>2018</v>
      </c>
      <c r="L56" s="184" t="str">
        <f>IFERROR(__xludf.DUMMYFUNCTION("ifna(IF(and(D56=""Saída"",J56=""Sangria""),if(sum(QUERY(IMPORTRANGE(""https://docs.google.com/spreadsheets/d/1E4szPcLzsqlw4uyBAoJ61L1ChCgpz4wVP8tHfHW1g_c"",""BD M Sangrias!a:i""),""select Col6 where Col7 = 'Depositada' and Col9 = '""&amp;K56&amp;""' and Col6 = """&amp;"&amp;M56&amp;"" and Col4 = date '""&amp;YEAR(C56)&amp;""-""&amp;MONTH(C56)&amp;""-""&amp;DAY(C56)&amp;""'""))&gt;0,""Depositada"",if(sum(QUERY(IMPORTRANGE(""https://docs.google.com/spreadsheets/d/1EcLIvUgMoBC5as4ikW0wuQsGH5yVZ6cQ1y16qEfgPnk"",""BD M Sangrias!a:i""),""select Col6 where Col7"&amp;" = 'Caixa Atendimento' and Col9 = '""&amp;K56&amp;""' and Col6 = ""&amp;M56&amp;"" and Col4 = date '""&amp;YEAR(C56)&amp;""-""&amp;MONTH(C56)&amp;""-""&amp;DAY(C56)&amp;""'""))&gt;0,""Caixa Atendimento"",""Caixa Sangria"")),""""),""Caixa Sangria"")"),"#REF!")</f>
        <v>#REF!</v>
      </c>
      <c r="M56" s="185">
        <f>IFERROR(__xludf.DUMMYFUNCTION("ifna(VALUE(REGEXEXTRACT(E56,""[0-9.]+[,]+[0-9]+"")))"),600.0)</f>
        <v>600</v>
      </c>
      <c r="N56" s="88"/>
      <c r="O56" s="89"/>
      <c r="P56" s="89"/>
      <c r="Q56" s="89"/>
      <c r="R56" s="91"/>
      <c r="S56" s="89"/>
      <c r="T56" s="89"/>
      <c r="U56" s="89"/>
      <c r="V56" s="90"/>
    </row>
    <row r="57" ht="17.25" customHeight="1">
      <c r="A57" s="178"/>
      <c r="B57" s="12">
        <v>1657445.0</v>
      </c>
      <c r="C57" s="13">
        <v>45902.67528935185</v>
      </c>
      <c r="D57" s="179" t="s">
        <v>152</v>
      </c>
      <c r="E57" s="180" t="s">
        <v>402</v>
      </c>
      <c r="F57" s="181"/>
      <c r="G57" s="179" t="s">
        <v>267</v>
      </c>
      <c r="H57" s="190"/>
      <c r="I57" s="190"/>
      <c r="J57" s="187" t="s">
        <v>2669</v>
      </c>
      <c r="K57" s="187"/>
      <c r="L57" s="184" t="str">
        <f>IFERROR(__xludf.DUMMYFUNCTION("ifna(IF(and(D57=""Saída"",J57=""Sangria""),if(sum(QUERY(IMPORTRANGE(""https://docs.google.com/spreadsheets/d/1E4szPcLzsqlw4uyBAoJ61L1ChCgpz4wVP8tHfHW1g_c"",""BD M Sangrias!a:i""),""select Col6 where Col7 = 'Depositada' and Col9 = '""&amp;K57&amp;""' and Col6 = """&amp;"&amp;M57&amp;"" and Col4 = date '""&amp;YEAR(C57)&amp;""-""&amp;MONTH(C57)&amp;""-""&amp;DAY(C57)&amp;""'""))&gt;0,""Depositada"",if(sum(QUERY(IMPORTRANGE(""https://docs.google.com/spreadsheets/d/1EcLIvUgMoBC5as4ikW0wuQsGH5yVZ6cQ1y16qEfgPnk"",""BD M Sangrias!a:i""),""select Col6 where Col7"&amp;" = 'Caixa Atendimento' and Col9 = '""&amp;K57&amp;""' and Col6 = ""&amp;M57&amp;"" and Col4 = date '""&amp;YEAR(C57)&amp;""-""&amp;MONTH(C57)&amp;""-""&amp;DAY(C57)&amp;""'""))&gt;0,""Caixa Atendimento"",""Caixa Sangria"")),""""),""Caixa Sangria"")"),"")</f>
        <v/>
      </c>
      <c r="M57" s="185">
        <f>IFERROR(__xludf.DUMMYFUNCTION("ifna(VALUE(REGEXEXTRACT(E57,""[0-9.]+[,]+[0-9]+"")))"),20.0)</f>
        <v>20</v>
      </c>
      <c r="N57" s="88"/>
      <c r="O57" s="89"/>
      <c r="P57" s="89"/>
      <c r="Q57" s="89"/>
      <c r="R57" s="91"/>
      <c r="S57" s="89"/>
      <c r="T57" s="89"/>
      <c r="U57" s="89"/>
      <c r="V57" s="90"/>
    </row>
    <row r="58" ht="14.25" customHeight="1">
      <c r="A58" s="178"/>
      <c r="B58" s="12">
        <v>1657941.0</v>
      </c>
      <c r="C58" s="13">
        <v>45902.812418981484</v>
      </c>
      <c r="D58" s="179" t="s">
        <v>81</v>
      </c>
      <c r="E58" s="180" t="s">
        <v>6370</v>
      </c>
      <c r="F58" s="181"/>
      <c r="G58" s="179" t="s">
        <v>6372</v>
      </c>
      <c r="H58" s="190"/>
      <c r="I58" s="190"/>
      <c r="J58" s="187" t="s">
        <v>3151</v>
      </c>
      <c r="K58" s="187"/>
      <c r="L58" s="184" t="str">
        <f>IFERROR(__xludf.DUMMYFUNCTION("ifna(IF(and(D58=""Saída"",J58=""Sangria""),if(sum(QUERY(IMPORTRANGE(""https://docs.google.com/spreadsheets/d/1E4szPcLzsqlw4uyBAoJ61L1ChCgpz4wVP8tHfHW1g_c"",""BD M Sangrias!a:i""),""select Col6 where Col7 = 'Depositada' and Col9 = '""&amp;K58&amp;""' and Col6 = """&amp;"&amp;M58&amp;"" and Col4 = date '""&amp;YEAR(C58)&amp;""-""&amp;MONTH(C58)&amp;""-""&amp;DAY(C58)&amp;""'""))&gt;0,""Depositada"",if(sum(QUERY(IMPORTRANGE(""https://docs.google.com/spreadsheets/d/1EcLIvUgMoBC5as4ikW0wuQsGH5yVZ6cQ1y16qEfgPnk"",""BD M Sangrias!a:i""),""select Col6 where Col7"&amp;" = 'Caixa Atendimento' and Col9 = '""&amp;K58&amp;""' and Col6 = ""&amp;M58&amp;"" and Col4 = date '""&amp;YEAR(C58)&amp;""-""&amp;MONTH(C58)&amp;""-""&amp;DAY(C58)&amp;""'""))&gt;0,""Caixa Atendimento"",""Caixa Sangria"")),""""),""Caixa Sangria"")"),"")</f>
        <v/>
      </c>
      <c r="M58" s="185">
        <f>IFERROR(__xludf.DUMMYFUNCTION("ifna(VALUE(REGEXEXTRACT(E58,""[0-9.]+[,]+[0-9]+"")))"),67.95)</f>
        <v>67.95</v>
      </c>
      <c r="N58" s="88"/>
      <c r="O58" s="89"/>
      <c r="P58" s="89"/>
      <c r="Q58" s="89"/>
      <c r="R58" s="91"/>
      <c r="S58" s="89"/>
      <c r="T58" s="89"/>
      <c r="U58" s="89"/>
      <c r="V58" s="90"/>
    </row>
    <row r="59" ht="14.25" customHeight="1">
      <c r="A59" s="178"/>
      <c r="B59" s="12">
        <v>1658510.0</v>
      </c>
      <c r="C59" s="13">
        <v>45902.95458333333</v>
      </c>
      <c r="D59" s="179" t="s">
        <v>81</v>
      </c>
      <c r="E59" s="180" t="s">
        <v>6378</v>
      </c>
      <c r="F59" s="181"/>
      <c r="G59" s="179" t="s">
        <v>5192</v>
      </c>
      <c r="H59" s="190"/>
      <c r="I59" s="190"/>
      <c r="J59" s="187" t="s">
        <v>5195</v>
      </c>
      <c r="K59" s="187"/>
      <c r="L59" s="184" t="str">
        <f>IFERROR(__xludf.DUMMYFUNCTION("ifna(IF(and(D59=""Saída"",J59=""Sangria""),if(sum(QUERY(IMPORTRANGE(""https://docs.google.com/spreadsheets/d/1E4szPcLzsqlw4uyBAoJ61L1ChCgpz4wVP8tHfHW1g_c"",""BD M Sangrias!a:i""),""select Col6 where Col7 = 'Depositada' and Col9 = '""&amp;K59&amp;""' and Col6 = """&amp;"&amp;M59&amp;"" and Col4 = date '""&amp;YEAR(C59)&amp;""-""&amp;MONTH(C59)&amp;""-""&amp;DAY(C59)&amp;""'""))&gt;0,""Depositada"",if(sum(QUERY(IMPORTRANGE(""https://docs.google.com/spreadsheets/d/1EcLIvUgMoBC5as4ikW0wuQsGH5yVZ6cQ1y16qEfgPnk"",""BD M Sangrias!a:i""),""select Col6 where Col7"&amp;" = 'Caixa Atendimento' and Col9 = '""&amp;K59&amp;""' and Col6 = ""&amp;M59&amp;"" and Col4 = date '""&amp;YEAR(C59)&amp;""-""&amp;MONTH(C59)&amp;""-""&amp;DAY(C59)&amp;""'""))&gt;0,""Caixa Atendimento"",""Caixa Sangria"")),""""),""Caixa Sangria"")"),"")</f>
        <v/>
      </c>
      <c r="M59" s="185">
        <f>IFERROR(__xludf.DUMMYFUNCTION("ifna(VALUE(REGEXEXTRACT(E59,""[0-9.]+[,]+[0-9]+"")))"),445.0)</f>
        <v>445</v>
      </c>
      <c r="N59" s="88"/>
      <c r="O59" s="89"/>
      <c r="P59" s="89"/>
      <c r="Q59" s="89"/>
      <c r="R59" s="91"/>
      <c r="S59" s="89"/>
      <c r="T59" s="89"/>
      <c r="U59" s="89"/>
      <c r="V59" s="90"/>
    </row>
    <row r="60" ht="14.25" customHeight="1">
      <c r="A60" s="178"/>
      <c r="B60" s="12">
        <v>1658513.0</v>
      </c>
      <c r="C60" s="13">
        <v>45902.95518518519</v>
      </c>
      <c r="D60" s="179" t="s">
        <v>81</v>
      </c>
      <c r="E60" s="180" t="s">
        <v>200</v>
      </c>
      <c r="F60" s="181"/>
      <c r="G60" s="179" t="s">
        <v>3587</v>
      </c>
      <c r="H60" s="190"/>
      <c r="I60" s="190"/>
      <c r="J60" s="187" t="s">
        <v>2735</v>
      </c>
      <c r="K60" s="187" t="s">
        <v>2018</v>
      </c>
      <c r="L60" s="184" t="str">
        <f>IFERROR(__xludf.DUMMYFUNCTION("ifna(IF(and(D60=""Saída"",J60=""Sangria""),if(sum(QUERY(IMPORTRANGE(""https://docs.google.com/spreadsheets/d/1E4szPcLzsqlw4uyBAoJ61L1ChCgpz4wVP8tHfHW1g_c"",""BD M Sangrias!a:i""),""select Col6 where Col7 = 'Depositada' and Col9 = '""&amp;K60&amp;""' and Col6 = """&amp;"&amp;M60&amp;"" and Col4 = date '""&amp;YEAR(C60)&amp;""-""&amp;MONTH(C60)&amp;""-""&amp;DAY(C60)&amp;""'""))&gt;0,""Depositada"",if(sum(QUERY(IMPORTRANGE(""https://docs.google.com/spreadsheets/d/1EcLIvUgMoBC5as4ikW0wuQsGH5yVZ6cQ1y16qEfgPnk"",""BD M Sangrias!a:i""),""select Col6 where Col7"&amp;" = 'Caixa Atendimento' and Col9 = '""&amp;K60&amp;""' and Col6 = ""&amp;M60&amp;"" and Col4 = date '""&amp;YEAR(C60)&amp;""-""&amp;MONTH(C60)&amp;""-""&amp;DAY(C60)&amp;""'""))&gt;0,""Caixa Atendimento"",""Caixa Sangria"")),""""),""Caixa Sangria"")"),"#REF!")</f>
        <v>#REF!</v>
      </c>
      <c r="M60" s="185">
        <f>IFERROR(__xludf.DUMMYFUNCTION("ifna(VALUE(REGEXEXTRACT(E60,""[0-9.]+[,]+[0-9]+"")))"),300.0)</f>
        <v>300</v>
      </c>
      <c r="N60" s="194"/>
      <c r="O60" s="195"/>
      <c r="P60" s="196"/>
      <c r="Q60" s="197"/>
      <c r="R60" s="91"/>
      <c r="S60" s="89"/>
      <c r="T60" s="89"/>
      <c r="U60" s="89"/>
      <c r="V60" s="90"/>
    </row>
    <row r="61" ht="14.25" customHeight="1">
      <c r="A61" s="178"/>
      <c r="B61" s="12">
        <v>1658529.0</v>
      </c>
      <c r="C61" s="13">
        <v>45902.95980324074</v>
      </c>
      <c r="D61" s="179" t="s">
        <v>81</v>
      </c>
      <c r="E61" s="180" t="s">
        <v>609</v>
      </c>
      <c r="F61" s="188"/>
      <c r="G61" s="179" t="s">
        <v>6389</v>
      </c>
      <c r="H61" s="190"/>
      <c r="I61" s="190"/>
      <c r="J61" s="187" t="s">
        <v>1782</v>
      </c>
      <c r="K61" s="187"/>
      <c r="L61" s="184" t="str">
        <f>IFERROR(__xludf.DUMMYFUNCTION("ifna(IF(and(D61=""Saída"",J61=""Sangria""),if(sum(QUERY(IMPORTRANGE(""https://docs.google.com/spreadsheets/d/1E4szPcLzsqlw4uyBAoJ61L1ChCgpz4wVP8tHfHW1g_c"",""BD M Sangrias!a:i""),""select Col6 where Col7 = 'Depositada' and Col9 = '""&amp;K61&amp;""' and Col6 = """&amp;"&amp;M61&amp;"" and Col4 = date '""&amp;YEAR(C61)&amp;""-""&amp;MONTH(C61)&amp;""-""&amp;DAY(C61)&amp;""'""))&gt;0,""Depositada"",if(sum(QUERY(IMPORTRANGE(""https://docs.google.com/spreadsheets/d/1EcLIvUgMoBC5as4ikW0wuQsGH5yVZ6cQ1y16qEfgPnk"",""BD M Sangrias!a:i""),""select Col6 where Col7"&amp;" = 'Caixa Atendimento' and Col9 = '""&amp;K61&amp;""' and Col6 = ""&amp;M61&amp;"" and Col4 = date '""&amp;YEAR(C61)&amp;""-""&amp;MONTH(C61)&amp;""-""&amp;DAY(C61)&amp;""'""))&gt;0,""Caixa Atendimento"",""Caixa Sangria"")),""""),""Caixa Sangria"")"),"")</f>
        <v/>
      </c>
      <c r="M61" s="185">
        <f>IFERROR(__xludf.DUMMYFUNCTION("ifna(VALUE(REGEXEXTRACT(E61,""[0-9.]+[,]+[0-9]+"")))"),82.0)</f>
        <v>82</v>
      </c>
      <c r="N61" s="88"/>
      <c r="O61" s="89"/>
      <c r="P61" s="89"/>
      <c r="Q61" s="89"/>
      <c r="R61" s="91"/>
      <c r="S61" s="89"/>
      <c r="T61" s="89"/>
      <c r="U61" s="89"/>
      <c r="V61" s="90"/>
    </row>
    <row r="62" ht="14.25" customHeight="1">
      <c r="A62" s="178"/>
      <c r="B62" s="12">
        <v>1659256.0</v>
      </c>
      <c r="C62" s="13">
        <v>45903.7097337963</v>
      </c>
      <c r="D62" s="179" t="s">
        <v>81</v>
      </c>
      <c r="E62" s="180" t="s">
        <v>590</v>
      </c>
      <c r="F62" s="181"/>
      <c r="G62" s="179" t="s">
        <v>4071</v>
      </c>
      <c r="H62" s="190"/>
      <c r="I62" s="190"/>
      <c r="J62" s="187" t="s">
        <v>2735</v>
      </c>
      <c r="K62" s="187" t="s">
        <v>2018</v>
      </c>
      <c r="L62" s="184" t="str">
        <f>IFERROR(__xludf.DUMMYFUNCTION("ifna(IF(and(D62=""Saída"",J62=""Sangria""),if(sum(QUERY(IMPORTRANGE(""https://docs.google.com/spreadsheets/d/1E4szPcLzsqlw4uyBAoJ61L1ChCgpz4wVP8tHfHW1g_c"",""BD M Sangrias!a:i""),""select Col6 where Col7 = 'Depositada' and Col9 = '""&amp;K62&amp;""' and Col6 = """&amp;"&amp;M62&amp;"" and Col4 = date '""&amp;YEAR(C62)&amp;""-""&amp;MONTH(C62)&amp;""-""&amp;DAY(C62)&amp;""'""))&gt;0,""Depositada"",if(sum(QUERY(IMPORTRANGE(""https://docs.google.com/spreadsheets/d/1EcLIvUgMoBC5as4ikW0wuQsGH5yVZ6cQ1y16qEfgPnk"",""BD M Sangrias!a:i""),""select Col6 where Col7"&amp;" = 'Caixa Atendimento' and Col9 = '""&amp;K62&amp;""' and Col6 = ""&amp;M62&amp;"" and Col4 = date '""&amp;YEAR(C62)&amp;""-""&amp;MONTH(C62)&amp;""-""&amp;DAY(C62)&amp;""'""))&gt;0,""Caixa Atendimento"",""Caixa Sangria"")),""""),""Caixa Sangria"")"),"#REF!")</f>
        <v>#REF!</v>
      </c>
      <c r="M62" s="185">
        <f>IFERROR(__xludf.DUMMYFUNCTION("ifna(VALUE(REGEXEXTRACT(E62,""[0-9.]+[,]+[0-9]+"")))"),350.0)</f>
        <v>350</v>
      </c>
      <c r="N62" s="88"/>
      <c r="O62" s="89"/>
      <c r="P62" s="89"/>
      <c r="Q62" s="89"/>
      <c r="R62" s="91"/>
      <c r="S62" s="89"/>
      <c r="T62" s="89"/>
      <c r="U62" s="89"/>
      <c r="V62" s="90"/>
    </row>
    <row r="63" ht="14.25" customHeight="1">
      <c r="A63" s="178"/>
      <c r="B63" s="12">
        <v>1659586.0</v>
      </c>
      <c r="C63" s="13">
        <v>45903.79601851852</v>
      </c>
      <c r="D63" s="179" t="s">
        <v>81</v>
      </c>
      <c r="E63" s="180" t="s">
        <v>6397</v>
      </c>
      <c r="F63" s="181"/>
      <c r="G63" s="179" t="s">
        <v>4071</v>
      </c>
      <c r="H63" s="190"/>
      <c r="I63" s="190"/>
      <c r="J63" s="187" t="s">
        <v>2735</v>
      </c>
      <c r="K63" s="187" t="s">
        <v>2018</v>
      </c>
      <c r="L63" s="184" t="str">
        <f>IFERROR(__xludf.DUMMYFUNCTION("ifna(IF(and(D63=""Saída"",J63=""Sangria""),if(sum(QUERY(IMPORTRANGE(""https://docs.google.com/spreadsheets/d/1E4szPcLzsqlw4uyBAoJ61L1ChCgpz4wVP8tHfHW1g_c"",""BD M Sangrias!a:i""),""select Col6 where Col7 = 'Depositada' and Col9 = '""&amp;K63&amp;""' and Col6 = """&amp;"&amp;M63&amp;"" and Col4 = date '""&amp;YEAR(C63)&amp;""-""&amp;MONTH(C63)&amp;""-""&amp;DAY(C63)&amp;""'""))&gt;0,""Depositada"",if(sum(QUERY(IMPORTRANGE(""https://docs.google.com/spreadsheets/d/1EcLIvUgMoBC5as4ikW0wuQsGH5yVZ6cQ1y16qEfgPnk"",""BD M Sangrias!a:i""),""select Col6 where Col7"&amp;" = 'Caixa Atendimento' and Col9 = '""&amp;K63&amp;""' and Col6 = ""&amp;M63&amp;"" and Col4 = date '""&amp;YEAR(C63)&amp;""-""&amp;MONTH(C63)&amp;""-""&amp;DAY(C63)&amp;""'""))&gt;0,""Caixa Atendimento"",""Caixa Sangria"")),""""),""Caixa Sangria"")"),"#REF!")</f>
        <v>#REF!</v>
      </c>
      <c r="M63" s="185">
        <f>IFERROR(__xludf.DUMMYFUNCTION("ifna(VALUE(REGEXEXTRACT(E63,""[0-9.]+[,]+[0-9]+"")))"),480.0)</f>
        <v>480</v>
      </c>
      <c r="N63" s="108"/>
      <c r="O63" s="109"/>
      <c r="P63" s="109"/>
      <c r="Q63" s="109"/>
      <c r="R63" s="110"/>
      <c r="S63" s="109"/>
      <c r="T63" s="109"/>
      <c r="U63" s="109"/>
      <c r="V63" s="111"/>
    </row>
    <row r="64" ht="14.25" customHeight="1">
      <c r="A64" s="178"/>
      <c r="B64" s="12">
        <v>1659628.0</v>
      </c>
      <c r="C64" s="13">
        <v>45903.815300925926</v>
      </c>
      <c r="D64" s="179" t="s">
        <v>81</v>
      </c>
      <c r="E64" s="180" t="s">
        <v>6403</v>
      </c>
      <c r="F64" s="181"/>
      <c r="G64" s="179" t="s">
        <v>6404</v>
      </c>
      <c r="H64" s="190"/>
      <c r="I64" s="190"/>
      <c r="J64" s="187" t="s">
        <v>3151</v>
      </c>
      <c r="K64" s="187"/>
      <c r="L64" s="184" t="str">
        <f>IFERROR(__xludf.DUMMYFUNCTION("ifna(IF(and(D64=""Saída"",J64=""Sangria""),if(sum(QUERY(IMPORTRANGE(""https://docs.google.com/spreadsheets/d/1E4szPcLzsqlw4uyBAoJ61L1ChCgpz4wVP8tHfHW1g_c"",""BD M Sangrias!a:i""),""select Col6 where Col7 = 'Depositada' and Col9 = '""&amp;K64&amp;""' and Col6 = """&amp;"&amp;M64&amp;"" and Col4 = date '""&amp;YEAR(C64)&amp;""-""&amp;MONTH(C64)&amp;""-""&amp;DAY(C64)&amp;""'""))&gt;0,""Depositada"",if(sum(QUERY(IMPORTRANGE(""https://docs.google.com/spreadsheets/d/1EcLIvUgMoBC5as4ikW0wuQsGH5yVZ6cQ1y16qEfgPnk"",""BD M Sangrias!a:i""),""select Col6 where Col7"&amp;" = 'Caixa Atendimento' and Col9 = '""&amp;K64&amp;""' and Col6 = ""&amp;M64&amp;"" and Col4 = date '""&amp;YEAR(C64)&amp;""-""&amp;MONTH(C64)&amp;""-""&amp;DAY(C64)&amp;""'""))&gt;0,""Caixa Atendimento"",""Caixa Sangria"")),""""),""Caixa Sangria"")"),"")</f>
        <v/>
      </c>
      <c r="M64" s="185">
        <f>IFERROR(__xludf.DUMMYFUNCTION("ifna(VALUE(REGEXEXTRACT(E64,""[0-9.]+[,]+[0-9]+"")))"),72.0)</f>
        <v>72</v>
      </c>
      <c r="R64" s="25"/>
    </row>
    <row r="65" ht="14.25" customHeight="1">
      <c r="A65" s="178"/>
      <c r="B65" s="12">
        <v>1660285.0</v>
      </c>
      <c r="C65" s="13">
        <v>45903.979363425926</v>
      </c>
      <c r="D65" s="179" t="s">
        <v>81</v>
      </c>
      <c r="E65" s="180" t="s">
        <v>184</v>
      </c>
      <c r="F65" s="188"/>
      <c r="G65" s="179" t="s">
        <v>128</v>
      </c>
      <c r="H65" s="190"/>
      <c r="I65" s="190"/>
      <c r="J65" s="187" t="s">
        <v>2735</v>
      </c>
      <c r="K65" s="187" t="s">
        <v>1894</v>
      </c>
      <c r="L65" s="184" t="str">
        <f>IFERROR(__xludf.DUMMYFUNCTION("ifna(IF(and(D65=""Saída"",J65=""Sangria""),if(sum(QUERY(IMPORTRANGE(""https://docs.google.com/spreadsheets/d/1E4szPcLzsqlw4uyBAoJ61L1ChCgpz4wVP8tHfHW1g_c"",""BD M Sangrias!a:i""),""select Col6 where Col7 = 'Depositada' and Col9 = '""&amp;K65&amp;""' and Col6 = """&amp;"&amp;M65&amp;"" and Col4 = date '""&amp;YEAR(C65)&amp;""-""&amp;MONTH(C65)&amp;""-""&amp;DAY(C65)&amp;""'""))&gt;0,""Depositada"",if(sum(QUERY(IMPORTRANGE(""https://docs.google.com/spreadsheets/d/1EcLIvUgMoBC5as4ikW0wuQsGH5yVZ6cQ1y16qEfgPnk"",""BD M Sangrias!a:i""),""select Col6 where Col7"&amp;" = 'Caixa Atendimento' and Col9 = '""&amp;K65&amp;""' and Col6 = ""&amp;M65&amp;"" and Col4 = date '""&amp;YEAR(C65)&amp;""-""&amp;MONTH(C65)&amp;""-""&amp;DAY(C65)&amp;""'""))&gt;0,""Caixa Atendimento"",""Caixa Sangria"")),""""),""Caixa Sangria"")"),"#REF!")</f>
        <v>#REF!</v>
      </c>
      <c r="M65" s="185">
        <f>IFERROR(__xludf.DUMMYFUNCTION("ifna(VALUE(REGEXEXTRACT(E65,""[0-9.]+[,]+[0-9]+"")))"),450.0)</f>
        <v>450</v>
      </c>
      <c r="R65" s="25"/>
    </row>
    <row r="66" ht="14.25" customHeight="1">
      <c r="A66" s="178"/>
      <c r="B66" s="12">
        <v>1660484.0</v>
      </c>
      <c r="C66" s="13">
        <v>45904.57121527778</v>
      </c>
      <c r="D66" s="179" t="s">
        <v>81</v>
      </c>
      <c r="E66" s="180" t="s">
        <v>127</v>
      </c>
      <c r="F66" s="181"/>
      <c r="G66" s="179" t="s">
        <v>3587</v>
      </c>
      <c r="H66" s="190"/>
      <c r="I66" s="190"/>
      <c r="J66" s="187" t="s">
        <v>2735</v>
      </c>
      <c r="K66" s="187" t="s">
        <v>2018</v>
      </c>
      <c r="L66" s="184" t="str">
        <f>IFERROR(__xludf.DUMMYFUNCTION("ifna(IF(and(D66=""Saída"",J66=""Sangria""),if(sum(QUERY(IMPORTRANGE(""https://docs.google.com/spreadsheets/d/1E4szPcLzsqlw4uyBAoJ61L1ChCgpz4wVP8tHfHW1g_c"",""BD M Sangrias!a:i""),""select Col6 where Col7 = 'Depositada' and Col9 = '""&amp;K66&amp;""' and Col6 = """&amp;"&amp;M66&amp;"" and Col4 = date '""&amp;YEAR(C66)&amp;""-""&amp;MONTH(C66)&amp;""-""&amp;DAY(C66)&amp;""'""))&gt;0,""Depositada"",if(sum(QUERY(IMPORTRANGE(""https://docs.google.com/spreadsheets/d/1EcLIvUgMoBC5as4ikW0wuQsGH5yVZ6cQ1y16qEfgPnk"",""BD M Sangrias!a:i""),""select Col6 where Col7"&amp;" = 'Caixa Atendimento' and Col9 = '""&amp;K66&amp;""' and Col6 = ""&amp;M66&amp;"" and Col4 = date '""&amp;YEAR(C66)&amp;""-""&amp;MONTH(C66)&amp;""-""&amp;DAY(C66)&amp;""'""))&gt;0,""Caixa Atendimento"",""Caixa Sangria"")),""""),""Caixa Sangria"")"),"#REF!")</f>
        <v>#REF!</v>
      </c>
      <c r="M66" s="185">
        <f>IFERROR(__xludf.DUMMYFUNCTION("ifna(VALUE(REGEXEXTRACT(E66,""[0-9.]+[,]+[0-9]+"")))"),250.0)</f>
        <v>250</v>
      </c>
      <c r="R66" s="25"/>
    </row>
    <row r="67" ht="14.25" customHeight="1">
      <c r="A67" s="178"/>
      <c r="B67" s="12">
        <v>1661810.0</v>
      </c>
      <c r="C67" s="13">
        <v>45904.94090277778</v>
      </c>
      <c r="D67" s="179" t="s">
        <v>81</v>
      </c>
      <c r="E67" s="180" t="s">
        <v>296</v>
      </c>
      <c r="F67" s="181"/>
      <c r="G67" s="179" t="s">
        <v>6419</v>
      </c>
      <c r="H67" s="190"/>
      <c r="I67" s="190"/>
      <c r="J67" s="187" t="s">
        <v>2735</v>
      </c>
      <c r="K67" s="187" t="s">
        <v>2018</v>
      </c>
      <c r="L67" s="184" t="str">
        <f>IFERROR(__xludf.DUMMYFUNCTION("ifna(IF(and(D67=""Saída"",J67=""Sangria""),if(sum(QUERY(IMPORTRANGE(""https://docs.google.com/spreadsheets/d/1E4szPcLzsqlw4uyBAoJ61L1ChCgpz4wVP8tHfHW1g_c"",""BD M Sangrias!a:i""),""select Col6 where Col7 = 'Depositada' and Col9 = '""&amp;K67&amp;""' and Col6 = """&amp;"&amp;M67&amp;"" and Col4 = date '""&amp;YEAR(C67)&amp;""-""&amp;MONTH(C67)&amp;""-""&amp;DAY(C67)&amp;""'""))&gt;0,""Depositada"",if(sum(QUERY(IMPORTRANGE(""https://docs.google.com/spreadsheets/d/1EcLIvUgMoBC5as4ikW0wuQsGH5yVZ6cQ1y16qEfgPnk"",""BD M Sangrias!a:i""),""select Col6 where Col7"&amp;" = 'Caixa Atendimento' and Col9 = '""&amp;K67&amp;""' and Col6 = ""&amp;M67&amp;"" and Col4 = date '""&amp;YEAR(C67)&amp;""-""&amp;MONTH(C67)&amp;""-""&amp;DAY(C67)&amp;""'""))&gt;0,""Caixa Atendimento"",""Caixa Sangria"")),""""),""Caixa Sangria"")"),"#REF!")</f>
        <v>#REF!</v>
      </c>
      <c r="M67" s="185">
        <f>IFERROR(__xludf.DUMMYFUNCTION("ifna(VALUE(REGEXEXTRACT(E67,""[0-9.]+[,]+[0-9]+"")))"),650.0)</f>
        <v>650</v>
      </c>
      <c r="R67" s="25"/>
    </row>
    <row r="68">
      <c r="A68" s="178"/>
      <c r="B68" s="12">
        <v>1661814.0</v>
      </c>
      <c r="C68" s="13">
        <v>45904.94252314815</v>
      </c>
      <c r="D68" s="179" t="s">
        <v>81</v>
      </c>
      <c r="E68" s="180" t="s">
        <v>6423</v>
      </c>
      <c r="F68" s="181"/>
      <c r="G68" s="179" t="s">
        <v>193</v>
      </c>
      <c r="H68" s="190"/>
      <c r="I68" s="190"/>
      <c r="J68" s="187" t="s">
        <v>3151</v>
      </c>
      <c r="K68" s="187"/>
      <c r="L68" s="184" t="str">
        <f>IFERROR(__xludf.DUMMYFUNCTION("ifna(IF(and(D68=""Saída"",J68=""Sangria""),if(sum(QUERY(IMPORTRANGE(""https://docs.google.com/spreadsheets/d/1E4szPcLzsqlw4uyBAoJ61L1ChCgpz4wVP8tHfHW1g_c"",""BD M Sangrias!a:i""),""select Col6 where Col7 = 'Depositada' and Col9 = '""&amp;K68&amp;""' and Col6 = """&amp;"&amp;M68&amp;"" and Col4 = date '""&amp;YEAR(C68)&amp;""-""&amp;MONTH(C68)&amp;""-""&amp;DAY(C68)&amp;""'""))&gt;0,""Depositada"",if(sum(QUERY(IMPORTRANGE(""https://docs.google.com/spreadsheets/d/1EcLIvUgMoBC5as4ikW0wuQsGH5yVZ6cQ1y16qEfgPnk"",""BD M Sangrias!a:i""),""select Col6 where Col7"&amp;" = 'Caixa Atendimento' and Col9 = '""&amp;K68&amp;""' and Col6 = ""&amp;M68&amp;"" and Col4 = date '""&amp;YEAR(C68)&amp;""-""&amp;MONTH(C68)&amp;""-""&amp;DAY(C68)&amp;""'""))&gt;0,""Caixa Atendimento"",""Caixa Sangria"")),""""),""Caixa Sangria"")"),"")</f>
        <v/>
      </c>
      <c r="M68" s="185">
        <f>IFERROR(__xludf.DUMMYFUNCTION("ifna(VALUE(REGEXEXTRACT(E68,""[0-9.]+[,]+[0-9]+"")))"),8.5)</f>
        <v>8.5</v>
      </c>
      <c r="N68" s="193" t="str">
        <f>B10</f>
        <v/>
      </c>
      <c r="O68" s="106"/>
      <c r="P68" s="106"/>
      <c r="Q68" s="106"/>
      <c r="R68" s="122"/>
      <c r="S68" s="123" t="str">
        <f>B11</f>
        <v/>
      </c>
      <c r="T68" s="106"/>
      <c r="U68" s="106"/>
      <c r="V68" s="124"/>
    </row>
    <row r="69" ht="14.25" customHeight="1">
      <c r="A69" s="178"/>
      <c r="B69" s="12">
        <v>1662397.0</v>
      </c>
      <c r="C69" s="13">
        <v>45905.62398148148</v>
      </c>
      <c r="D69" s="179" t="s">
        <v>81</v>
      </c>
      <c r="E69" s="180" t="s">
        <v>6431</v>
      </c>
      <c r="F69" s="181"/>
      <c r="G69" s="179" t="s">
        <v>460</v>
      </c>
      <c r="H69" s="190"/>
      <c r="I69" s="190"/>
      <c r="J69" s="187" t="s">
        <v>3151</v>
      </c>
      <c r="K69" s="187"/>
      <c r="L69" s="184" t="str">
        <f>IFERROR(__xludf.DUMMYFUNCTION("ifna(IF(and(D69=""Saída"",J69=""Sangria""),if(sum(QUERY(IMPORTRANGE(""https://docs.google.com/spreadsheets/d/1E4szPcLzsqlw4uyBAoJ61L1ChCgpz4wVP8tHfHW1g_c"",""BD M Sangrias!a:i""),""select Col6 where Col7 = 'Depositada' and Col9 = '""&amp;K69&amp;""' and Col6 = """&amp;"&amp;M69&amp;"" and Col4 = date '""&amp;YEAR(C69)&amp;""-""&amp;MONTH(C69)&amp;""-""&amp;DAY(C69)&amp;""'""))&gt;0,""Depositada"",if(sum(QUERY(IMPORTRANGE(""https://docs.google.com/spreadsheets/d/1EcLIvUgMoBC5as4ikW0wuQsGH5yVZ6cQ1y16qEfgPnk"",""BD M Sangrias!a:i""),""select Col6 where Col7"&amp;" = 'Caixa Atendimento' and Col9 = '""&amp;K69&amp;""' and Col6 = ""&amp;M69&amp;"" and Col4 = date '""&amp;YEAR(C69)&amp;""-""&amp;MONTH(C69)&amp;""-""&amp;DAY(C69)&amp;""'""))&gt;0,""Caixa Atendimento"",""Caixa Sangria"")),""""),""Caixa Sangria"")"),"")</f>
        <v/>
      </c>
      <c r="M69" s="185">
        <f>IFERROR(__xludf.DUMMYFUNCTION("ifna(VALUE(REGEXEXTRACT(E69,""[0-9.]+[,]+[0-9]+"")))"),207.21)</f>
        <v>207.21</v>
      </c>
      <c r="N69" s="46" t="str">
        <f>IFERROR(__xludf.DUMMYFUNCTION("query(C28:L504,""select Col1,Col3,Col8,Col9 where (Col8 = 'Adiantamento' or Col8 = 'Consumo') and Col9 = '""&amp;B10&amp;""'"",1)"),"Data")</f>
        <v>Data</v>
      </c>
      <c r="O69" s="47" t="str">
        <f>IFERROR(__xludf.DUMMYFUNCTION("""COMPUTED_VALUE"""),"Valor ")</f>
        <v>Valor </v>
      </c>
      <c r="P69" s="47" t="str">
        <f>IFERROR(__xludf.DUMMYFUNCTION("""COMPUTED_VALUE"""),"Tipo")</f>
        <v>Tipo</v>
      </c>
      <c r="Q69" s="47" t="str">
        <f>IFERROR(__xludf.DUMMYFUNCTION("""COMPUTED_VALUE"""),"Funcionário")</f>
        <v>Funcionário</v>
      </c>
      <c r="R69" s="49"/>
      <c r="S69" s="50" t="str">
        <f>IFERROR(__xludf.DUMMYFUNCTION("query(C28:L504,""select Col1,Col3,Col8,Col9 where (Col8 = 'Adiantamento' or Col8 = 'Consumo') and Col9 = '""&amp;B11&amp;""'"",1)"),"Data")</f>
        <v>Data</v>
      </c>
      <c r="T69" s="50" t="str">
        <f>IFERROR(__xludf.DUMMYFUNCTION("""COMPUTED_VALUE"""),"Valor ")</f>
        <v>Valor </v>
      </c>
      <c r="U69" s="50" t="str">
        <f>IFERROR(__xludf.DUMMYFUNCTION("""COMPUTED_VALUE"""),"Tipo")</f>
        <v>Tipo</v>
      </c>
      <c r="V69" s="51" t="str">
        <f>IFERROR(__xludf.DUMMYFUNCTION("""COMPUTED_VALUE"""),"Funcionário")</f>
        <v>Funcionário</v>
      </c>
    </row>
    <row r="70" ht="14.25" customHeight="1">
      <c r="A70" s="178"/>
      <c r="B70" s="12">
        <v>1662678.0</v>
      </c>
      <c r="C70" s="13">
        <v>45905.70287037037</v>
      </c>
      <c r="D70" s="179" t="s">
        <v>81</v>
      </c>
      <c r="E70" s="180" t="s">
        <v>6438</v>
      </c>
      <c r="F70" s="181"/>
      <c r="G70" s="179" t="s">
        <v>5575</v>
      </c>
      <c r="H70" s="190"/>
      <c r="I70" s="190"/>
      <c r="J70" s="187" t="s">
        <v>2438</v>
      </c>
      <c r="K70" s="187"/>
      <c r="L70" s="184" t="str">
        <f>IFERROR(__xludf.DUMMYFUNCTION("ifna(IF(and(D70=""Saída"",J70=""Sangria""),if(sum(QUERY(IMPORTRANGE(""https://docs.google.com/spreadsheets/d/1E4szPcLzsqlw4uyBAoJ61L1ChCgpz4wVP8tHfHW1g_c"",""BD M Sangrias!a:i""),""select Col6 where Col7 = 'Depositada' and Col9 = '""&amp;K70&amp;""' and Col6 = """&amp;"&amp;M70&amp;"" and Col4 = date '""&amp;YEAR(C70)&amp;""-""&amp;MONTH(C70)&amp;""-""&amp;DAY(C70)&amp;""'""))&gt;0,""Depositada"",if(sum(QUERY(IMPORTRANGE(""https://docs.google.com/spreadsheets/d/1EcLIvUgMoBC5as4ikW0wuQsGH5yVZ6cQ1y16qEfgPnk"",""BD M Sangrias!a:i""),""select Col6 where Col7"&amp;" = 'Caixa Atendimento' and Col9 = '""&amp;K70&amp;""' and Col6 = ""&amp;M70&amp;"" and Col4 = date '""&amp;YEAR(C70)&amp;""-""&amp;MONTH(C70)&amp;""-""&amp;DAY(C70)&amp;""'""))&gt;0,""Caixa Atendimento"",""Caixa Sangria"")),""""),""Caixa Sangria"")"),"")</f>
        <v/>
      </c>
      <c r="M70" s="185">
        <f>IFERROR(__xludf.DUMMYFUNCTION("ifna(VALUE(REGEXEXTRACT(E70,""[0-9.]+[,]+[0-9]+"")))"),30.44)</f>
        <v>30.44</v>
      </c>
      <c r="N70" s="52"/>
      <c r="O70" s="53"/>
      <c r="P70" s="53"/>
      <c r="Q70" s="53"/>
      <c r="R70" s="55"/>
      <c r="S70" s="53"/>
      <c r="T70" s="53"/>
      <c r="U70" s="53"/>
      <c r="V70" s="54"/>
    </row>
    <row r="71" ht="14.25" customHeight="1">
      <c r="A71" s="178"/>
      <c r="B71" s="12">
        <v>1663388.0</v>
      </c>
      <c r="C71" s="13">
        <v>45905.88040509259</v>
      </c>
      <c r="D71" s="179" t="s">
        <v>81</v>
      </c>
      <c r="E71" s="180" t="s">
        <v>1043</v>
      </c>
      <c r="F71" s="181"/>
      <c r="G71" s="179" t="s">
        <v>6446</v>
      </c>
      <c r="H71" s="190"/>
      <c r="I71" s="190"/>
      <c r="J71" s="187" t="s">
        <v>3151</v>
      </c>
      <c r="K71" s="187"/>
      <c r="L71" s="184" t="str">
        <f>IFERROR(__xludf.DUMMYFUNCTION("ifna(IF(and(D71=""Saída"",J71=""Sangria""),if(sum(QUERY(IMPORTRANGE(""https://docs.google.com/spreadsheets/d/1E4szPcLzsqlw4uyBAoJ61L1ChCgpz4wVP8tHfHW1g_c"",""BD M Sangrias!a:i""),""select Col6 where Col7 = 'Depositada' and Col9 = '""&amp;K71&amp;""' and Col6 = """&amp;"&amp;M71&amp;"" and Col4 = date '""&amp;YEAR(C71)&amp;""-""&amp;MONTH(C71)&amp;""-""&amp;DAY(C71)&amp;""'""))&gt;0,""Depositada"",if(sum(QUERY(IMPORTRANGE(""https://docs.google.com/spreadsheets/d/1EcLIvUgMoBC5as4ikW0wuQsGH5yVZ6cQ1y16qEfgPnk"",""BD M Sangrias!a:i""),""select Col6 where Col7"&amp;" = 'Caixa Atendimento' and Col9 = '""&amp;K71&amp;""' and Col6 = ""&amp;M71&amp;"" and Col4 = date '""&amp;YEAR(C71)&amp;""-""&amp;MONTH(C71)&amp;""-""&amp;DAY(C71)&amp;""'""))&gt;0,""Caixa Atendimento"",""Caixa Sangria"")),""""),""Caixa Sangria"")"),"")</f>
        <v/>
      </c>
      <c r="M71" s="185">
        <f>IFERROR(__xludf.DUMMYFUNCTION("ifna(VALUE(REGEXEXTRACT(E71,""[0-9.]+[,]+[0-9]+"")))"),7.99)</f>
        <v>7.99</v>
      </c>
      <c r="N71" s="52"/>
      <c r="O71" s="53"/>
      <c r="P71" s="53"/>
      <c r="Q71" s="53"/>
      <c r="R71" s="55"/>
      <c r="S71" s="53"/>
      <c r="T71" s="53"/>
      <c r="U71" s="53"/>
      <c r="V71" s="54"/>
    </row>
    <row r="72" ht="14.25" customHeight="1">
      <c r="A72" s="178"/>
      <c r="B72" s="12">
        <v>1663394.0</v>
      </c>
      <c r="C72" s="13">
        <v>45905.880694444444</v>
      </c>
      <c r="D72" s="179" t="s">
        <v>81</v>
      </c>
      <c r="E72" s="180" t="s">
        <v>6454</v>
      </c>
      <c r="F72" s="181"/>
      <c r="G72" s="179" t="s">
        <v>6455</v>
      </c>
      <c r="H72" s="190"/>
      <c r="I72" s="190"/>
      <c r="J72" s="187" t="s">
        <v>3151</v>
      </c>
      <c r="K72" s="187"/>
      <c r="L72" s="184" t="str">
        <f>IFERROR(__xludf.DUMMYFUNCTION("ifna(IF(and(D72=""Saída"",J72=""Sangria""),if(sum(QUERY(IMPORTRANGE(""https://docs.google.com/spreadsheets/d/1E4szPcLzsqlw4uyBAoJ61L1ChCgpz4wVP8tHfHW1g_c"",""BD M Sangrias!a:i""),""select Col6 where Col7 = 'Depositada' and Col9 = '""&amp;K72&amp;""' and Col6 = """&amp;"&amp;M72&amp;"" and Col4 = date '""&amp;YEAR(C72)&amp;""-""&amp;MONTH(C72)&amp;""-""&amp;DAY(C72)&amp;""'""))&gt;0,""Depositada"",if(sum(QUERY(IMPORTRANGE(""https://docs.google.com/spreadsheets/d/1EcLIvUgMoBC5as4ikW0wuQsGH5yVZ6cQ1y16qEfgPnk"",""BD M Sangrias!a:i""),""select Col6 where Col7"&amp;" = 'Caixa Atendimento' and Col9 = '""&amp;K72&amp;""' and Col6 = ""&amp;M72&amp;"" and Col4 = date '""&amp;YEAR(C72)&amp;""-""&amp;MONTH(C72)&amp;""-""&amp;DAY(C72)&amp;""'""))&gt;0,""Caixa Atendimento"",""Caixa Sangria"")),""""),""Caixa Sangria"")"),"")</f>
        <v/>
      </c>
      <c r="M72" s="185">
        <f>IFERROR(__xludf.DUMMYFUNCTION("ifna(VALUE(REGEXEXTRACT(E72,""[0-9.]+[,]+[0-9]+"")))"),3.49)</f>
        <v>3.49</v>
      </c>
      <c r="N72" s="52"/>
      <c r="O72" s="53"/>
      <c r="P72" s="53"/>
      <c r="Q72" s="53"/>
      <c r="R72" s="55"/>
      <c r="S72" s="53"/>
      <c r="T72" s="53"/>
      <c r="U72" s="53"/>
      <c r="V72" s="54"/>
    </row>
    <row r="73" ht="14.25" customHeight="1">
      <c r="A73" s="178"/>
      <c r="B73" s="12">
        <v>1663740.0</v>
      </c>
      <c r="C73" s="13">
        <v>45905.93274305556</v>
      </c>
      <c r="D73" s="179" t="s">
        <v>81</v>
      </c>
      <c r="E73" s="180" t="s">
        <v>200</v>
      </c>
      <c r="F73" s="181"/>
      <c r="G73" s="179" t="s">
        <v>6461</v>
      </c>
      <c r="H73" s="190"/>
      <c r="I73" s="190"/>
      <c r="J73" s="187" t="s">
        <v>2735</v>
      </c>
      <c r="K73" s="187" t="s">
        <v>2018</v>
      </c>
      <c r="L73" s="184" t="str">
        <f>IFERROR(__xludf.DUMMYFUNCTION("ifna(IF(and(D73=""Saída"",J73=""Sangria""),if(sum(QUERY(IMPORTRANGE(""https://docs.google.com/spreadsheets/d/1E4szPcLzsqlw4uyBAoJ61L1ChCgpz4wVP8tHfHW1g_c"",""BD M Sangrias!a:i""),""select Col6 where Col7 = 'Depositada' and Col9 = '""&amp;K73&amp;""' and Col6 = """&amp;"&amp;M73&amp;"" and Col4 = date '""&amp;YEAR(C73)&amp;""-""&amp;MONTH(C73)&amp;""-""&amp;DAY(C73)&amp;""'""))&gt;0,""Depositada"",if(sum(QUERY(IMPORTRANGE(""https://docs.google.com/spreadsheets/d/1EcLIvUgMoBC5as4ikW0wuQsGH5yVZ6cQ1y16qEfgPnk"",""BD M Sangrias!a:i""),""select Col6 where Col7"&amp;" = 'Caixa Atendimento' and Col9 = '""&amp;K73&amp;""' and Col6 = ""&amp;M73&amp;"" and Col4 = date '""&amp;YEAR(C73)&amp;""-""&amp;MONTH(C73)&amp;""-""&amp;DAY(C73)&amp;""'""))&gt;0,""Caixa Atendimento"",""Caixa Sangria"")),""""),""Caixa Sangria"")"),"#REF!")</f>
        <v>#REF!</v>
      </c>
      <c r="M73" s="185">
        <f>IFERROR(__xludf.DUMMYFUNCTION("ifna(VALUE(REGEXEXTRACT(E73,""[0-9.]+[,]+[0-9]+"")))"),300.0)</f>
        <v>300</v>
      </c>
      <c r="N73" s="52"/>
      <c r="O73" s="53"/>
      <c r="P73" s="53"/>
      <c r="Q73" s="53"/>
      <c r="R73" s="55"/>
      <c r="S73" s="53"/>
      <c r="T73" s="53"/>
      <c r="U73" s="53"/>
      <c r="V73" s="54"/>
    </row>
    <row r="74" ht="14.25" customHeight="1">
      <c r="A74" s="178"/>
      <c r="B74" s="12">
        <v>1664267.0</v>
      </c>
      <c r="C74" s="13">
        <v>45906.55758101852</v>
      </c>
      <c r="D74" s="179" t="s">
        <v>152</v>
      </c>
      <c r="E74" s="180" t="s">
        <v>6466</v>
      </c>
      <c r="F74" s="181"/>
      <c r="G74" s="179" t="s">
        <v>158</v>
      </c>
      <c r="H74" s="190"/>
      <c r="I74" s="190"/>
      <c r="J74" s="187" t="s">
        <v>2669</v>
      </c>
      <c r="K74" s="187"/>
      <c r="L74" s="184" t="str">
        <f>IFERROR(__xludf.DUMMYFUNCTION("ifna(IF(and(D74=""Saída"",J74=""Sangria""),if(sum(QUERY(IMPORTRANGE(""https://docs.google.com/spreadsheets/d/1E4szPcLzsqlw4uyBAoJ61L1ChCgpz4wVP8tHfHW1g_c"",""BD M Sangrias!a:i""),""select Col6 where Col7 = 'Depositada' and Col9 = '""&amp;K74&amp;""' and Col6 = """&amp;"&amp;M74&amp;"" and Col4 = date '""&amp;YEAR(C74)&amp;""-""&amp;MONTH(C74)&amp;""-""&amp;DAY(C74)&amp;""'""))&gt;0,""Depositada"",if(sum(QUERY(IMPORTRANGE(""https://docs.google.com/spreadsheets/d/1EcLIvUgMoBC5as4ikW0wuQsGH5yVZ6cQ1y16qEfgPnk"",""BD M Sangrias!a:i""),""select Col6 where Col7"&amp;" = 'Caixa Atendimento' and Col9 = '""&amp;K74&amp;""' and Col6 = ""&amp;M74&amp;"" and Col4 = date '""&amp;YEAR(C74)&amp;""-""&amp;MONTH(C74)&amp;""-""&amp;DAY(C74)&amp;""'""))&gt;0,""Caixa Atendimento"",""Caixa Sangria"")),""""),""Caixa Sangria"")"),"")</f>
        <v/>
      </c>
      <c r="M74" s="185">
        <f>IFERROR(__xludf.DUMMYFUNCTION("ifna(VALUE(REGEXEXTRACT(E74,""[0-9.]+[,]+[0-9]+"")))"),29.7)</f>
        <v>29.7</v>
      </c>
      <c r="N74" s="52"/>
      <c r="O74" s="53"/>
      <c r="P74" s="53"/>
      <c r="Q74" s="53"/>
      <c r="R74" s="55"/>
      <c r="S74" s="53"/>
      <c r="T74" s="53"/>
      <c r="U74" s="53"/>
      <c r="V74" s="54"/>
    </row>
    <row r="75" ht="14.25" customHeight="1">
      <c r="A75" s="178"/>
      <c r="B75" s="12">
        <v>1664329.0</v>
      </c>
      <c r="C75" s="13">
        <v>45906.58043981482</v>
      </c>
      <c r="D75" s="179" t="s">
        <v>81</v>
      </c>
      <c r="E75" s="180" t="s">
        <v>5872</v>
      </c>
      <c r="F75" s="188"/>
      <c r="G75" s="179" t="s">
        <v>6472</v>
      </c>
      <c r="H75" s="190"/>
      <c r="I75" s="190"/>
      <c r="J75" s="187" t="s">
        <v>3151</v>
      </c>
      <c r="K75" s="187"/>
      <c r="L75" s="184" t="str">
        <f>IFERROR(__xludf.DUMMYFUNCTION("ifna(IF(and(D75=""Saída"",J75=""Sangria""),if(sum(QUERY(IMPORTRANGE(""https://docs.google.com/spreadsheets/d/1E4szPcLzsqlw4uyBAoJ61L1ChCgpz4wVP8tHfHW1g_c"",""BD M Sangrias!a:i""),""select Col6 where Col7 = 'Depositada' and Col9 = '""&amp;K75&amp;""' and Col6 = """&amp;"&amp;M75&amp;"" and Col4 = date '""&amp;YEAR(C75)&amp;""-""&amp;MONTH(C75)&amp;""-""&amp;DAY(C75)&amp;""'""))&gt;0,""Depositada"",if(sum(QUERY(IMPORTRANGE(""https://docs.google.com/spreadsheets/d/1EcLIvUgMoBC5as4ikW0wuQsGH5yVZ6cQ1y16qEfgPnk"",""BD M Sangrias!a:i""),""select Col6 where Col7"&amp;" = 'Caixa Atendimento' and Col9 = '""&amp;K75&amp;""' and Col6 = ""&amp;M75&amp;"" and Col4 = date '""&amp;YEAR(C75)&amp;""-""&amp;MONTH(C75)&amp;""-""&amp;DAY(C75)&amp;""'""))&gt;0,""Caixa Atendimento"",""Caixa Sangria"")),""""),""Caixa Sangria"")"),"")</f>
        <v/>
      </c>
      <c r="M75" s="185">
        <f>IFERROR(__xludf.DUMMYFUNCTION("ifna(VALUE(REGEXEXTRACT(E75,""[0-9.]+[,]+[0-9]+"")))"),25.0)</f>
        <v>25</v>
      </c>
      <c r="N75" s="52"/>
      <c r="O75" s="79"/>
      <c r="P75" s="79"/>
      <c r="Q75" s="79"/>
      <c r="R75" s="81"/>
      <c r="S75" s="79"/>
      <c r="T75" s="79"/>
      <c r="U75" s="79"/>
      <c r="V75" s="80"/>
    </row>
    <row r="76" ht="14.25" customHeight="1">
      <c r="A76" s="178"/>
      <c r="B76" s="12">
        <v>1664419.0</v>
      </c>
      <c r="C76" s="13">
        <v>45906.616574074076</v>
      </c>
      <c r="D76" s="179" t="s">
        <v>81</v>
      </c>
      <c r="E76" s="180" t="s">
        <v>1075</v>
      </c>
      <c r="F76" s="181"/>
      <c r="G76" s="179" t="s">
        <v>6473</v>
      </c>
      <c r="H76" s="190"/>
      <c r="I76" s="190"/>
      <c r="J76" s="187" t="s">
        <v>2019</v>
      </c>
      <c r="K76" s="187" t="s">
        <v>2018</v>
      </c>
      <c r="L76" s="184" t="str">
        <f>IFERROR(__xludf.DUMMYFUNCTION("ifna(IF(and(D76=""Saída"",J76=""Sangria""),if(sum(QUERY(IMPORTRANGE(""https://docs.google.com/spreadsheets/d/1E4szPcLzsqlw4uyBAoJ61L1ChCgpz4wVP8tHfHW1g_c"",""BD M Sangrias!a:i""),""select Col6 where Col7 = 'Depositada' and Col9 = '""&amp;K76&amp;""' and Col6 = """&amp;"&amp;M76&amp;"" and Col4 = date '""&amp;YEAR(C76)&amp;""-""&amp;MONTH(C76)&amp;""-""&amp;DAY(C76)&amp;""'""))&gt;0,""Depositada"",if(sum(QUERY(IMPORTRANGE(""https://docs.google.com/spreadsheets/d/1EcLIvUgMoBC5as4ikW0wuQsGH5yVZ6cQ1y16qEfgPnk"",""BD M Sangrias!a:i""),""select Col6 where Col7"&amp;" = 'Caixa Atendimento' and Col9 = '""&amp;K76&amp;""' and Col6 = ""&amp;M76&amp;"" and Col4 = date '""&amp;YEAR(C76)&amp;""-""&amp;MONTH(C76)&amp;""-""&amp;DAY(C76)&amp;""'""))&gt;0,""Caixa Atendimento"",""Caixa Sangria"")),""""),""Caixa Sangria"")"),"")</f>
        <v/>
      </c>
      <c r="M76" s="185">
        <f>IFERROR(__xludf.DUMMYFUNCTION("ifna(VALUE(REGEXEXTRACT(E76,""[0-9.]+[,]+[0-9]+"")))"),19.0)</f>
        <v>19</v>
      </c>
      <c r="N76" s="88"/>
      <c r="O76" s="89"/>
      <c r="P76" s="89"/>
      <c r="Q76" s="89"/>
      <c r="R76" s="91"/>
      <c r="S76" s="89"/>
      <c r="T76" s="89"/>
      <c r="U76" s="89"/>
      <c r="V76" s="90"/>
    </row>
    <row r="77" ht="14.25" customHeight="1">
      <c r="A77" s="178"/>
      <c r="B77" s="12">
        <v>1665787.0</v>
      </c>
      <c r="C77" s="13">
        <v>45906.94256944444</v>
      </c>
      <c r="D77" s="179" t="s">
        <v>81</v>
      </c>
      <c r="E77" s="180" t="s">
        <v>6474</v>
      </c>
      <c r="F77" s="181"/>
      <c r="G77" s="179" t="s">
        <v>381</v>
      </c>
      <c r="H77" s="190"/>
      <c r="I77" s="190"/>
      <c r="J77" s="187" t="s">
        <v>2735</v>
      </c>
      <c r="K77" s="187" t="s">
        <v>1894</v>
      </c>
      <c r="L77" s="184" t="str">
        <f>IFERROR(__xludf.DUMMYFUNCTION("ifna(IF(and(D77=""Saída"",J77=""Sangria""),if(sum(QUERY(IMPORTRANGE(""https://docs.google.com/spreadsheets/d/1E4szPcLzsqlw4uyBAoJ61L1ChCgpz4wVP8tHfHW1g_c"",""BD M Sangrias!a:i""),""select Col6 where Col7 = 'Depositada' and Col9 = '""&amp;K77&amp;""' and Col6 = """&amp;"&amp;M77&amp;"" and Col4 = date '""&amp;YEAR(C77)&amp;""-""&amp;MONTH(C77)&amp;""-""&amp;DAY(C77)&amp;""'""))&gt;0,""Depositada"",if(sum(QUERY(IMPORTRANGE(""https://docs.google.com/spreadsheets/d/1EcLIvUgMoBC5as4ikW0wuQsGH5yVZ6cQ1y16qEfgPnk"",""BD M Sangrias!a:i""),""select Col6 where Col7"&amp;" = 'Caixa Atendimento' and Col9 = '""&amp;K77&amp;""' and Col6 = ""&amp;M77&amp;"" and Col4 = date '""&amp;YEAR(C77)&amp;""-""&amp;MONTH(C77)&amp;""-""&amp;DAY(C77)&amp;""'""))&gt;0,""Caixa Atendimento"",""Caixa Sangria"")),""""),""Caixa Sangria"")"),"#REF!")</f>
        <v>#REF!</v>
      </c>
      <c r="M77" s="185">
        <f>IFERROR(__xludf.DUMMYFUNCTION("ifna(VALUE(REGEXEXTRACT(E77,""[0-9.]+[,]+[0-9]+"")))"),1260.0)</f>
        <v>1260</v>
      </c>
      <c r="N77" s="194"/>
      <c r="O77" s="195"/>
      <c r="P77" s="196"/>
      <c r="Q77" s="197"/>
      <c r="R77" s="91"/>
      <c r="S77" s="89"/>
      <c r="T77" s="89"/>
      <c r="U77" s="89"/>
      <c r="V77" s="90"/>
    </row>
    <row r="78" ht="14.25" customHeight="1">
      <c r="A78" s="178"/>
      <c r="B78" s="12">
        <v>1666627.0</v>
      </c>
      <c r="C78" s="13">
        <v>45907.66746527778</v>
      </c>
      <c r="D78" s="179" t="s">
        <v>152</v>
      </c>
      <c r="E78" s="180" t="s">
        <v>6475</v>
      </c>
      <c r="F78" s="181"/>
      <c r="G78" s="179" t="s">
        <v>158</v>
      </c>
      <c r="H78" s="190"/>
      <c r="I78" s="190"/>
      <c r="J78" s="199" t="s">
        <v>2669</v>
      </c>
      <c r="K78" s="187"/>
      <c r="L78" s="184" t="str">
        <f>IFERROR(__xludf.DUMMYFUNCTION("ifna(IF(and(D78=""Saída"",J78=""Sangria""),if(sum(QUERY(IMPORTRANGE(""https://docs.google.com/spreadsheets/d/1E4szPcLzsqlw4uyBAoJ61L1ChCgpz4wVP8tHfHW1g_c"",""BD M Sangrias!a:i""),""select Col6 where Col7 = 'Depositada' and Col9 = '""&amp;K78&amp;""' and Col6 = """&amp;"&amp;M78&amp;"" and Col4 = date '""&amp;YEAR(C78)&amp;""-""&amp;MONTH(C78)&amp;""-""&amp;DAY(C78)&amp;""'""))&gt;0,""Depositada"",if(sum(QUERY(IMPORTRANGE(""https://docs.google.com/spreadsheets/d/1EcLIvUgMoBC5as4ikW0wuQsGH5yVZ6cQ1y16qEfgPnk"",""BD M Sangrias!a:i""),""select Col6 where Col7"&amp;" = 'Caixa Atendimento' and Col9 = '""&amp;K78&amp;""' and Col6 = ""&amp;M78&amp;"" and Col4 = date '""&amp;YEAR(C78)&amp;""-""&amp;MONTH(C78)&amp;""-""&amp;DAY(C78)&amp;""'""))&gt;0,""Caixa Atendimento"",""Caixa Sangria"")),""""),""Caixa Sangria"")"),"")</f>
        <v/>
      </c>
      <c r="M78" s="185">
        <f>IFERROR(__xludf.DUMMYFUNCTION("ifna(VALUE(REGEXEXTRACT(E78,""[0-9.]+[,]+[0-9]+"")))"),33.4)</f>
        <v>33.4</v>
      </c>
      <c r="N78" s="194"/>
      <c r="O78" s="195"/>
      <c r="P78" s="196"/>
      <c r="Q78" s="197"/>
      <c r="R78" s="91"/>
      <c r="S78" s="89"/>
      <c r="T78" s="89"/>
      <c r="U78" s="89"/>
      <c r="V78" s="90"/>
    </row>
    <row r="79" ht="14.25" customHeight="1">
      <c r="A79" s="178"/>
      <c r="B79" s="12">
        <v>1666957.0</v>
      </c>
      <c r="C79" s="13">
        <v>45907.7334837963</v>
      </c>
      <c r="D79" s="179" t="s">
        <v>81</v>
      </c>
      <c r="E79" s="180" t="s">
        <v>6476</v>
      </c>
      <c r="F79" s="181"/>
      <c r="G79" s="179" t="s">
        <v>460</v>
      </c>
      <c r="H79" s="190"/>
      <c r="I79" s="190"/>
      <c r="J79" s="187" t="s">
        <v>3151</v>
      </c>
      <c r="K79" s="187"/>
      <c r="L79" s="184" t="str">
        <f>IFERROR(__xludf.DUMMYFUNCTION("ifna(IF(and(D79=""Saída"",J79=""Sangria""),if(sum(QUERY(IMPORTRANGE(""https://docs.google.com/spreadsheets/d/1E4szPcLzsqlw4uyBAoJ61L1ChCgpz4wVP8tHfHW1g_c"",""BD M Sangrias!a:i""),""select Col6 where Col7 = 'Depositada' and Col9 = '""&amp;K79&amp;""' and Col6 = """&amp;"&amp;M79&amp;"" and Col4 = date '""&amp;YEAR(C79)&amp;""-""&amp;MONTH(C79)&amp;""-""&amp;DAY(C79)&amp;""'""))&gt;0,""Depositada"",if(sum(QUERY(IMPORTRANGE(""https://docs.google.com/spreadsheets/d/1EcLIvUgMoBC5as4ikW0wuQsGH5yVZ6cQ1y16qEfgPnk"",""BD M Sangrias!a:i""),""select Col6 where Col7"&amp;" = 'Caixa Atendimento' and Col9 = '""&amp;K79&amp;""' and Col6 = ""&amp;M79&amp;"" and Col4 = date '""&amp;YEAR(C79)&amp;""-""&amp;MONTH(C79)&amp;""-""&amp;DAY(C79)&amp;""'""))&gt;0,""Caixa Atendimento"",""Caixa Sangria"")),""""),""Caixa Sangria"")"),"")</f>
        <v/>
      </c>
      <c r="M79" s="185">
        <f>IFERROR(__xludf.DUMMYFUNCTION("ifna(VALUE(REGEXEXTRACT(E79,""[0-9.]+[,]+[0-9]+"")))"),6.18)</f>
        <v>6.18</v>
      </c>
      <c r="N79" s="194"/>
      <c r="O79" s="195"/>
      <c r="P79" s="196"/>
      <c r="Q79" s="197"/>
      <c r="R79" s="91"/>
      <c r="S79" s="89"/>
      <c r="T79" s="89"/>
      <c r="U79" s="89"/>
      <c r="V79" s="90"/>
    </row>
    <row r="80" ht="14.25" customHeight="1">
      <c r="A80" s="178"/>
      <c r="B80" s="12">
        <v>1666976.0</v>
      </c>
      <c r="C80" s="13">
        <v>45907.73873842593</v>
      </c>
      <c r="D80" s="179" t="s">
        <v>81</v>
      </c>
      <c r="E80" s="180" t="s">
        <v>6477</v>
      </c>
      <c r="F80" s="181"/>
      <c r="G80" s="179" t="s">
        <v>4041</v>
      </c>
      <c r="H80" s="190"/>
      <c r="I80" s="190"/>
      <c r="J80" s="187" t="s">
        <v>3151</v>
      </c>
      <c r="K80" s="187"/>
      <c r="L80" s="184" t="str">
        <f>IFERROR(__xludf.DUMMYFUNCTION("ifna(IF(and(D80=""Saída"",J80=""Sangria""),if(sum(QUERY(IMPORTRANGE(""https://docs.google.com/spreadsheets/d/1E4szPcLzsqlw4uyBAoJ61L1ChCgpz4wVP8tHfHW1g_c"",""BD M Sangrias!a:i""),""select Col6 where Col7 = 'Depositada' and Col9 = '""&amp;K80&amp;""' and Col6 = """&amp;"&amp;M80&amp;"" and Col4 = date '""&amp;YEAR(C80)&amp;""-""&amp;MONTH(C80)&amp;""-""&amp;DAY(C80)&amp;""'""))&gt;0,""Depositada"",if(sum(QUERY(IMPORTRANGE(""https://docs.google.com/spreadsheets/d/1EcLIvUgMoBC5as4ikW0wuQsGH5yVZ6cQ1y16qEfgPnk"",""BD M Sangrias!a:i""),""select Col6 where Col7"&amp;" = 'Caixa Atendimento' and Col9 = '""&amp;K80&amp;""' and Col6 = ""&amp;M80&amp;"" and Col4 = date '""&amp;YEAR(C80)&amp;""-""&amp;MONTH(C80)&amp;""-""&amp;DAY(C80)&amp;""'""))&gt;0,""Caixa Atendimento"",""Caixa Sangria"")),""""),""Caixa Sangria"")"),"")</f>
        <v/>
      </c>
      <c r="M80" s="185">
        <f>IFERROR(__xludf.DUMMYFUNCTION("ifna(VALUE(REGEXEXTRACT(E80,""[0-9.]+[,]+[0-9]+"")))"),38.84)</f>
        <v>38.84</v>
      </c>
      <c r="N80" s="194"/>
      <c r="O80" s="195"/>
      <c r="P80" s="196"/>
      <c r="Q80" s="197"/>
      <c r="R80" s="91"/>
      <c r="S80" s="89"/>
      <c r="T80" s="89"/>
      <c r="U80" s="89"/>
      <c r="V80" s="90"/>
    </row>
    <row r="81" ht="14.25" customHeight="1">
      <c r="A81" s="178"/>
      <c r="B81" s="12">
        <v>1667516.0</v>
      </c>
      <c r="C81" s="13">
        <v>45907.82386574074</v>
      </c>
      <c r="D81" s="179" t="s">
        <v>81</v>
      </c>
      <c r="E81" s="180" t="s">
        <v>127</v>
      </c>
      <c r="F81" s="181"/>
      <c r="G81" s="179" t="s">
        <v>6478</v>
      </c>
      <c r="H81" s="190"/>
      <c r="I81" s="190"/>
      <c r="J81" s="187" t="s">
        <v>2735</v>
      </c>
      <c r="K81" s="187" t="s">
        <v>2018</v>
      </c>
      <c r="L81" s="184" t="str">
        <f>IFERROR(__xludf.DUMMYFUNCTION("ifna(IF(and(D81=""Saída"",J81=""Sangria""),if(sum(QUERY(IMPORTRANGE(""https://docs.google.com/spreadsheets/d/1E4szPcLzsqlw4uyBAoJ61L1ChCgpz4wVP8tHfHW1g_c"",""BD M Sangrias!a:i""),""select Col6 where Col7 = 'Depositada' and Col9 = '""&amp;K81&amp;""' and Col6 = """&amp;"&amp;M81&amp;"" and Col4 = date '""&amp;YEAR(C81)&amp;""-""&amp;MONTH(C81)&amp;""-""&amp;DAY(C81)&amp;""'""))&gt;0,""Depositada"",if(sum(QUERY(IMPORTRANGE(""https://docs.google.com/spreadsheets/d/1EcLIvUgMoBC5as4ikW0wuQsGH5yVZ6cQ1y16qEfgPnk"",""BD M Sangrias!a:i""),""select Col6 where Col7"&amp;" = 'Caixa Atendimento' and Col9 = '""&amp;K81&amp;""' and Col6 = ""&amp;M81&amp;"" and Col4 = date '""&amp;YEAR(C81)&amp;""-""&amp;MONTH(C81)&amp;""-""&amp;DAY(C81)&amp;""'""))&gt;0,""Caixa Atendimento"",""Caixa Sangria"")),""""),""Caixa Sangria"")"),"#REF!")</f>
        <v>#REF!</v>
      </c>
      <c r="M81" s="185">
        <f>IFERROR(__xludf.DUMMYFUNCTION("ifna(VALUE(REGEXEXTRACT(E81,""[0-9.]+[,]+[0-9]+"")))"),250.0)</f>
        <v>250</v>
      </c>
      <c r="N81" s="88"/>
      <c r="O81" s="89"/>
      <c r="P81" s="89"/>
      <c r="Q81" s="89"/>
      <c r="R81" s="91"/>
      <c r="S81" s="89"/>
      <c r="T81" s="89"/>
      <c r="U81" s="89"/>
      <c r="V81" s="90"/>
    </row>
    <row r="82" ht="14.25" customHeight="1">
      <c r="A82" s="178"/>
      <c r="B82" s="12">
        <v>1668348.0</v>
      </c>
      <c r="C82" s="13">
        <v>45907.93707175926</v>
      </c>
      <c r="D82" s="179" t="s">
        <v>81</v>
      </c>
      <c r="E82" s="180" t="s">
        <v>200</v>
      </c>
      <c r="F82" s="181"/>
      <c r="G82" s="179" t="s">
        <v>6479</v>
      </c>
      <c r="H82" s="190"/>
      <c r="I82" s="190"/>
      <c r="J82" s="187" t="s">
        <v>2735</v>
      </c>
      <c r="K82" s="187" t="s">
        <v>2018</v>
      </c>
      <c r="L82" s="184" t="str">
        <f>IFERROR(__xludf.DUMMYFUNCTION("ifna(IF(and(D82=""Saída"",J82=""Sangria""),if(sum(QUERY(IMPORTRANGE(""https://docs.google.com/spreadsheets/d/1E4szPcLzsqlw4uyBAoJ61L1ChCgpz4wVP8tHfHW1g_c"",""BD M Sangrias!a:i""),""select Col6 where Col7 = 'Depositada' and Col9 = '""&amp;K82&amp;""' and Col6 = """&amp;"&amp;M82&amp;"" and Col4 = date '""&amp;YEAR(C82)&amp;""-""&amp;MONTH(C82)&amp;""-""&amp;DAY(C82)&amp;""'""))&gt;0,""Depositada"",if(sum(QUERY(IMPORTRANGE(""https://docs.google.com/spreadsheets/d/1EcLIvUgMoBC5as4ikW0wuQsGH5yVZ6cQ1y16qEfgPnk"",""BD M Sangrias!a:i""),""select Col6 where Col7"&amp;" = 'Caixa Atendimento' and Col9 = '""&amp;K82&amp;""' and Col6 = ""&amp;M82&amp;"" and Col4 = date '""&amp;YEAR(C82)&amp;""-""&amp;MONTH(C82)&amp;""-""&amp;DAY(C82)&amp;""'""))&gt;0,""Caixa Atendimento"",""Caixa Sangria"")),""""),""Caixa Sangria"")"),"#REF!")</f>
        <v>#REF!</v>
      </c>
      <c r="M82" s="185">
        <f>IFERROR(__xludf.DUMMYFUNCTION("ifna(VALUE(REGEXEXTRACT(E82,""[0-9.]+[,]+[0-9]+"")))"),300.0)</f>
        <v>300</v>
      </c>
      <c r="N82" s="88"/>
      <c r="O82" s="89"/>
      <c r="P82" s="89"/>
      <c r="Q82" s="89"/>
      <c r="R82" s="91"/>
      <c r="S82" s="89"/>
      <c r="T82" s="89"/>
      <c r="U82" s="89"/>
      <c r="V82" s="90"/>
    </row>
    <row r="83" ht="14.25" customHeight="1">
      <c r="A83" s="178"/>
      <c r="B83" s="12">
        <v>1668393.0</v>
      </c>
      <c r="C83" s="13">
        <v>45907.942094907405</v>
      </c>
      <c r="D83" s="179" t="s">
        <v>81</v>
      </c>
      <c r="E83" s="180" t="s">
        <v>5410</v>
      </c>
      <c r="F83" s="188"/>
      <c r="G83" s="179" t="s">
        <v>4071</v>
      </c>
      <c r="H83" s="190"/>
      <c r="I83" s="190"/>
      <c r="J83" s="187" t="s">
        <v>2735</v>
      </c>
      <c r="K83" s="187" t="s">
        <v>2018</v>
      </c>
      <c r="L83" s="184" t="str">
        <f>IFERROR(__xludf.DUMMYFUNCTION("ifna(IF(and(D83=""Saída"",J83=""Sangria""),if(sum(QUERY(IMPORTRANGE(""https://docs.google.com/spreadsheets/d/1E4szPcLzsqlw4uyBAoJ61L1ChCgpz4wVP8tHfHW1g_c"",""BD M Sangrias!a:i""),""select Col6 where Col7 = 'Depositada' and Col9 = '""&amp;K83&amp;""' and Col6 = """&amp;"&amp;M83&amp;"" and Col4 = date '""&amp;YEAR(C83)&amp;""-""&amp;MONTH(C83)&amp;""-""&amp;DAY(C83)&amp;""'""))&gt;0,""Depositada"",if(sum(QUERY(IMPORTRANGE(""https://docs.google.com/spreadsheets/d/1EcLIvUgMoBC5as4ikW0wuQsGH5yVZ6cQ1y16qEfgPnk"",""BD M Sangrias!a:i""),""select Col6 where Col7"&amp;" = 'Caixa Atendimento' and Col9 = '""&amp;K83&amp;""' and Col6 = ""&amp;M83&amp;"" and Col4 = date '""&amp;YEAR(C83)&amp;""-""&amp;MONTH(C83)&amp;""-""&amp;DAY(C83)&amp;""'""))&gt;0,""Caixa Atendimento"",""Caixa Sangria"")),""""),""Caixa Sangria"")"),"#REF!")</f>
        <v>#REF!</v>
      </c>
      <c r="M83" s="185">
        <f>IFERROR(__xludf.DUMMYFUNCTION("ifna(VALUE(REGEXEXTRACT(E83,""[0-9.]+[,]+[0-9]+"")))"),1550.0)</f>
        <v>1550</v>
      </c>
      <c r="N83" s="108"/>
      <c r="O83" s="109"/>
      <c r="P83" s="109"/>
      <c r="Q83" s="109"/>
      <c r="R83" s="91"/>
      <c r="S83" s="109"/>
      <c r="T83" s="109"/>
      <c r="U83" s="109"/>
      <c r="V83" s="111"/>
    </row>
    <row r="84" ht="14.25" customHeight="1">
      <c r="A84" s="178"/>
      <c r="B84" s="12">
        <v>1669639.0</v>
      </c>
      <c r="C84" s="13">
        <v>45908.77710648148</v>
      </c>
      <c r="D84" s="179" t="s">
        <v>81</v>
      </c>
      <c r="E84" s="180" t="s">
        <v>5399</v>
      </c>
      <c r="F84" s="181"/>
      <c r="G84" s="179" t="s">
        <v>6480</v>
      </c>
      <c r="H84" s="190"/>
      <c r="I84" s="190"/>
      <c r="J84" s="187" t="s">
        <v>3151</v>
      </c>
      <c r="K84" s="187"/>
      <c r="L84" s="184" t="str">
        <f>IFERROR(__xludf.DUMMYFUNCTION("ifna(IF(and(D84=""Saída"",J84=""Sangria""),if(sum(QUERY(IMPORTRANGE(""https://docs.google.com/spreadsheets/d/1E4szPcLzsqlw4uyBAoJ61L1ChCgpz4wVP8tHfHW1g_c"",""BD M Sangrias!a:i""),""select Col6 where Col7 = 'Depositada' and Col9 = '""&amp;K84&amp;""' and Col6 = """&amp;"&amp;M84&amp;"" and Col4 = date '""&amp;YEAR(C84)&amp;""-""&amp;MONTH(C84)&amp;""-""&amp;DAY(C84)&amp;""'""))&gt;0,""Depositada"",if(sum(QUERY(IMPORTRANGE(""https://docs.google.com/spreadsheets/d/1EcLIvUgMoBC5as4ikW0wuQsGH5yVZ6cQ1y16qEfgPnk"",""BD M Sangrias!a:i""),""select Col6 where Col7"&amp;" = 'Caixa Atendimento' and Col9 = '""&amp;K84&amp;""' and Col6 = ""&amp;M84&amp;"" and Col4 = date '""&amp;YEAR(C84)&amp;""-""&amp;MONTH(C84)&amp;""-""&amp;DAY(C84)&amp;""'""))&gt;0,""Caixa Atendimento"",""Caixa Sangria"")),""""),""Caixa Sangria"")"),"")</f>
        <v/>
      </c>
      <c r="M84" s="185">
        <f>IFERROR(__xludf.DUMMYFUNCTION("ifna(VALUE(REGEXEXTRACT(E84,""[0-9.]+[,]+[0-9]+"")))"),75.0)</f>
        <v>75</v>
      </c>
      <c r="N84" s="201"/>
      <c r="O84" s="202"/>
      <c r="P84" s="202"/>
      <c r="Q84" s="202"/>
      <c r="R84" s="91"/>
      <c r="S84" s="202"/>
      <c r="T84" s="202"/>
      <c r="U84" s="202"/>
      <c r="V84" s="203"/>
    </row>
    <row r="85" ht="14.25" customHeight="1">
      <c r="A85" s="178"/>
      <c r="B85" s="12">
        <v>1669857.0</v>
      </c>
      <c r="C85" s="13">
        <v>45908.85369212963</v>
      </c>
      <c r="D85" s="179" t="s">
        <v>152</v>
      </c>
      <c r="E85" s="180" t="s">
        <v>127</v>
      </c>
      <c r="F85" s="181"/>
      <c r="G85" s="179" t="s">
        <v>5192</v>
      </c>
      <c r="H85" s="190"/>
      <c r="I85" s="190"/>
      <c r="J85" s="187" t="s">
        <v>5195</v>
      </c>
      <c r="K85" s="187"/>
      <c r="L85" s="184" t="str">
        <f>IFERROR(__xludf.DUMMYFUNCTION("ifna(IF(and(D85=""Saída"",J85=""Sangria""),if(sum(QUERY(IMPORTRANGE(""https://docs.google.com/spreadsheets/d/1E4szPcLzsqlw4uyBAoJ61L1ChCgpz4wVP8tHfHW1g_c"",""BD M Sangrias!a:i""),""select Col6 where Col7 = 'Depositada' and Col9 = '""&amp;K85&amp;""' and Col6 = """&amp;"&amp;M85&amp;"" and Col4 = date '""&amp;YEAR(C85)&amp;""-""&amp;MONTH(C85)&amp;""-""&amp;DAY(C85)&amp;""'""))&gt;0,""Depositada"",if(sum(QUERY(IMPORTRANGE(""https://docs.google.com/spreadsheets/d/1EcLIvUgMoBC5as4ikW0wuQsGH5yVZ6cQ1y16qEfgPnk"",""BD M Sangrias!a:i""),""select Col6 where Col7"&amp;" = 'Caixa Atendimento' and Col9 = '""&amp;K85&amp;""' and Col6 = ""&amp;M85&amp;"" and Col4 = date '""&amp;YEAR(C85)&amp;""-""&amp;MONTH(C85)&amp;""-""&amp;DAY(C85)&amp;""'""))&gt;0,""Caixa Atendimento"",""Caixa Sangria"")),""""),""Caixa Sangria"")"),"")</f>
        <v/>
      </c>
      <c r="M85" s="185">
        <f>IFERROR(__xludf.DUMMYFUNCTION("ifna(VALUE(REGEXEXTRACT(E85,""[0-9.]+[,]+[0-9]+"")))"),250.0)</f>
        <v>250</v>
      </c>
      <c r="N85" s="201"/>
      <c r="O85" s="202"/>
      <c r="P85" s="202"/>
      <c r="Q85" s="202"/>
      <c r="R85" s="91"/>
      <c r="S85" s="202"/>
      <c r="T85" s="202"/>
      <c r="U85" s="202"/>
      <c r="V85" s="203"/>
    </row>
    <row r="86" ht="14.25" customHeight="1">
      <c r="A86" s="178"/>
      <c r="B86" s="12">
        <v>1669858.0</v>
      </c>
      <c r="C86" s="13">
        <v>45908.854050925926</v>
      </c>
      <c r="D86" s="179" t="s">
        <v>81</v>
      </c>
      <c r="E86" s="180" t="s">
        <v>6481</v>
      </c>
      <c r="F86" s="181"/>
      <c r="G86" s="179" t="s">
        <v>5831</v>
      </c>
      <c r="H86" s="190"/>
      <c r="I86" s="190"/>
      <c r="J86" s="187" t="s">
        <v>1782</v>
      </c>
      <c r="K86" s="187"/>
      <c r="L86" s="184" t="str">
        <f>IFERROR(__xludf.DUMMYFUNCTION("ifna(IF(and(D86=""Saída"",J86=""Sangria""),if(sum(QUERY(IMPORTRANGE(""https://docs.google.com/spreadsheets/d/1E4szPcLzsqlw4uyBAoJ61L1ChCgpz4wVP8tHfHW1g_c"",""BD M Sangrias!a:i""),""select Col6 where Col7 = 'Depositada' and Col9 = '""&amp;K86&amp;""' and Col6 = """&amp;"&amp;M86&amp;"" and Col4 = date '""&amp;YEAR(C86)&amp;""-""&amp;MONTH(C86)&amp;""-""&amp;DAY(C86)&amp;""'""))&gt;0,""Depositada"",if(sum(QUERY(IMPORTRANGE(""https://docs.google.com/spreadsheets/d/1EcLIvUgMoBC5as4ikW0wuQsGH5yVZ6cQ1y16qEfgPnk"",""BD M Sangrias!a:i""),""select Col6 where Col7"&amp;" = 'Caixa Atendimento' and Col9 = '""&amp;K86&amp;""' and Col6 = ""&amp;M86&amp;"" and Col4 = date '""&amp;YEAR(C86)&amp;""-""&amp;MONTH(C86)&amp;""-""&amp;DAY(C86)&amp;""'""))&gt;0,""Caixa Atendimento"",""Caixa Sangria"")),""""),""Caixa Sangria"")"),"")</f>
        <v/>
      </c>
      <c r="M86" s="185">
        <f>IFERROR(__xludf.DUMMYFUNCTION("ifna(VALUE(REGEXEXTRACT(E86,""[0-9.]+[,]+[0-9]+"")))"),263.0)</f>
        <v>263</v>
      </c>
      <c r="N86" s="201"/>
      <c r="O86" s="202"/>
      <c r="P86" s="202"/>
      <c r="Q86" s="202"/>
      <c r="R86" s="91"/>
      <c r="S86" s="202"/>
      <c r="T86" s="202"/>
      <c r="U86" s="202"/>
      <c r="V86" s="203"/>
    </row>
    <row r="87" ht="14.25" customHeight="1">
      <c r="A87" s="178"/>
      <c r="B87" s="12">
        <v>1669860.0</v>
      </c>
      <c r="C87" s="13">
        <v>45908.85430555556</v>
      </c>
      <c r="D87" s="179" t="s">
        <v>81</v>
      </c>
      <c r="E87" s="180" t="s">
        <v>6482</v>
      </c>
      <c r="F87" s="188"/>
      <c r="G87" s="179" t="s">
        <v>6483</v>
      </c>
      <c r="H87" s="190"/>
      <c r="I87" s="190"/>
      <c r="J87" s="187" t="s">
        <v>1782</v>
      </c>
      <c r="K87" s="187"/>
      <c r="L87" s="184" t="str">
        <f>IFERROR(__xludf.DUMMYFUNCTION("ifna(IF(and(D87=""Saída"",J87=""Sangria""),if(sum(QUERY(IMPORTRANGE(""https://docs.google.com/spreadsheets/d/1E4szPcLzsqlw4uyBAoJ61L1ChCgpz4wVP8tHfHW1g_c"",""BD M Sangrias!a:i""),""select Col6 where Col7 = 'Depositada' and Col9 = '""&amp;K87&amp;""' and Col6 = """&amp;"&amp;M87&amp;"" and Col4 = date '""&amp;YEAR(C87)&amp;""-""&amp;MONTH(C87)&amp;""-""&amp;DAY(C87)&amp;""'""))&gt;0,""Depositada"",if(sum(QUERY(IMPORTRANGE(""https://docs.google.com/spreadsheets/d/1EcLIvUgMoBC5as4ikW0wuQsGH5yVZ6cQ1y16qEfgPnk"",""BD M Sangrias!a:i""),""select Col6 where Col7"&amp;" = 'Caixa Atendimento' and Col9 = '""&amp;K87&amp;""' and Col6 = ""&amp;M87&amp;"" and Col4 = date '""&amp;YEAR(C87)&amp;""-""&amp;MONTH(C87)&amp;""-""&amp;DAY(C87)&amp;""'""))&gt;0,""Caixa Atendimento"",""Caixa Sangria"")),""""),""Caixa Sangria"")"),"")</f>
        <v/>
      </c>
      <c r="M87" s="185">
        <f>IFERROR(__xludf.DUMMYFUNCTION("ifna(VALUE(REGEXEXTRACT(E87,""[0-9.]+[,]+[0-9]+"")))"),418.0)</f>
        <v>418</v>
      </c>
      <c r="N87" s="201"/>
      <c r="O87" s="202"/>
      <c r="P87" s="202"/>
      <c r="Q87" s="202"/>
      <c r="R87" s="91"/>
      <c r="S87" s="202"/>
      <c r="T87" s="202"/>
      <c r="U87" s="202"/>
      <c r="V87" s="203"/>
    </row>
    <row r="88" ht="14.25" customHeight="1">
      <c r="A88" s="178"/>
      <c r="B88" s="12">
        <v>1670781.0</v>
      </c>
      <c r="C88" s="13">
        <v>45909.620787037034</v>
      </c>
      <c r="D88" s="179" t="s">
        <v>152</v>
      </c>
      <c r="E88" s="180" t="s">
        <v>335</v>
      </c>
      <c r="F88" s="181"/>
      <c r="G88" s="179" t="s">
        <v>388</v>
      </c>
      <c r="H88" s="190"/>
      <c r="I88" s="190"/>
      <c r="J88" s="187"/>
      <c r="K88" s="187"/>
      <c r="L88" s="184" t="str">
        <f>IFERROR(__xludf.DUMMYFUNCTION("ifna(IF(and(D88=""Saída"",J88=""Sangria""),if(sum(QUERY(IMPORTRANGE(""https://docs.google.com/spreadsheets/d/1E4szPcLzsqlw4uyBAoJ61L1ChCgpz4wVP8tHfHW1g_c"",""BD M Sangrias!a:i""),""select Col6 where Col7 = 'Depositada' and Col9 = '""&amp;K88&amp;""' and Col6 = """&amp;"&amp;M88&amp;"" and Col4 = date '""&amp;YEAR(C88)&amp;""-""&amp;MONTH(C88)&amp;""-""&amp;DAY(C88)&amp;""'""))&gt;0,""Depositada"",if(sum(QUERY(IMPORTRANGE(""https://docs.google.com/spreadsheets/d/1EcLIvUgMoBC5as4ikW0wuQsGH5yVZ6cQ1y16qEfgPnk"",""BD M Sangrias!a:i""),""select Col6 where Col7"&amp;" = 'Caixa Atendimento' and Col9 = '""&amp;K88&amp;""' and Col6 = ""&amp;M88&amp;"" and Col4 = date '""&amp;YEAR(C88)&amp;""-""&amp;MONTH(C88)&amp;""-""&amp;DAY(C88)&amp;""'""))&gt;0,""Caixa Atendimento"",""Caixa Sangria"")),""""),""Caixa Sangria"")"),"")</f>
        <v/>
      </c>
      <c r="M88" s="185">
        <f>IFERROR(__xludf.DUMMYFUNCTION("ifna(VALUE(REGEXEXTRACT(E88,""[0-9.]+[,]+[0-9]+"")))"),10.0)</f>
        <v>10</v>
      </c>
      <c r="N88" s="204"/>
      <c r="O88" s="205"/>
      <c r="P88" s="205"/>
      <c r="Q88" s="205"/>
      <c r="R88" s="206"/>
      <c r="S88" s="205"/>
      <c r="T88" s="205"/>
      <c r="U88" s="205"/>
      <c r="V88" s="207"/>
    </row>
    <row r="89" ht="14.25" customHeight="1">
      <c r="A89" s="178"/>
      <c r="B89" s="12">
        <v>1672011.0</v>
      </c>
      <c r="C89" s="13">
        <v>45909.96925925926</v>
      </c>
      <c r="D89" s="179" t="s">
        <v>81</v>
      </c>
      <c r="E89" s="180" t="s">
        <v>5437</v>
      </c>
      <c r="F89" s="181"/>
      <c r="G89" s="179" t="s">
        <v>6484</v>
      </c>
      <c r="H89" s="190"/>
      <c r="I89" s="190"/>
      <c r="J89" s="187" t="s">
        <v>2735</v>
      </c>
      <c r="K89" s="187" t="s">
        <v>2018</v>
      </c>
      <c r="L89" s="184" t="str">
        <f>IFERROR(__xludf.DUMMYFUNCTION("ifna(IF(and(D89=""Saída"",J89=""Sangria""),if(sum(QUERY(IMPORTRANGE(""https://docs.google.com/spreadsheets/d/1E4szPcLzsqlw4uyBAoJ61L1ChCgpz4wVP8tHfHW1g_c"",""BD M Sangrias!a:i""),""select Col6 where Col7 = 'Depositada' and Col9 = '""&amp;K89&amp;""' and Col6 = """&amp;"&amp;M89&amp;"" and Col4 = date '""&amp;YEAR(C89)&amp;""-""&amp;MONTH(C89)&amp;""-""&amp;DAY(C89)&amp;""'""))&gt;0,""Depositada"",if(sum(QUERY(IMPORTRANGE(""https://docs.google.com/spreadsheets/d/1EcLIvUgMoBC5as4ikW0wuQsGH5yVZ6cQ1y16qEfgPnk"",""BD M Sangrias!a:i""),""select Col6 where Col7"&amp;" = 'Caixa Atendimento' and Col9 = '""&amp;K89&amp;""' and Col6 = ""&amp;M89&amp;"" and Col4 = date '""&amp;YEAR(C89)&amp;""-""&amp;MONTH(C89)&amp;""-""&amp;DAY(C89)&amp;""'""))&gt;0,""Caixa Atendimento"",""Caixa Sangria"")),""""),""Caixa Sangria"")"),"#REF!")</f>
        <v>#REF!</v>
      </c>
      <c r="M89" s="185">
        <f>IFERROR(__xludf.DUMMYFUNCTION("ifna(VALUE(REGEXEXTRACT(E89,""[0-9.]+[,]+[0-9]+"")))"),600.0)</f>
        <v>600</v>
      </c>
      <c r="N89" s="25"/>
      <c r="O89" s="25"/>
      <c r="P89" s="25"/>
      <c r="Q89" s="25"/>
      <c r="R89" s="25"/>
      <c r="S89" s="25"/>
      <c r="T89" s="25"/>
      <c r="U89" s="25"/>
      <c r="V89" s="25"/>
    </row>
    <row r="90" ht="14.25" customHeight="1">
      <c r="A90" s="178"/>
      <c r="B90" s="12">
        <v>1672204.0</v>
      </c>
      <c r="C90" s="13">
        <v>45910.551932870374</v>
      </c>
      <c r="D90" s="179" t="s">
        <v>152</v>
      </c>
      <c r="E90" s="180" t="s">
        <v>929</v>
      </c>
      <c r="F90" s="181"/>
      <c r="G90" s="179" t="s">
        <v>6485</v>
      </c>
      <c r="H90" s="190"/>
      <c r="I90" s="190"/>
      <c r="J90" s="187" t="s">
        <v>2669</v>
      </c>
      <c r="K90" s="187"/>
      <c r="L90" s="184" t="str">
        <f>IFERROR(__xludf.DUMMYFUNCTION("ifna(IF(and(D90=""Saída"",J90=""Sangria""),if(sum(QUERY(IMPORTRANGE(""https://docs.google.com/spreadsheets/d/1E4szPcLzsqlw4uyBAoJ61L1ChCgpz4wVP8tHfHW1g_c"",""BD M Sangrias!a:i""),""select Col6 where Col7 = 'Depositada' and Col9 = '""&amp;K90&amp;""' and Col6 = """&amp;"&amp;M90&amp;"" and Col4 = date '""&amp;YEAR(C90)&amp;""-""&amp;MONTH(C90)&amp;""-""&amp;DAY(C90)&amp;""'""))&gt;0,""Depositada"",if(sum(QUERY(IMPORTRANGE(""https://docs.google.com/spreadsheets/d/1EcLIvUgMoBC5as4ikW0wuQsGH5yVZ6cQ1y16qEfgPnk"",""BD M Sangrias!a:i""),""select Col6 where Col7"&amp;" = 'Caixa Atendimento' and Col9 = '""&amp;K90&amp;""' and Col6 = ""&amp;M90&amp;"" and Col4 = date '""&amp;YEAR(C90)&amp;""-""&amp;MONTH(C90)&amp;""-""&amp;DAY(C90)&amp;""'""))&gt;0,""Caixa Atendimento"",""Caixa Sangria"")),""""),""Caixa Sangria"")"),"")</f>
        <v/>
      </c>
      <c r="M90" s="185">
        <f>IFERROR(__xludf.DUMMYFUNCTION("ifna(VALUE(REGEXEXTRACT(E90,""[0-9.]+[,]+[0-9]+"")))"),28.0)</f>
        <v>28</v>
      </c>
      <c r="N90" s="25"/>
      <c r="O90" s="25"/>
      <c r="P90" s="25"/>
      <c r="Q90" s="25"/>
      <c r="R90" s="25"/>
      <c r="S90" s="25"/>
      <c r="T90" s="25"/>
      <c r="U90" s="25"/>
      <c r="V90" s="25"/>
    </row>
    <row r="91" ht="14.25" customHeight="1">
      <c r="A91" s="178"/>
      <c r="B91" s="12">
        <v>1672531.0</v>
      </c>
      <c r="C91" s="13">
        <v>45910.67181712963</v>
      </c>
      <c r="D91" s="179" t="s">
        <v>81</v>
      </c>
      <c r="E91" s="180" t="s">
        <v>4106</v>
      </c>
      <c r="F91" s="181"/>
      <c r="G91" s="179" t="s">
        <v>6486</v>
      </c>
      <c r="H91" s="190"/>
      <c r="I91" s="190"/>
      <c r="J91" s="187" t="s">
        <v>2735</v>
      </c>
      <c r="K91" s="187" t="s">
        <v>2018</v>
      </c>
      <c r="L91" s="184" t="str">
        <f>IFERROR(__xludf.DUMMYFUNCTION("ifna(IF(and(D91=""Saída"",J91=""Sangria""),if(sum(QUERY(IMPORTRANGE(""https://docs.google.com/spreadsheets/d/1E4szPcLzsqlw4uyBAoJ61L1ChCgpz4wVP8tHfHW1g_c"",""BD M Sangrias!a:i""),""select Col6 where Col7 = 'Depositada' and Col9 = '""&amp;K91&amp;""' and Col6 = """&amp;"&amp;M91&amp;"" and Col4 = date '""&amp;YEAR(C91)&amp;""-""&amp;MONTH(C91)&amp;""-""&amp;DAY(C91)&amp;""'""))&gt;0,""Depositada"",if(sum(QUERY(IMPORTRANGE(""https://docs.google.com/spreadsheets/d/1EcLIvUgMoBC5as4ikW0wuQsGH5yVZ6cQ1y16qEfgPnk"",""BD M Sangrias!a:i""),""select Col6 where Col7"&amp;" = 'Caixa Atendimento' and Col9 = '""&amp;K91&amp;""' and Col6 = ""&amp;M91&amp;"" and Col4 = date '""&amp;YEAR(C91)&amp;""-""&amp;MONTH(C91)&amp;""-""&amp;DAY(C91)&amp;""'""))&gt;0,""Caixa Atendimento"",""Caixa Sangria"")),""""),""Caixa Sangria"")"),"#REF!")</f>
        <v>#REF!</v>
      </c>
      <c r="M91" s="185">
        <f>IFERROR(__xludf.DUMMYFUNCTION("ifna(VALUE(REGEXEXTRACT(E91,""[0-9.]+[,]+[0-9]+"")))"),750.0)</f>
        <v>750</v>
      </c>
      <c r="N91" s="25"/>
      <c r="O91" s="25"/>
      <c r="P91" s="25"/>
      <c r="Q91" s="25"/>
      <c r="R91" s="25"/>
      <c r="S91" s="25"/>
      <c r="T91" s="25"/>
      <c r="U91" s="25"/>
      <c r="V91" s="25"/>
    </row>
    <row r="92" ht="14.25" customHeight="1">
      <c r="A92" s="178"/>
      <c r="B92" s="12">
        <v>1673630.0</v>
      </c>
      <c r="C92" s="13">
        <v>45910.946909722225</v>
      </c>
      <c r="D92" s="179" t="s">
        <v>81</v>
      </c>
      <c r="E92" s="180" t="s">
        <v>184</v>
      </c>
      <c r="F92" s="188"/>
      <c r="G92" s="179" t="s">
        <v>4071</v>
      </c>
      <c r="H92" s="190"/>
      <c r="I92" s="190"/>
      <c r="J92" s="187" t="s">
        <v>2735</v>
      </c>
      <c r="K92" s="187" t="s">
        <v>2018</v>
      </c>
      <c r="L92" s="184" t="str">
        <f>IFERROR(__xludf.DUMMYFUNCTION("ifna(IF(and(D92=""Saída"",J92=""Sangria""),if(sum(QUERY(IMPORTRANGE(""https://docs.google.com/spreadsheets/d/1E4szPcLzsqlw4uyBAoJ61L1ChCgpz4wVP8tHfHW1g_c"",""BD M Sangrias!a:i""),""select Col6 where Col7 = 'Depositada' and Col9 = '""&amp;K92&amp;""' and Col6 = """&amp;"&amp;M92&amp;"" and Col4 = date '""&amp;YEAR(C92)&amp;""-""&amp;MONTH(C92)&amp;""-""&amp;DAY(C92)&amp;""'""))&gt;0,""Depositada"",if(sum(QUERY(IMPORTRANGE(""https://docs.google.com/spreadsheets/d/1EcLIvUgMoBC5as4ikW0wuQsGH5yVZ6cQ1y16qEfgPnk"",""BD M Sangrias!a:i""),""select Col6 where Col7"&amp;" = 'Caixa Atendimento' and Col9 = '""&amp;K92&amp;""' and Col6 = ""&amp;M92&amp;"" and Col4 = date '""&amp;YEAR(C92)&amp;""-""&amp;MONTH(C92)&amp;""-""&amp;DAY(C92)&amp;""'""))&gt;0,""Caixa Atendimento"",""Caixa Sangria"")),""""),""Caixa Sangria"")"),"#REF!")</f>
        <v>#REF!</v>
      </c>
      <c r="M92" s="185">
        <f>IFERROR(__xludf.DUMMYFUNCTION("ifna(VALUE(REGEXEXTRACT(E92,""[0-9.]+[,]+[0-9]+"")))"),450.0)</f>
        <v>450</v>
      </c>
      <c r="N92" s="25"/>
      <c r="O92" s="25"/>
      <c r="P92" s="25"/>
      <c r="Q92" s="25"/>
      <c r="R92" s="25"/>
      <c r="S92" s="25"/>
      <c r="T92" s="185"/>
      <c r="U92" s="185"/>
      <c r="V92" s="185"/>
    </row>
    <row r="93" ht="14.25" customHeight="1">
      <c r="A93" s="178"/>
      <c r="B93" s="12">
        <v>1674108.0</v>
      </c>
      <c r="C93" s="13">
        <v>45911.63943287037</v>
      </c>
      <c r="D93" s="179" t="s">
        <v>152</v>
      </c>
      <c r="E93" s="180" t="s">
        <v>517</v>
      </c>
      <c r="F93" s="181"/>
      <c r="G93" s="179" t="s">
        <v>267</v>
      </c>
      <c r="H93" s="190"/>
      <c r="I93" s="190"/>
      <c r="J93" s="187" t="s">
        <v>2669</v>
      </c>
      <c r="K93" s="187"/>
      <c r="L93" s="184" t="str">
        <f>IFERROR(__xludf.DUMMYFUNCTION("ifna(IF(and(D93=""Saída"",J93=""Sangria""),if(sum(QUERY(IMPORTRANGE(""https://docs.google.com/spreadsheets/d/1E4szPcLzsqlw4uyBAoJ61L1ChCgpz4wVP8tHfHW1g_c"",""BD M Sangrias!a:i""),""select Col6 where Col7 = 'Depositada' and Col9 = '""&amp;K93&amp;""' and Col6 = """&amp;"&amp;M93&amp;"" and Col4 = date '""&amp;YEAR(C93)&amp;""-""&amp;MONTH(C93)&amp;""-""&amp;DAY(C93)&amp;""'""))&gt;0,""Depositada"",if(sum(QUERY(IMPORTRANGE(""https://docs.google.com/spreadsheets/d/1EcLIvUgMoBC5as4ikW0wuQsGH5yVZ6cQ1y16qEfgPnk"",""BD M Sangrias!a:i""),""select Col6 where Col7"&amp;" = 'Caixa Atendimento' and Col9 = '""&amp;K93&amp;""' and Col6 = ""&amp;M93&amp;"" and Col4 = date '""&amp;YEAR(C93)&amp;""-""&amp;MONTH(C93)&amp;""-""&amp;DAY(C93)&amp;""'""))&gt;0,""Caixa Atendimento"",""Caixa Sangria"")),""""),""Caixa Sangria"")"),"")</f>
        <v/>
      </c>
      <c r="M93" s="185">
        <f>IFERROR(__xludf.DUMMYFUNCTION("ifna(VALUE(REGEXEXTRACT(E93,""[0-9.]+[,]+[0-9]+"")))"),40.0)</f>
        <v>40</v>
      </c>
      <c r="N93" s="209" t="s">
        <v>3799</v>
      </c>
      <c r="O93" s="210"/>
      <c r="P93" s="210"/>
      <c r="Q93" s="210"/>
      <c r="R93" s="210"/>
      <c r="S93" s="59"/>
      <c r="T93" s="185"/>
      <c r="U93" s="185"/>
      <c r="V93" s="185"/>
    </row>
    <row r="94" ht="14.25" customHeight="1">
      <c r="A94" s="178"/>
      <c r="B94" s="12">
        <v>1674191.0</v>
      </c>
      <c r="C94" s="13">
        <v>45911.66173611111</v>
      </c>
      <c r="D94" s="179" t="s">
        <v>81</v>
      </c>
      <c r="E94" s="180" t="s">
        <v>6487</v>
      </c>
      <c r="F94" s="181"/>
      <c r="G94" s="179" t="s">
        <v>5741</v>
      </c>
      <c r="H94" s="190"/>
      <c r="I94" s="190"/>
      <c r="J94" s="187" t="s">
        <v>3151</v>
      </c>
      <c r="K94" s="187"/>
      <c r="L94" s="184" t="str">
        <f>IFERROR(__xludf.DUMMYFUNCTION("ifna(IF(and(D94=""Saída"",J94=""Sangria""),if(sum(QUERY(IMPORTRANGE(""https://docs.google.com/spreadsheets/d/1E4szPcLzsqlw4uyBAoJ61L1ChCgpz4wVP8tHfHW1g_c"",""BD M Sangrias!a:i""),""select Col6 where Col7 = 'Depositada' and Col9 = '""&amp;K94&amp;""' and Col6 = """&amp;"&amp;M94&amp;"" and Col4 = date '""&amp;YEAR(C94)&amp;""-""&amp;MONTH(C94)&amp;""-""&amp;DAY(C94)&amp;""'""))&gt;0,""Depositada"",if(sum(QUERY(IMPORTRANGE(""https://docs.google.com/spreadsheets/d/1EcLIvUgMoBC5as4ikW0wuQsGH5yVZ6cQ1y16qEfgPnk"",""BD M Sangrias!a:i""),""select Col6 where Col7"&amp;" = 'Caixa Atendimento' and Col9 = '""&amp;K94&amp;""' and Col6 = ""&amp;M94&amp;"" and Col4 = date '""&amp;YEAR(C94)&amp;""-""&amp;MONTH(C94)&amp;""-""&amp;DAY(C94)&amp;""'""))&gt;0,""Caixa Atendimento"",""Caixa Sangria"")),""""),""Caixa Sangria"")"),"")</f>
        <v/>
      </c>
      <c r="M94" s="185">
        <f>IFERROR(__xludf.DUMMYFUNCTION("ifna(VALUE(REGEXEXTRACT(E94,""[0-9.]+[,]+[0-9]+"")))"),35.33)</f>
        <v>35.33</v>
      </c>
      <c r="N94" s="211"/>
      <c r="S94" s="212"/>
      <c r="T94" s="185"/>
      <c r="U94" s="185"/>
      <c r="V94" s="185"/>
    </row>
    <row r="95" ht="14.25" customHeight="1">
      <c r="A95" s="178"/>
      <c r="B95" s="12">
        <v>1674200.0</v>
      </c>
      <c r="C95" s="13">
        <v>45911.66423611111</v>
      </c>
      <c r="D95" s="179" t="s">
        <v>81</v>
      </c>
      <c r="E95" s="180" t="s">
        <v>943</v>
      </c>
      <c r="F95" s="181"/>
      <c r="G95" s="179" t="s">
        <v>3907</v>
      </c>
      <c r="H95" s="190"/>
      <c r="I95" s="190"/>
      <c r="J95" s="187" t="s">
        <v>2735</v>
      </c>
      <c r="K95" s="187" t="s">
        <v>2018</v>
      </c>
      <c r="L95" s="184" t="str">
        <f>IFERROR(__xludf.DUMMYFUNCTION("ifna(IF(and(D95=""Saída"",J95=""Sangria""),if(sum(QUERY(IMPORTRANGE(""https://docs.google.com/spreadsheets/d/1E4szPcLzsqlw4uyBAoJ61L1ChCgpz4wVP8tHfHW1g_c"",""BD M Sangrias!a:i""),""select Col6 where Col7 = 'Depositada' and Col9 = '""&amp;K95&amp;""' and Col6 = """&amp;"&amp;M95&amp;"" and Col4 = date '""&amp;YEAR(C95)&amp;""-""&amp;MONTH(C95)&amp;""-""&amp;DAY(C95)&amp;""'""))&gt;0,""Depositada"",if(sum(QUERY(IMPORTRANGE(""https://docs.google.com/spreadsheets/d/1EcLIvUgMoBC5as4ikW0wuQsGH5yVZ6cQ1y16qEfgPnk"",""BD M Sangrias!a:i""),""select Col6 where Col7"&amp;" = 'Caixa Atendimento' and Col9 = '""&amp;K95&amp;""' and Col6 = ""&amp;M95&amp;"" and Col4 = date '""&amp;YEAR(C95)&amp;""-""&amp;MONTH(C95)&amp;""-""&amp;DAY(C95)&amp;""'""))&gt;0,""Caixa Atendimento"",""Caixa Sangria"")),""""),""Caixa Sangria"")"),"#REF!")</f>
        <v>#REF!</v>
      </c>
      <c r="M95" s="185">
        <f>IFERROR(__xludf.DUMMYFUNCTION("ifna(VALUE(REGEXEXTRACT(E95,""[0-9.]+[,]+[0-9]+"")))"),800.0)</f>
        <v>800</v>
      </c>
      <c r="N95" s="213" t="s">
        <v>1</v>
      </c>
      <c r="O95" s="214" t="s">
        <v>2</v>
      </c>
      <c r="P95" s="214" t="s">
        <v>3830</v>
      </c>
      <c r="Q95" s="214" t="s">
        <v>46</v>
      </c>
      <c r="R95" s="215" t="s">
        <v>33</v>
      </c>
      <c r="S95" s="212"/>
      <c r="T95" s="185"/>
      <c r="U95" s="185"/>
      <c r="V95" s="185"/>
    </row>
    <row r="96" ht="14.25" customHeight="1">
      <c r="A96" s="178"/>
      <c r="B96" s="12">
        <v>1675441.0</v>
      </c>
      <c r="C96" s="13">
        <v>45911.95976851852</v>
      </c>
      <c r="D96" s="179" t="s">
        <v>81</v>
      </c>
      <c r="E96" s="180" t="s">
        <v>443</v>
      </c>
      <c r="F96" s="181"/>
      <c r="G96" s="179" t="s">
        <v>4071</v>
      </c>
      <c r="H96" s="190"/>
      <c r="I96" s="190"/>
      <c r="J96" s="187" t="s">
        <v>2735</v>
      </c>
      <c r="K96" s="187" t="s">
        <v>2018</v>
      </c>
      <c r="L96" s="184" t="str">
        <f>IFERROR(__xludf.DUMMYFUNCTION("ifna(IF(and(D96=""Saída"",J96=""Sangria""),if(sum(QUERY(IMPORTRANGE(""https://docs.google.com/spreadsheets/d/1E4szPcLzsqlw4uyBAoJ61L1ChCgpz4wVP8tHfHW1g_c"",""BD M Sangrias!a:i""),""select Col6 where Col7 = 'Depositada' and Col9 = '""&amp;K96&amp;""' and Col6 = """&amp;"&amp;M96&amp;"" and Col4 = date '""&amp;YEAR(C96)&amp;""-""&amp;MONTH(C96)&amp;""-""&amp;DAY(C96)&amp;""'""))&gt;0,""Depositada"",if(sum(QUERY(IMPORTRANGE(""https://docs.google.com/spreadsheets/d/1EcLIvUgMoBC5as4ikW0wuQsGH5yVZ6cQ1y16qEfgPnk"",""BD M Sangrias!a:i""),""select Col6 where Col7"&amp;" = 'Caixa Atendimento' and Col9 = '""&amp;K96&amp;""' and Col6 = ""&amp;M96&amp;"" and Col4 = date '""&amp;YEAR(C96)&amp;""-""&amp;MONTH(C96)&amp;""-""&amp;DAY(C96)&amp;""'""))&gt;0,""Caixa Atendimento"",""Caixa Sangria"")),""""),""Caixa Sangria"")"),"#REF!")</f>
        <v>#REF!</v>
      </c>
      <c r="M96" s="185">
        <f>IFERROR(__xludf.DUMMYFUNCTION("ifna(VALUE(REGEXEXTRACT(E96,""[0-9.]+[,]+[0-9]+"")))"),900.0)</f>
        <v>900</v>
      </c>
      <c r="N96" s="216"/>
      <c r="O96" s="195"/>
      <c r="P96" s="196"/>
      <c r="Q96" s="197"/>
      <c r="R96" s="217"/>
      <c r="S96" s="218" t="str">
        <f t="shared" ref="S96:S116" si="1">IFERROR(VLOOKUP(P96, $A$4:$B$11, 2, FALSE), "")</f>
        <v/>
      </c>
      <c r="T96" s="185"/>
      <c r="U96" s="185"/>
      <c r="V96" s="185"/>
    </row>
    <row r="97" ht="14.25" customHeight="1">
      <c r="A97" s="178"/>
      <c r="B97" s="12">
        <v>1675455.0</v>
      </c>
      <c r="C97" s="13">
        <v>45911.963530092595</v>
      </c>
      <c r="D97" s="179" t="s">
        <v>81</v>
      </c>
      <c r="E97" s="180" t="s">
        <v>6488</v>
      </c>
      <c r="F97" s="181"/>
      <c r="G97" s="179" t="s">
        <v>6489</v>
      </c>
      <c r="H97" s="190"/>
      <c r="I97" s="190"/>
      <c r="J97" s="187" t="s">
        <v>2438</v>
      </c>
      <c r="K97" s="187"/>
      <c r="L97" s="184" t="str">
        <f>IFERROR(__xludf.DUMMYFUNCTION("ifna(IF(and(D97=""Saída"",J97=""Sangria""),if(sum(QUERY(IMPORTRANGE(""https://docs.google.com/spreadsheets/d/1E4szPcLzsqlw4uyBAoJ61L1ChCgpz4wVP8tHfHW1g_c"",""BD M Sangrias!a:i""),""select Col6 where Col7 = 'Depositada' and Col9 = '""&amp;K97&amp;""' and Col6 = """&amp;"&amp;M97&amp;"" and Col4 = date '""&amp;YEAR(C97)&amp;""-""&amp;MONTH(C97)&amp;""-""&amp;DAY(C97)&amp;""'""))&gt;0,""Depositada"",if(sum(QUERY(IMPORTRANGE(""https://docs.google.com/spreadsheets/d/1EcLIvUgMoBC5as4ikW0wuQsGH5yVZ6cQ1y16qEfgPnk"",""BD M Sangrias!a:i""),""select Col6 where Col7"&amp;" = 'Caixa Atendimento' and Col9 = '""&amp;K97&amp;""' and Col6 = ""&amp;M97&amp;"" and Col4 = date '""&amp;YEAR(C97)&amp;""-""&amp;MONTH(C97)&amp;""-""&amp;DAY(C97)&amp;""'""))&gt;0,""Caixa Atendimento"",""Caixa Sangria"")),""""),""Caixa Sangria"")"),"")</f>
        <v/>
      </c>
      <c r="M97" s="185">
        <f>IFERROR(__xludf.DUMMYFUNCTION("ifna(VALUE(REGEXEXTRACT(E97,""[0-9.]+[,]+[0-9]+"")))"),75.98)</f>
        <v>75.98</v>
      </c>
      <c r="N97" s="216"/>
      <c r="O97" s="195"/>
      <c r="P97" s="196"/>
      <c r="Q97" s="197"/>
      <c r="R97" s="219"/>
      <c r="S97" s="218" t="str">
        <f t="shared" si="1"/>
        <v/>
      </c>
      <c r="T97" s="185"/>
      <c r="U97" s="185"/>
      <c r="V97" s="185"/>
    </row>
    <row r="98" ht="14.25" customHeight="1">
      <c r="A98" s="178"/>
      <c r="B98" s="12">
        <v>1676431.0</v>
      </c>
      <c r="C98" s="13">
        <v>45912.737395833334</v>
      </c>
      <c r="D98" s="179" t="s">
        <v>152</v>
      </c>
      <c r="E98" s="180" t="s">
        <v>6490</v>
      </c>
      <c r="F98" s="181"/>
      <c r="G98" s="179" t="s">
        <v>267</v>
      </c>
      <c r="H98" s="190"/>
      <c r="I98" s="190"/>
      <c r="J98" s="199" t="s">
        <v>2669</v>
      </c>
      <c r="K98" s="187"/>
      <c r="L98" s="184" t="str">
        <f>IFERROR(__xludf.DUMMYFUNCTION("ifna(IF(and(D98=""Saída"",J98=""Sangria""),if(sum(QUERY(IMPORTRANGE(""https://docs.google.com/spreadsheets/d/1E4szPcLzsqlw4uyBAoJ61L1ChCgpz4wVP8tHfHW1g_c"",""BD M Sangrias!a:i""),""select Col6 where Col7 = 'Depositada' and Col9 = '""&amp;K98&amp;""' and Col6 = """&amp;"&amp;M98&amp;"" and Col4 = date '""&amp;YEAR(C98)&amp;""-""&amp;MONTH(C98)&amp;""-""&amp;DAY(C98)&amp;""'""))&gt;0,""Depositada"",if(sum(QUERY(IMPORTRANGE(""https://docs.google.com/spreadsheets/d/1EcLIvUgMoBC5as4ikW0wuQsGH5yVZ6cQ1y16qEfgPnk"",""BD M Sangrias!a:i""),""select Col6 where Col7"&amp;" = 'Caixa Atendimento' and Col9 = '""&amp;K98&amp;""' and Col6 = ""&amp;M98&amp;"" and Col4 = date '""&amp;YEAR(C98)&amp;""-""&amp;MONTH(C98)&amp;""-""&amp;DAY(C98)&amp;""'""))&gt;0,""Caixa Atendimento"",""Caixa Sangria"")),""""),""Caixa Sangria"")"),"")</f>
        <v/>
      </c>
      <c r="M98" s="185">
        <f>IFERROR(__xludf.DUMMYFUNCTION("ifna(VALUE(REGEXEXTRACT(E98,""[0-9.]+[,]+[0-9]+"")))"),10.6)</f>
        <v>10.6</v>
      </c>
      <c r="N98" s="216"/>
      <c r="O98" s="195"/>
      <c r="P98" s="196"/>
      <c r="Q98" s="197"/>
      <c r="R98" s="220"/>
      <c r="S98" s="218" t="str">
        <f t="shared" si="1"/>
        <v/>
      </c>
      <c r="T98" s="185"/>
      <c r="U98" s="185"/>
      <c r="V98" s="185"/>
    </row>
    <row r="99" ht="14.25" customHeight="1">
      <c r="A99" s="178"/>
      <c r="B99" s="12">
        <v>1677230.0</v>
      </c>
      <c r="C99" s="13">
        <v>45912.93399305556</v>
      </c>
      <c r="D99" s="179" t="s">
        <v>81</v>
      </c>
      <c r="E99" s="180" t="s">
        <v>988</v>
      </c>
      <c r="F99" s="181"/>
      <c r="G99" s="179" t="s">
        <v>4071</v>
      </c>
      <c r="H99" s="190"/>
      <c r="I99" s="190"/>
      <c r="J99" s="187" t="s">
        <v>2735</v>
      </c>
      <c r="K99" s="187" t="s">
        <v>2018</v>
      </c>
      <c r="L99" s="184" t="str">
        <f>IFERROR(__xludf.DUMMYFUNCTION("ifna(IF(and(D99=""Saída"",J99=""Sangria""),if(sum(QUERY(IMPORTRANGE(""https://docs.google.com/spreadsheets/d/1E4szPcLzsqlw4uyBAoJ61L1ChCgpz4wVP8tHfHW1g_c"",""BD M Sangrias!a:i""),""select Col6 where Col7 = 'Depositada' and Col9 = '""&amp;K99&amp;""' and Col6 = """&amp;"&amp;M99&amp;"" and Col4 = date '""&amp;YEAR(C99)&amp;""-""&amp;MONTH(C99)&amp;""-""&amp;DAY(C99)&amp;""'""))&gt;0,""Depositada"",if(sum(QUERY(IMPORTRANGE(""https://docs.google.com/spreadsheets/d/1EcLIvUgMoBC5as4ikW0wuQsGH5yVZ6cQ1y16qEfgPnk"",""BD M Sangrias!a:i""),""select Col6 where Col7"&amp;" = 'Caixa Atendimento' and Col9 = '""&amp;K99&amp;""' and Col6 = ""&amp;M99&amp;"" and Col4 = date '""&amp;YEAR(C99)&amp;""-""&amp;MONTH(C99)&amp;""-""&amp;DAY(C99)&amp;""'""))&gt;0,""Caixa Atendimento"",""Caixa Sangria"")),""""),""Caixa Sangria"")"),"#REF!")</f>
        <v>#REF!</v>
      </c>
      <c r="M99" s="185">
        <f>IFERROR(__xludf.DUMMYFUNCTION("ifna(VALUE(REGEXEXTRACT(E99,""[0-9.]+[,]+[0-9]+"")))"),1200.0)</f>
        <v>1200</v>
      </c>
      <c r="N99" s="216"/>
      <c r="O99" s="195"/>
      <c r="P99" s="196"/>
      <c r="Q99" s="197"/>
      <c r="R99" s="221"/>
      <c r="S99" s="218" t="str">
        <f t="shared" si="1"/>
        <v/>
      </c>
      <c r="T99" s="185"/>
      <c r="U99" s="185"/>
      <c r="V99" s="185"/>
    </row>
    <row r="100" ht="14.25" customHeight="1">
      <c r="A100" s="178"/>
      <c r="B100" s="12">
        <v>1678220.0</v>
      </c>
      <c r="C100" s="13">
        <v>45913.70875</v>
      </c>
      <c r="D100" s="179" t="s">
        <v>152</v>
      </c>
      <c r="E100" s="180" t="s">
        <v>5872</v>
      </c>
      <c r="F100" s="181"/>
      <c r="G100" s="179" t="s">
        <v>267</v>
      </c>
      <c r="H100" s="190"/>
      <c r="I100" s="190"/>
      <c r="J100" s="187" t="s">
        <v>2669</v>
      </c>
      <c r="K100" s="187"/>
      <c r="L100" s="184" t="str">
        <f>IFERROR(__xludf.DUMMYFUNCTION("ifna(IF(and(D100=""Saída"",J100=""Sangria""),if(sum(QUERY(IMPORTRANGE(""https://docs.google.com/spreadsheets/d/1E4szPcLzsqlw4uyBAoJ61L1ChCgpz4wVP8tHfHW1g_c"",""BD M Sangrias!a:i""),""select Col6 where Col7 = 'Depositada' and Col9 = '""&amp;K100&amp;""' and Col6 ="&amp;" ""&amp;M100&amp;"" and Col4 = date '""&amp;YEAR(C100)&amp;""-""&amp;MONTH(C100)&amp;""-""&amp;DAY(C100)&amp;""'""))&gt;0,""Depositada"",if(sum(QUERY(IMPORTRANGE(""https://docs.google.com/spreadsheets/d/1EcLIvUgMoBC5as4ikW0wuQsGH5yVZ6cQ1y16qEfgPnk"",""BD M Sangrias!a:i""),""select Col6 whe"&amp;"re Col7 = 'Caixa Atendimento' and Col9 = '""&amp;K100&amp;""' and Col6 = ""&amp;M100&amp;"" and Col4 = date '""&amp;YEAR(C100)&amp;""-""&amp;MONTH(C100)&amp;""-""&amp;DAY(C100)&amp;""'""))&gt;0,""Caixa Atendimento"",""Caixa Sangria"")),""""),""Caixa Sangria"")"),"")</f>
        <v/>
      </c>
      <c r="M100" s="185">
        <f>IFERROR(__xludf.DUMMYFUNCTION("ifna(VALUE(REGEXEXTRACT(E100,""[0-9.]+[,]+[0-9]+"")))"),25.0)</f>
        <v>25</v>
      </c>
      <c r="N100" s="216"/>
      <c r="O100" s="195"/>
      <c r="P100" s="196"/>
      <c r="Q100" s="197"/>
      <c r="R100" s="220"/>
      <c r="S100" s="218" t="str">
        <f t="shared" si="1"/>
        <v/>
      </c>
      <c r="T100" s="185"/>
      <c r="U100" s="185"/>
      <c r="V100" s="185"/>
    </row>
    <row r="101" ht="14.25" customHeight="1">
      <c r="A101" s="178"/>
      <c r="B101" s="12">
        <v>1679525.0</v>
      </c>
      <c r="C101" s="13">
        <v>45913.9390162037</v>
      </c>
      <c r="D101" s="179" t="s">
        <v>81</v>
      </c>
      <c r="E101" s="180" t="s">
        <v>6491</v>
      </c>
      <c r="F101" s="188"/>
      <c r="G101" s="179" t="s">
        <v>381</v>
      </c>
      <c r="H101" s="190"/>
      <c r="I101" s="190"/>
      <c r="J101" s="187" t="s">
        <v>2735</v>
      </c>
      <c r="K101" s="187" t="s">
        <v>1894</v>
      </c>
      <c r="L101" s="184" t="str">
        <f>IFERROR(__xludf.DUMMYFUNCTION("ifna(IF(and(D101=""Saída"",J101=""Sangria""),if(sum(QUERY(IMPORTRANGE(""https://docs.google.com/spreadsheets/d/1E4szPcLzsqlw4uyBAoJ61L1ChCgpz4wVP8tHfHW1g_c"",""BD M Sangrias!a:i""),""select Col6 where Col7 = 'Depositada' and Col9 = '""&amp;K101&amp;""' and Col6 ="&amp;" ""&amp;M101&amp;"" and Col4 = date '""&amp;YEAR(C101)&amp;""-""&amp;MONTH(C101)&amp;""-""&amp;DAY(C101)&amp;""'""))&gt;0,""Depositada"",if(sum(QUERY(IMPORTRANGE(""https://docs.google.com/spreadsheets/d/1EcLIvUgMoBC5as4ikW0wuQsGH5yVZ6cQ1y16qEfgPnk"",""BD M Sangrias!a:i""),""select Col6 whe"&amp;"re Col7 = 'Caixa Atendimento' and Col9 = '""&amp;K101&amp;""' and Col6 = ""&amp;M101&amp;"" and Col4 = date '""&amp;YEAR(C101)&amp;""-""&amp;MONTH(C101)&amp;""-""&amp;DAY(C101)&amp;""'""))&gt;0,""Caixa Atendimento"",""Caixa Sangria"")),""""),""Caixa Sangria"")"),"#REF!")</f>
        <v>#REF!</v>
      </c>
      <c r="M101" s="185">
        <f>IFERROR(__xludf.DUMMYFUNCTION("ifna(VALUE(REGEXEXTRACT(E101,""[0-9.]+[,]+[0-9]+"")))"),1560.0)</f>
        <v>1560</v>
      </c>
      <c r="N101" s="222"/>
      <c r="O101" s="223"/>
      <c r="P101" s="224"/>
      <c r="Q101" s="225"/>
      <c r="R101" s="221"/>
      <c r="S101" s="218" t="str">
        <f t="shared" si="1"/>
        <v/>
      </c>
      <c r="T101" s="185"/>
      <c r="U101" s="185"/>
      <c r="V101" s="185"/>
    </row>
    <row r="102" ht="14.25" customHeight="1">
      <c r="A102" s="178"/>
      <c r="B102" s="12">
        <v>1681216.0</v>
      </c>
      <c r="C102" s="13">
        <v>45914.79770833333</v>
      </c>
      <c r="D102" s="179" t="s">
        <v>81</v>
      </c>
      <c r="E102" s="180" t="s">
        <v>3486</v>
      </c>
      <c r="F102" s="181"/>
      <c r="G102" s="179" t="s">
        <v>6492</v>
      </c>
      <c r="H102" s="190"/>
      <c r="I102" s="190"/>
      <c r="J102" s="187" t="s">
        <v>2735</v>
      </c>
      <c r="K102" s="187" t="s">
        <v>1894</v>
      </c>
      <c r="L102" s="184" t="str">
        <f>IFERROR(__xludf.DUMMYFUNCTION("ifna(IF(and(D102=""Saída"",J102=""Sangria""),if(sum(QUERY(IMPORTRANGE(""https://docs.google.com/spreadsheets/d/1E4szPcLzsqlw4uyBAoJ61L1ChCgpz4wVP8tHfHW1g_c"",""BD M Sangrias!a:i""),""select Col6 where Col7 = 'Depositada' and Col9 = '""&amp;K102&amp;""' and Col6 ="&amp;" ""&amp;M102&amp;"" and Col4 = date '""&amp;YEAR(C102)&amp;""-""&amp;MONTH(C102)&amp;""-""&amp;DAY(C102)&amp;""'""))&gt;0,""Depositada"",if(sum(QUERY(IMPORTRANGE(""https://docs.google.com/spreadsheets/d/1EcLIvUgMoBC5as4ikW0wuQsGH5yVZ6cQ1y16qEfgPnk"",""BD M Sangrias!a:i""),""select Col6 whe"&amp;"re Col7 = 'Caixa Atendimento' and Col9 = '""&amp;K102&amp;""' and Col6 = ""&amp;M102&amp;"" and Col4 = date '""&amp;YEAR(C102)&amp;""-""&amp;MONTH(C102)&amp;""-""&amp;DAY(C102)&amp;""'""))&gt;0,""Caixa Atendimento"",""Caixa Sangria"")),""""),""Caixa Sangria"")"),"#REF!")</f>
        <v>#REF!</v>
      </c>
      <c r="M102" s="185">
        <f>IFERROR(__xludf.DUMMYFUNCTION("ifna(VALUE(REGEXEXTRACT(E102,""[0-9.]+[,]+[0-9]+"")))"),500.0)</f>
        <v>500</v>
      </c>
      <c r="N102" s="226"/>
      <c r="O102" s="227"/>
      <c r="P102" s="220"/>
      <c r="Q102" s="228" t="str">
        <f t="shared" ref="Q102:Q138" si="2">IFERROR(VLOOKUP(P102, $B$4:$C$18, 2, FALSE), "")</f>
        <v/>
      </c>
      <c r="R102" s="220" t="str">
        <f t="shared" ref="R102:R138" si="3">IFERROR(VLOOKUP(P102, $A$4:$B$18, 2, FALSE), "")</f>
        <v/>
      </c>
      <c r="S102" s="218" t="str">
        <f t="shared" si="1"/>
        <v/>
      </c>
      <c r="T102" s="185"/>
      <c r="U102" s="185"/>
      <c r="V102" s="185"/>
    </row>
    <row r="103" ht="14.25" customHeight="1">
      <c r="A103" s="178"/>
      <c r="B103" s="12">
        <v>1681218.0</v>
      </c>
      <c r="C103" s="13">
        <v>45914.79806712963</v>
      </c>
      <c r="D103" s="179" t="s">
        <v>81</v>
      </c>
      <c r="E103" s="180" t="s">
        <v>127</v>
      </c>
      <c r="F103" s="181"/>
      <c r="G103" s="179" t="s">
        <v>6492</v>
      </c>
      <c r="H103" s="190"/>
      <c r="I103" s="190"/>
      <c r="J103" s="187" t="s">
        <v>2735</v>
      </c>
      <c r="K103" s="187" t="s">
        <v>1894</v>
      </c>
      <c r="L103" s="184" t="str">
        <f>IFERROR(__xludf.DUMMYFUNCTION("ifna(IF(and(D103=""Saída"",J103=""Sangria""),if(sum(QUERY(IMPORTRANGE(""https://docs.google.com/spreadsheets/d/1E4szPcLzsqlw4uyBAoJ61L1ChCgpz4wVP8tHfHW1g_c"",""BD M Sangrias!a:i""),""select Col6 where Col7 = 'Depositada' and Col9 = '""&amp;K103&amp;""' and Col6 ="&amp;" ""&amp;M103&amp;"" and Col4 = date '""&amp;YEAR(C103)&amp;""-""&amp;MONTH(C103)&amp;""-""&amp;DAY(C103)&amp;""'""))&gt;0,""Depositada"",if(sum(QUERY(IMPORTRANGE(""https://docs.google.com/spreadsheets/d/1EcLIvUgMoBC5as4ikW0wuQsGH5yVZ6cQ1y16qEfgPnk"",""BD M Sangrias!a:i""),""select Col6 whe"&amp;"re Col7 = 'Caixa Atendimento' and Col9 = '""&amp;K103&amp;""' and Col6 = ""&amp;M103&amp;"" and Col4 = date '""&amp;YEAR(C103)&amp;""-""&amp;MONTH(C103)&amp;""-""&amp;DAY(C103)&amp;""'""))&gt;0,""Caixa Atendimento"",""Caixa Sangria"")),""""),""Caixa Sangria"")"),"#REF!")</f>
        <v>#REF!</v>
      </c>
      <c r="M103" s="185">
        <f>IFERROR(__xludf.DUMMYFUNCTION("ifna(VALUE(REGEXEXTRACT(E103,""[0-9.]+[,]+[0-9]+"")))"),250.0)</f>
        <v>250</v>
      </c>
      <c r="N103" s="229"/>
      <c r="O103" s="230"/>
      <c r="P103" s="221"/>
      <c r="Q103" s="231" t="str">
        <f t="shared" si="2"/>
        <v/>
      </c>
      <c r="R103" s="221" t="str">
        <f t="shared" si="3"/>
        <v/>
      </c>
      <c r="S103" s="218" t="str">
        <f t="shared" si="1"/>
        <v/>
      </c>
      <c r="T103" s="185"/>
      <c r="U103" s="185"/>
      <c r="V103" s="185"/>
    </row>
    <row r="104" ht="14.25" customHeight="1">
      <c r="A104" s="178"/>
      <c r="B104" s="12">
        <v>1681221.0</v>
      </c>
      <c r="C104" s="13">
        <v>45914.79861111111</v>
      </c>
      <c r="D104" s="179" t="s">
        <v>81</v>
      </c>
      <c r="E104" s="180" t="s">
        <v>590</v>
      </c>
      <c r="F104" s="181"/>
      <c r="G104" s="179" t="s">
        <v>6492</v>
      </c>
      <c r="H104" s="190"/>
      <c r="I104" s="190"/>
      <c r="J104" s="187" t="s">
        <v>2735</v>
      </c>
      <c r="K104" s="187" t="s">
        <v>1894</v>
      </c>
      <c r="L104" s="184" t="str">
        <f>IFERROR(__xludf.DUMMYFUNCTION("ifna(IF(and(D104=""Saída"",J104=""Sangria""),if(sum(QUERY(IMPORTRANGE(""https://docs.google.com/spreadsheets/d/1E4szPcLzsqlw4uyBAoJ61L1ChCgpz4wVP8tHfHW1g_c"",""BD M Sangrias!a:i""),""select Col6 where Col7 = 'Depositada' and Col9 = '""&amp;K104&amp;""' and Col6 ="&amp;" ""&amp;M104&amp;"" and Col4 = date '""&amp;YEAR(C104)&amp;""-""&amp;MONTH(C104)&amp;""-""&amp;DAY(C104)&amp;""'""))&gt;0,""Depositada"",if(sum(QUERY(IMPORTRANGE(""https://docs.google.com/spreadsheets/d/1EcLIvUgMoBC5as4ikW0wuQsGH5yVZ6cQ1y16qEfgPnk"",""BD M Sangrias!a:i""),""select Col6 whe"&amp;"re Col7 = 'Caixa Atendimento' and Col9 = '""&amp;K104&amp;""' and Col6 = ""&amp;M104&amp;"" and Col4 = date '""&amp;YEAR(C104)&amp;""-""&amp;MONTH(C104)&amp;""-""&amp;DAY(C104)&amp;""'""))&gt;0,""Caixa Atendimento"",""Caixa Sangria"")),""""),""Caixa Sangria"")"),"#REF!")</f>
        <v>#REF!</v>
      </c>
      <c r="M104" s="185">
        <f>IFERROR(__xludf.DUMMYFUNCTION("ifna(VALUE(REGEXEXTRACT(E104,""[0-9.]+[,]+[0-9]+"")))"),350.0)</f>
        <v>350</v>
      </c>
      <c r="N104" s="226"/>
      <c r="O104" s="227"/>
      <c r="P104" s="220"/>
      <c r="Q104" s="228" t="str">
        <f t="shared" si="2"/>
        <v/>
      </c>
      <c r="R104" s="220" t="str">
        <f t="shared" si="3"/>
        <v/>
      </c>
      <c r="S104" s="218" t="str">
        <f t="shared" si="1"/>
        <v/>
      </c>
      <c r="T104" s="185"/>
      <c r="U104" s="185"/>
      <c r="V104" s="185"/>
    </row>
    <row r="105" ht="14.25" customHeight="1">
      <c r="A105" s="178"/>
      <c r="B105" s="12">
        <v>1681225.0</v>
      </c>
      <c r="C105" s="13">
        <v>45914.798946759256</v>
      </c>
      <c r="D105" s="179" t="s">
        <v>81</v>
      </c>
      <c r="E105" s="180" t="s">
        <v>590</v>
      </c>
      <c r="F105" s="181"/>
      <c r="G105" s="179" t="s">
        <v>6492</v>
      </c>
      <c r="H105" s="190"/>
      <c r="I105" s="190"/>
      <c r="J105" s="187" t="s">
        <v>2735</v>
      </c>
      <c r="K105" s="187" t="s">
        <v>1894</v>
      </c>
      <c r="L105" s="184" t="str">
        <f>IFERROR(__xludf.DUMMYFUNCTION("ifna(IF(and(D105=""Saída"",J105=""Sangria""),if(sum(QUERY(IMPORTRANGE(""https://docs.google.com/spreadsheets/d/1E4szPcLzsqlw4uyBAoJ61L1ChCgpz4wVP8tHfHW1g_c"",""BD M Sangrias!a:i""),""select Col6 where Col7 = 'Depositada' and Col9 = '""&amp;K105&amp;""' and Col6 ="&amp;" ""&amp;M105&amp;"" and Col4 = date '""&amp;YEAR(C105)&amp;""-""&amp;MONTH(C105)&amp;""-""&amp;DAY(C105)&amp;""'""))&gt;0,""Depositada"",if(sum(QUERY(IMPORTRANGE(""https://docs.google.com/spreadsheets/d/1EcLIvUgMoBC5as4ikW0wuQsGH5yVZ6cQ1y16qEfgPnk"",""BD M Sangrias!a:i""),""select Col6 whe"&amp;"re Col7 = 'Caixa Atendimento' and Col9 = '""&amp;K105&amp;""' and Col6 = ""&amp;M105&amp;"" and Col4 = date '""&amp;YEAR(C105)&amp;""-""&amp;MONTH(C105)&amp;""-""&amp;DAY(C105)&amp;""'""))&gt;0,""Caixa Atendimento"",""Caixa Sangria"")),""""),""Caixa Sangria"")"),"#REF!")</f>
        <v>#REF!</v>
      </c>
      <c r="M105" s="185">
        <f>IFERROR(__xludf.DUMMYFUNCTION("ifna(VALUE(REGEXEXTRACT(E105,""[0-9.]+[,]+[0-9]+"")))"),350.0)</f>
        <v>350</v>
      </c>
      <c r="N105" s="229"/>
      <c r="O105" s="230"/>
      <c r="P105" s="221"/>
      <c r="Q105" s="231" t="str">
        <f t="shared" si="2"/>
        <v/>
      </c>
      <c r="R105" s="221" t="str">
        <f t="shared" si="3"/>
        <v/>
      </c>
      <c r="S105" s="218" t="str">
        <f t="shared" si="1"/>
        <v/>
      </c>
      <c r="T105" s="185"/>
      <c r="U105" s="185"/>
      <c r="V105" s="185"/>
    </row>
    <row r="106" ht="14.25" customHeight="1">
      <c r="A106" s="178"/>
      <c r="B106" s="12">
        <v>1681230.0</v>
      </c>
      <c r="C106" s="13">
        <v>45914.79961805556</v>
      </c>
      <c r="D106" s="179" t="s">
        <v>81</v>
      </c>
      <c r="E106" s="180" t="s">
        <v>457</v>
      </c>
      <c r="F106" s="181"/>
      <c r="G106" s="179" t="s">
        <v>6492</v>
      </c>
      <c r="H106" s="190"/>
      <c r="I106" s="190"/>
      <c r="J106" s="199" t="s">
        <v>2735</v>
      </c>
      <c r="K106" s="187" t="s">
        <v>1894</v>
      </c>
      <c r="L106" s="184" t="str">
        <f>IFERROR(__xludf.DUMMYFUNCTION("ifna(IF(and(D106=""Saída"",J106=""Sangria""),if(sum(QUERY(IMPORTRANGE(""https://docs.google.com/spreadsheets/d/1E4szPcLzsqlw4uyBAoJ61L1ChCgpz4wVP8tHfHW1g_c"",""BD M Sangrias!a:i""),""select Col6 where Col7 = 'Depositada' and Col9 = '""&amp;K106&amp;""' and Col6 ="&amp;" ""&amp;M106&amp;"" and Col4 = date '""&amp;YEAR(C106)&amp;""-""&amp;MONTH(C106)&amp;""-""&amp;DAY(C106)&amp;""'""))&gt;0,""Depositada"",if(sum(QUERY(IMPORTRANGE(""https://docs.google.com/spreadsheets/d/1EcLIvUgMoBC5as4ikW0wuQsGH5yVZ6cQ1y16qEfgPnk"",""BD M Sangrias!a:i""),""select Col6 whe"&amp;"re Col7 = 'Caixa Atendimento' and Col9 = '""&amp;K106&amp;""' and Col6 = ""&amp;M106&amp;"" and Col4 = date '""&amp;YEAR(C106)&amp;""-""&amp;MONTH(C106)&amp;""-""&amp;DAY(C106)&amp;""'""))&gt;0,""Caixa Atendimento"",""Caixa Sangria"")),""""),""Caixa Sangria"")"),"#REF!")</f>
        <v>#REF!</v>
      </c>
      <c r="M106" s="185">
        <f>IFERROR(__xludf.DUMMYFUNCTION("ifna(VALUE(REGEXEXTRACT(E106,""[0-9.]+[,]+[0-9]+"")))"),200.0)</f>
        <v>200</v>
      </c>
      <c r="N106" s="226"/>
      <c r="O106" s="227"/>
      <c r="P106" s="220"/>
      <c r="Q106" s="228" t="str">
        <f t="shared" si="2"/>
        <v/>
      </c>
      <c r="R106" s="220" t="str">
        <f t="shared" si="3"/>
        <v/>
      </c>
      <c r="S106" s="218" t="str">
        <f t="shared" si="1"/>
        <v/>
      </c>
      <c r="T106" s="185"/>
      <c r="U106" s="185"/>
      <c r="V106" s="185"/>
    </row>
    <row r="107" ht="14.25" customHeight="1">
      <c r="A107" s="178"/>
      <c r="B107" s="12">
        <v>1682047.0</v>
      </c>
      <c r="C107" s="13">
        <v>45914.91300925926</v>
      </c>
      <c r="D107" s="179" t="s">
        <v>81</v>
      </c>
      <c r="E107" s="180" t="s">
        <v>6493</v>
      </c>
      <c r="F107" s="181"/>
      <c r="G107" s="179" t="s">
        <v>6494</v>
      </c>
      <c r="H107" s="190"/>
      <c r="I107" s="190"/>
      <c r="J107" s="187" t="s">
        <v>2735</v>
      </c>
      <c r="K107" s="187" t="s">
        <v>1894</v>
      </c>
      <c r="L107" s="184" t="str">
        <f>IFERROR(__xludf.DUMMYFUNCTION("ifna(IF(and(D107=""Saída"",J107=""Sangria""),if(sum(QUERY(IMPORTRANGE(""https://docs.google.com/spreadsheets/d/1E4szPcLzsqlw4uyBAoJ61L1ChCgpz4wVP8tHfHW1g_c"",""BD M Sangrias!a:i""),""select Col6 where Col7 = 'Depositada' and Col9 = '""&amp;K107&amp;""' and Col6 ="&amp;" ""&amp;M107&amp;"" and Col4 = date '""&amp;YEAR(C107)&amp;""-""&amp;MONTH(C107)&amp;""-""&amp;DAY(C107)&amp;""'""))&gt;0,""Depositada"",if(sum(QUERY(IMPORTRANGE(""https://docs.google.com/spreadsheets/d/1EcLIvUgMoBC5as4ikW0wuQsGH5yVZ6cQ1y16qEfgPnk"",""BD M Sangrias!a:i""),""select Col6 whe"&amp;"re Col7 = 'Caixa Atendimento' and Col9 = '""&amp;K107&amp;""' and Col6 = ""&amp;M107&amp;"" and Col4 = date '""&amp;YEAR(C107)&amp;""-""&amp;MONTH(C107)&amp;""-""&amp;DAY(C107)&amp;""'""))&gt;0,""Caixa Atendimento"",""Caixa Sangria"")),""""),""Caixa Sangria"")"),"#REF!")</f>
        <v>#REF!</v>
      </c>
      <c r="M107" s="185">
        <f>IFERROR(__xludf.DUMMYFUNCTION("ifna(VALUE(REGEXEXTRACT(E107,""[0-9.]+[,]+[0-9]+"")))"),420.0)</f>
        <v>420</v>
      </c>
      <c r="N107" s="229"/>
      <c r="O107" s="221"/>
      <c r="P107" s="221"/>
      <c r="Q107" s="231" t="str">
        <f t="shared" si="2"/>
        <v/>
      </c>
      <c r="R107" s="221" t="str">
        <f t="shared" si="3"/>
        <v/>
      </c>
      <c r="S107" s="218" t="str">
        <f t="shared" si="1"/>
        <v/>
      </c>
      <c r="T107" s="185"/>
      <c r="U107" s="185"/>
      <c r="V107" s="185"/>
    </row>
    <row r="108" ht="14.25" customHeight="1">
      <c r="A108" s="178"/>
      <c r="B108" s="12">
        <v>1682066.0</v>
      </c>
      <c r="C108" s="13">
        <v>45914.914675925924</v>
      </c>
      <c r="D108" s="179" t="s">
        <v>152</v>
      </c>
      <c r="E108" s="180" t="s">
        <v>6495</v>
      </c>
      <c r="F108" s="181"/>
      <c r="G108" s="179" t="s">
        <v>267</v>
      </c>
      <c r="H108" s="190"/>
      <c r="I108" s="190"/>
      <c r="J108" s="187" t="s">
        <v>2669</v>
      </c>
      <c r="K108" s="187"/>
      <c r="L108" s="184" t="str">
        <f>IFERROR(__xludf.DUMMYFUNCTION("ifna(IF(and(D108=""Saída"",J108=""Sangria""),if(sum(QUERY(IMPORTRANGE(""https://docs.google.com/spreadsheets/d/1E4szPcLzsqlw4uyBAoJ61L1ChCgpz4wVP8tHfHW1g_c"",""BD M Sangrias!a:i""),""select Col6 where Col7 = 'Depositada' and Col9 = '""&amp;K108&amp;""' and Col6 ="&amp;" ""&amp;M108&amp;"" and Col4 = date '""&amp;YEAR(C108)&amp;""-""&amp;MONTH(C108)&amp;""-""&amp;DAY(C108)&amp;""'""))&gt;0,""Depositada"",if(sum(QUERY(IMPORTRANGE(""https://docs.google.com/spreadsheets/d/1EcLIvUgMoBC5as4ikW0wuQsGH5yVZ6cQ1y16qEfgPnk"",""BD M Sangrias!a:i""),""select Col6 whe"&amp;"re Col7 = 'Caixa Atendimento' and Col9 = '""&amp;K108&amp;""' and Col6 = ""&amp;M108&amp;"" and Col4 = date '""&amp;YEAR(C108)&amp;""-""&amp;MONTH(C108)&amp;""-""&amp;DAY(C108)&amp;""'""))&gt;0,""Caixa Atendimento"",""Caixa Sangria"")),""""),""Caixa Sangria"")"),"")</f>
        <v/>
      </c>
      <c r="M108" s="185">
        <f>IFERROR(__xludf.DUMMYFUNCTION("ifna(VALUE(REGEXEXTRACT(E108,""[0-9.]+[,]+[0-9]+"")))"),215.0)</f>
        <v>215</v>
      </c>
      <c r="N108" s="226"/>
      <c r="O108" s="220"/>
      <c r="P108" s="220"/>
      <c r="Q108" s="228" t="str">
        <f t="shared" si="2"/>
        <v/>
      </c>
      <c r="R108" s="220" t="str">
        <f t="shared" si="3"/>
        <v/>
      </c>
      <c r="S108" s="218" t="str">
        <f t="shared" si="1"/>
        <v/>
      </c>
      <c r="T108" s="185"/>
      <c r="U108" s="185"/>
      <c r="V108" s="185"/>
    </row>
    <row r="109" ht="14.25" customHeight="1">
      <c r="A109" s="178"/>
      <c r="B109" s="12">
        <v>1682305.0</v>
      </c>
      <c r="C109" s="13">
        <v>45914.9272337963</v>
      </c>
      <c r="D109" s="179" t="s">
        <v>81</v>
      </c>
      <c r="E109" s="180" t="s">
        <v>457</v>
      </c>
      <c r="F109" s="181"/>
      <c r="G109" s="179" t="s">
        <v>381</v>
      </c>
      <c r="H109" s="190"/>
      <c r="I109" s="190"/>
      <c r="J109" s="187" t="s">
        <v>2735</v>
      </c>
      <c r="K109" s="187" t="s">
        <v>1894</v>
      </c>
      <c r="L109" s="184" t="str">
        <f>IFERROR(__xludf.DUMMYFUNCTION("ifna(IF(and(D109=""Saída"",J109=""Sangria""),if(sum(QUERY(IMPORTRANGE(""https://docs.google.com/spreadsheets/d/1E4szPcLzsqlw4uyBAoJ61L1ChCgpz4wVP8tHfHW1g_c"",""BD M Sangrias!a:i""),""select Col6 where Col7 = 'Depositada' and Col9 = '""&amp;K109&amp;""' and Col6 ="&amp;" ""&amp;M109&amp;"" and Col4 = date '""&amp;YEAR(C109)&amp;""-""&amp;MONTH(C109)&amp;""-""&amp;DAY(C109)&amp;""'""))&gt;0,""Depositada"",if(sum(QUERY(IMPORTRANGE(""https://docs.google.com/spreadsheets/d/1EcLIvUgMoBC5as4ikW0wuQsGH5yVZ6cQ1y16qEfgPnk"",""BD M Sangrias!a:i""),""select Col6 whe"&amp;"re Col7 = 'Caixa Atendimento' and Col9 = '""&amp;K109&amp;""' and Col6 = ""&amp;M109&amp;"" and Col4 = date '""&amp;YEAR(C109)&amp;""-""&amp;MONTH(C109)&amp;""-""&amp;DAY(C109)&amp;""'""))&gt;0,""Caixa Atendimento"",""Caixa Sangria"")),""""),""Caixa Sangria"")"),"#REF!")</f>
        <v>#REF!</v>
      </c>
      <c r="M109" s="185">
        <f>IFERROR(__xludf.DUMMYFUNCTION("ifna(VALUE(REGEXEXTRACT(E109,""[0-9.]+[,]+[0-9]+"")))"),200.0)</f>
        <v>200</v>
      </c>
      <c r="N109" s="229"/>
      <c r="O109" s="221"/>
      <c r="P109" s="221"/>
      <c r="Q109" s="231" t="str">
        <f t="shared" si="2"/>
        <v/>
      </c>
      <c r="R109" s="221" t="str">
        <f t="shared" si="3"/>
        <v/>
      </c>
      <c r="S109" s="218" t="str">
        <f t="shared" si="1"/>
        <v/>
      </c>
      <c r="T109" s="185"/>
      <c r="U109" s="185"/>
      <c r="V109" s="185"/>
    </row>
    <row r="110" ht="14.25" customHeight="1">
      <c r="A110" s="178"/>
      <c r="B110" s="12">
        <v>1683914.0</v>
      </c>
      <c r="C110" s="13">
        <v>45915.85841435185</v>
      </c>
      <c r="D110" s="179" t="s">
        <v>81</v>
      </c>
      <c r="E110" s="180" t="s">
        <v>3515</v>
      </c>
      <c r="F110" s="181"/>
      <c r="G110" s="179" t="s">
        <v>6496</v>
      </c>
      <c r="H110" s="190"/>
      <c r="I110" s="190"/>
      <c r="J110" s="187" t="s">
        <v>3151</v>
      </c>
      <c r="K110" s="187"/>
      <c r="L110" s="184" t="str">
        <f>IFERROR(__xludf.DUMMYFUNCTION("ifna(IF(and(D110=""Saída"",J110=""Sangria""),if(sum(QUERY(IMPORTRANGE(""https://docs.google.com/spreadsheets/d/1E4szPcLzsqlw4uyBAoJ61L1ChCgpz4wVP8tHfHW1g_c"",""BD M Sangrias!a:i""),""select Col6 where Col7 = 'Depositada' and Col9 = '""&amp;K110&amp;""' and Col6 ="&amp;" ""&amp;M110&amp;"" and Col4 = date '""&amp;YEAR(C110)&amp;""-""&amp;MONTH(C110)&amp;""-""&amp;DAY(C110)&amp;""'""))&gt;0,""Depositada"",if(sum(QUERY(IMPORTRANGE(""https://docs.google.com/spreadsheets/d/1EcLIvUgMoBC5as4ikW0wuQsGH5yVZ6cQ1y16qEfgPnk"",""BD M Sangrias!a:i""),""select Col6 whe"&amp;"re Col7 = 'Caixa Atendimento' and Col9 = '""&amp;K110&amp;""' and Col6 = ""&amp;M110&amp;"" and Col4 = date '""&amp;YEAR(C110)&amp;""-""&amp;MONTH(C110)&amp;""-""&amp;DAY(C110)&amp;""'""))&gt;0,""Caixa Atendimento"",""Caixa Sangria"")),""""),""Caixa Sangria"")"),"")</f>
        <v/>
      </c>
      <c r="M110" s="185">
        <f>IFERROR(__xludf.DUMMYFUNCTION("ifna(VALUE(REGEXEXTRACT(E110,""[0-9.]+[,]+[0-9]+"")))"),240.0)</f>
        <v>240</v>
      </c>
      <c r="N110" s="226"/>
      <c r="O110" s="220"/>
      <c r="P110" s="220"/>
      <c r="Q110" s="228" t="str">
        <f t="shared" si="2"/>
        <v/>
      </c>
      <c r="R110" s="220" t="str">
        <f t="shared" si="3"/>
        <v/>
      </c>
      <c r="S110" s="218" t="str">
        <f t="shared" si="1"/>
        <v/>
      </c>
      <c r="T110" s="185"/>
      <c r="U110" s="185"/>
      <c r="V110" s="185"/>
    </row>
    <row r="111" ht="14.25" customHeight="1">
      <c r="A111" s="178"/>
      <c r="B111" s="12">
        <v>1683955.0</v>
      </c>
      <c r="C111" s="13">
        <v>45915.87358796296</v>
      </c>
      <c r="D111" s="179" t="s">
        <v>81</v>
      </c>
      <c r="E111" s="180" t="s">
        <v>6497</v>
      </c>
      <c r="F111" s="188"/>
      <c r="G111" s="179" t="s">
        <v>4041</v>
      </c>
      <c r="H111" s="190"/>
      <c r="I111" s="190"/>
      <c r="J111" s="187" t="s">
        <v>3151</v>
      </c>
      <c r="K111" s="187"/>
      <c r="L111" s="184" t="str">
        <f>IFERROR(__xludf.DUMMYFUNCTION("ifna(IF(and(D111=""Saída"",J111=""Sangria""),if(sum(QUERY(IMPORTRANGE(""https://docs.google.com/spreadsheets/d/1E4szPcLzsqlw4uyBAoJ61L1ChCgpz4wVP8tHfHW1g_c"",""BD M Sangrias!a:i""),""select Col6 where Col7 = 'Depositada' and Col9 = '""&amp;K111&amp;""' and Col6 ="&amp;" ""&amp;M111&amp;"" and Col4 = date '""&amp;YEAR(C111)&amp;""-""&amp;MONTH(C111)&amp;""-""&amp;DAY(C111)&amp;""'""))&gt;0,""Depositada"",if(sum(QUERY(IMPORTRANGE(""https://docs.google.com/spreadsheets/d/1EcLIvUgMoBC5as4ikW0wuQsGH5yVZ6cQ1y16qEfgPnk"",""BD M Sangrias!a:i""),""select Col6 whe"&amp;"re Col7 = 'Caixa Atendimento' and Col9 = '""&amp;K111&amp;""' and Col6 = ""&amp;M111&amp;"" and Col4 = date '""&amp;YEAR(C111)&amp;""-""&amp;MONTH(C111)&amp;""-""&amp;DAY(C111)&amp;""'""))&gt;0,""Caixa Atendimento"",""Caixa Sangria"")),""""),""Caixa Sangria"")"),"")</f>
        <v/>
      </c>
      <c r="M111" s="185">
        <f>IFERROR(__xludf.DUMMYFUNCTION("ifna(VALUE(REGEXEXTRACT(E111,""[0-9.]+[,]+[0-9]+"")))"),97.77)</f>
        <v>97.77</v>
      </c>
      <c r="N111" s="229"/>
      <c r="O111" s="221"/>
      <c r="P111" s="221"/>
      <c r="Q111" s="231" t="str">
        <f t="shared" si="2"/>
        <v/>
      </c>
      <c r="R111" s="221" t="str">
        <f t="shared" si="3"/>
        <v/>
      </c>
      <c r="S111" s="218" t="str">
        <f t="shared" si="1"/>
        <v/>
      </c>
      <c r="T111" s="185"/>
      <c r="U111" s="185"/>
      <c r="V111" s="185"/>
    </row>
    <row r="112" ht="14.25" customHeight="1">
      <c r="A112" s="178"/>
      <c r="B112" s="12">
        <v>1683962.0</v>
      </c>
      <c r="C112" s="13">
        <v>45915.87553240741</v>
      </c>
      <c r="D112" s="179" t="s">
        <v>81</v>
      </c>
      <c r="E112" s="180" t="s">
        <v>6498</v>
      </c>
      <c r="F112" s="181"/>
      <c r="G112" s="179" t="s">
        <v>6355</v>
      </c>
      <c r="H112" s="190"/>
      <c r="I112" s="190"/>
      <c r="J112" s="187" t="s">
        <v>1782</v>
      </c>
      <c r="K112" s="187"/>
      <c r="L112" s="184" t="str">
        <f>IFERROR(__xludf.DUMMYFUNCTION("ifna(IF(and(D112=""Saída"",J112=""Sangria""),if(sum(QUERY(IMPORTRANGE(""https://docs.google.com/spreadsheets/d/1E4szPcLzsqlw4uyBAoJ61L1ChCgpz4wVP8tHfHW1g_c"",""BD M Sangrias!a:i""),""select Col6 where Col7 = 'Depositada' and Col9 = '""&amp;K112&amp;""' and Col6 ="&amp;" ""&amp;M112&amp;"" and Col4 = date '""&amp;YEAR(C112)&amp;""-""&amp;MONTH(C112)&amp;""-""&amp;DAY(C112)&amp;""'""))&gt;0,""Depositada"",if(sum(QUERY(IMPORTRANGE(""https://docs.google.com/spreadsheets/d/1EcLIvUgMoBC5as4ikW0wuQsGH5yVZ6cQ1y16qEfgPnk"",""BD M Sangrias!a:i""),""select Col6 whe"&amp;"re Col7 = 'Caixa Atendimento' and Col9 = '""&amp;K112&amp;""' and Col6 = ""&amp;M112&amp;"" and Col4 = date '""&amp;YEAR(C112)&amp;""-""&amp;MONTH(C112)&amp;""-""&amp;DAY(C112)&amp;""'""))&gt;0,""Caixa Atendimento"",""Caixa Sangria"")),""""),""Caixa Sangria"")"),"")</f>
        <v/>
      </c>
      <c r="M112" s="185">
        <f>IFERROR(__xludf.DUMMYFUNCTION("ifna(VALUE(REGEXEXTRACT(E112,""[0-9.]+[,]+[0-9]+"")))"),274.0)</f>
        <v>274</v>
      </c>
      <c r="N112" s="226"/>
      <c r="O112" s="220"/>
      <c r="P112" s="220"/>
      <c r="Q112" s="228" t="str">
        <f t="shared" si="2"/>
        <v/>
      </c>
      <c r="R112" s="220" t="str">
        <f t="shared" si="3"/>
        <v/>
      </c>
      <c r="S112" s="218" t="str">
        <f t="shared" si="1"/>
        <v/>
      </c>
      <c r="T112" s="185"/>
      <c r="U112" s="185"/>
      <c r="V112" s="185"/>
    </row>
    <row r="113" ht="14.25" customHeight="1">
      <c r="A113" s="178"/>
      <c r="B113" s="12">
        <v>1684372.0</v>
      </c>
      <c r="C113" s="13">
        <v>45915.941655092596</v>
      </c>
      <c r="D113" s="179" t="s">
        <v>81</v>
      </c>
      <c r="E113" s="180" t="s">
        <v>6499</v>
      </c>
      <c r="F113" s="181"/>
      <c r="G113" s="179" t="s">
        <v>5825</v>
      </c>
      <c r="H113" s="190"/>
      <c r="I113" s="190"/>
      <c r="J113" s="187" t="s">
        <v>1782</v>
      </c>
      <c r="K113" s="187"/>
      <c r="L113" s="184" t="str">
        <f>IFERROR(__xludf.DUMMYFUNCTION("ifna(IF(and(D113=""Saída"",J113=""Sangria""),if(sum(QUERY(IMPORTRANGE(""https://docs.google.com/spreadsheets/d/1E4szPcLzsqlw4uyBAoJ61L1ChCgpz4wVP8tHfHW1g_c"",""BD M Sangrias!a:i""),""select Col6 where Col7 = 'Depositada' and Col9 = '""&amp;K113&amp;""' and Col6 ="&amp;" ""&amp;M113&amp;"" and Col4 = date '""&amp;YEAR(C113)&amp;""-""&amp;MONTH(C113)&amp;""-""&amp;DAY(C113)&amp;""'""))&gt;0,""Depositada"",if(sum(QUERY(IMPORTRANGE(""https://docs.google.com/spreadsheets/d/1EcLIvUgMoBC5as4ikW0wuQsGH5yVZ6cQ1y16qEfgPnk"",""BD M Sangrias!a:i""),""select Col6 whe"&amp;"re Col7 = 'Caixa Atendimento' and Col9 = '""&amp;K113&amp;""' and Col6 = ""&amp;M113&amp;"" and Col4 = date '""&amp;YEAR(C113)&amp;""-""&amp;MONTH(C113)&amp;""-""&amp;DAY(C113)&amp;""'""))&gt;0,""Caixa Atendimento"",""Caixa Sangria"")),""""),""Caixa Sangria"")"),"")</f>
        <v/>
      </c>
      <c r="M113" s="185">
        <f>IFERROR(__xludf.DUMMYFUNCTION("ifna(VALUE(REGEXEXTRACT(E113,""[0-9.]+[,]+[0-9]+"")))"),183.0)</f>
        <v>183</v>
      </c>
      <c r="N113" s="229"/>
      <c r="O113" s="221"/>
      <c r="P113" s="221"/>
      <c r="Q113" s="231" t="str">
        <f t="shared" si="2"/>
        <v/>
      </c>
      <c r="R113" s="221" t="str">
        <f t="shared" si="3"/>
        <v/>
      </c>
      <c r="S113" s="218" t="str">
        <f t="shared" si="1"/>
        <v/>
      </c>
      <c r="T113" s="185"/>
      <c r="U113" s="185"/>
      <c r="V113" s="185"/>
    </row>
    <row r="114" ht="14.25" customHeight="1">
      <c r="A114" s="178"/>
      <c r="B114" s="12">
        <v>1684399.0</v>
      </c>
      <c r="C114" s="13">
        <v>45915.94582175926</v>
      </c>
      <c r="D114" s="179" t="s">
        <v>152</v>
      </c>
      <c r="E114" s="180" t="s">
        <v>855</v>
      </c>
      <c r="F114" s="181"/>
      <c r="G114" s="179" t="s">
        <v>267</v>
      </c>
      <c r="H114" s="190"/>
      <c r="I114" s="190"/>
      <c r="J114" s="187" t="s">
        <v>2669</v>
      </c>
      <c r="K114" s="187"/>
      <c r="L114" s="184" t="str">
        <f>IFERROR(__xludf.DUMMYFUNCTION("ifna(IF(and(D114=""Saída"",J114=""Sangria""),if(sum(QUERY(IMPORTRANGE(""https://docs.google.com/spreadsheets/d/1E4szPcLzsqlw4uyBAoJ61L1ChCgpz4wVP8tHfHW1g_c"",""BD M Sangrias!a:i""),""select Col6 where Col7 = 'Depositada' and Col9 = '""&amp;K114&amp;""' and Col6 ="&amp;" ""&amp;M114&amp;"" and Col4 = date '""&amp;YEAR(C114)&amp;""-""&amp;MONTH(C114)&amp;""-""&amp;DAY(C114)&amp;""'""))&gt;0,""Depositada"",if(sum(QUERY(IMPORTRANGE(""https://docs.google.com/spreadsheets/d/1EcLIvUgMoBC5as4ikW0wuQsGH5yVZ6cQ1y16qEfgPnk"",""BD M Sangrias!a:i""),""select Col6 whe"&amp;"re Col7 = 'Caixa Atendimento' and Col9 = '""&amp;K114&amp;""' and Col6 = ""&amp;M114&amp;"" and Col4 = date '""&amp;YEAR(C114)&amp;""-""&amp;MONTH(C114)&amp;""-""&amp;DAY(C114)&amp;""'""))&gt;0,""Caixa Atendimento"",""Caixa Sangria"")),""""),""Caixa Sangria"")"),"")</f>
        <v/>
      </c>
      <c r="M114" s="185">
        <f>IFERROR(__xludf.DUMMYFUNCTION("ifna(VALUE(REGEXEXTRACT(E114,""[0-9.]+[,]+[0-9]+"")))"),8.0)</f>
        <v>8</v>
      </c>
      <c r="N114" s="226"/>
      <c r="O114" s="220"/>
      <c r="P114" s="220"/>
      <c r="Q114" s="228" t="str">
        <f t="shared" si="2"/>
        <v/>
      </c>
      <c r="R114" s="220" t="str">
        <f t="shared" si="3"/>
        <v/>
      </c>
      <c r="S114" s="218" t="str">
        <f t="shared" si="1"/>
        <v/>
      </c>
      <c r="T114" s="185"/>
      <c r="U114" s="185"/>
      <c r="V114" s="185"/>
    </row>
    <row r="115" ht="14.25" customHeight="1">
      <c r="A115" s="178"/>
      <c r="B115" s="12">
        <v>1684843.0</v>
      </c>
      <c r="C115" s="13">
        <v>45916.62663194445</v>
      </c>
      <c r="D115" s="179" t="s">
        <v>152</v>
      </c>
      <c r="E115" s="180" t="s">
        <v>6500</v>
      </c>
      <c r="F115" s="181"/>
      <c r="G115" s="179" t="s">
        <v>158</v>
      </c>
      <c r="H115" s="190"/>
      <c r="I115" s="190"/>
      <c r="J115" s="187" t="s">
        <v>2669</v>
      </c>
      <c r="K115" s="187"/>
      <c r="L115" s="184" t="str">
        <f>IFERROR(__xludf.DUMMYFUNCTION("ifna(IF(and(D115=""Saída"",J115=""Sangria""),if(sum(QUERY(IMPORTRANGE(""https://docs.google.com/spreadsheets/d/1E4szPcLzsqlw4uyBAoJ61L1ChCgpz4wVP8tHfHW1g_c"",""BD M Sangrias!a:i""),""select Col6 where Col7 = 'Depositada' and Col9 = '""&amp;K115&amp;""' and Col6 ="&amp;" ""&amp;M115&amp;"" and Col4 = date '""&amp;YEAR(C115)&amp;""-""&amp;MONTH(C115)&amp;""-""&amp;DAY(C115)&amp;""'""))&gt;0,""Depositada"",if(sum(QUERY(IMPORTRANGE(""https://docs.google.com/spreadsheets/d/1EcLIvUgMoBC5as4ikW0wuQsGH5yVZ6cQ1y16qEfgPnk"",""BD M Sangrias!a:i""),""select Col6 whe"&amp;"re Col7 = 'Caixa Atendimento' and Col9 = '""&amp;K115&amp;""' and Col6 = ""&amp;M115&amp;"" and Col4 = date '""&amp;YEAR(C115)&amp;""-""&amp;MONTH(C115)&amp;""-""&amp;DAY(C115)&amp;""'""))&gt;0,""Caixa Atendimento"",""Caixa Sangria"")),""""),""Caixa Sangria"")"),"")</f>
        <v/>
      </c>
      <c r="M115" s="185">
        <f>IFERROR(__xludf.DUMMYFUNCTION("ifna(VALUE(REGEXEXTRACT(E115,""[0-9.]+[,]+[0-9]+"")))"),43.0)</f>
        <v>43</v>
      </c>
      <c r="N115" s="229"/>
      <c r="O115" s="221"/>
      <c r="P115" s="221"/>
      <c r="Q115" s="231" t="str">
        <f t="shared" si="2"/>
        <v/>
      </c>
      <c r="R115" s="221" t="str">
        <f t="shared" si="3"/>
        <v/>
      </c>
      <c r="S115" s="218" t="str">
        <f t="shared" si="1"/>
        <v/>
      </c>
      <c r="T115" s="185"/>
      <c r="U115" s="185"/>
      <c r="V115" s="185"/>
    </row>
    <row r="116" ht="14.25" customHeight="1">
      <c r="A116" s="178"/>
      <c r="B116" s="12">
        <v>1685092.0</v>
      </c>
      <c r="C116" s="13">
        <v>45916.701006944444</v>
      </c>
      <c r="D116" s="179" t="s">
        <v>81</v>
      </c>
      <c r="E116" s="180" t="s">
        <v>6501</v>
      </c>
      <c r="F116" s="181"/>
      <c r="G116" s="179" t="s">
        <v>6502</v>
      </c>
      <c r="H116" s="190"/>
      <c r="I116" s="190"/>
      <c r="J116" s="187" t="s">
        <v>1782</v>
      </c>
      <c r="K116" s="187"/>
      <c r="L116" s="184" t="str">
        <f>IFERROR(__xludf.DUMMYFUNCTION("ifna(IF(and(D116=""Saída"",J116=""Sangria""),if(sum(QUERY(IMPORTRANGE(""https://docs.google.com/spreadsheets/d/1E4szPcLzsqlw4uyBAoJ61L1ChCgpz4wVP8tHfHW1g_c"",""BD M Sangrias!a:i""),""select Col6 where Col7 = 'Depositada' and Col9 = '""&amp;K116&amp;""' and Col6 ="&amp;" ""&amp;M116&amp;"" and Col4 = date '""&amp;YEAR(C116)&amp;""-""&amp;MONTH(C116)&amp;""-""&amp;DAY(C116)&amp;""'""))&gt;0,""Depositada"",if(sum(QUERY(IMPORTRANGE(""https://docs.google.com/spreadsheets/d/1EcLIvUgMoBC5as4ikW0wuQsGH5yVZ6cQ1y16qEfgPnk"",""BD M Sangrias!a:i""),""select Col6 whe"&amp;"re Col7 = 'Caixa Atendimento' and Col9 = '""&amp;K116&amp;""' and Col6 = ""&amp;M116&amp;"" and Col4 = date '""&amp;YEAR(C116)&amp;""-""&amp;MONTH(C116)&amp;""-""&amp;DAY(C116)&amp;""'""))&gt;0,""Caixa Atendimento"",""Caixa Sangria"")),""""),""Caixa Sangria"")"),"")</f>
        <v/>
      </c>
      <c r="M116" s="185">
        <f>IFERROR(__xludf.DUMMYFUNCTION("ifna(VALUE(REGEXEXTRACT(E116,""[0-9.]+[,]+[0-9]+"")))"),31.0)</f>
        <v>31</v>
      </c>
      <c r="N116" s="226"/>
      <c r="O116" s="220"/>
      <c r="P116" s="220"/>
      <c r="Q116" s="228" t="str">
        <f t="shared" si="2"/>
        <v/>
      </c>
      <c r="R116" s="220" t="str">
        <f t="shared" si="3"/>
        <v/>
      </c>
      <c r="S116" s="218" t="str">
        <f t="shared" si="1"/>
        <v/>
      </c>
      <c r="T116" s="185"/>
      <c r="U116" s="185"/>
      <c r="V116" s="185"/>
    </row>
    <row r="117" ht="14.25" customHeight="1">
      <c r="A117" s="178"/>
      <c r="B117" s="12">
        <v>1685113.0</v>
      </c>
      <c r="C117" s="13">
        <v>45916.70412037037</v>
      </c>
      <c r="D117" s="179" t="s">
        <v>81</v>
      </c>
      <c r="E117" s="180" t="s">
        <v>6503</v>
      </c>
      <c r="F117" s="181"/>
      <c r="G117" s="179" t="s">
        <v>5861</v>
      </c>
      <c r="H117" s="190"/>
      <c r="I117" s="190"/>
      <c r="J117" s="187" t="s">
        <v>2019</v>
      </c>
      <c r="K117" s="187" t="s">
        <v>2117</v>
      </c>
      <c r="L117" s="184" t="str">
        <f>IFERROR(__xludf.DUMMYFUNCTION("ifna(IF(and(D117=""Saída"",J117=""Sangria""),if(sum(QUERY(IMPORTRANGE(""https://docs.google.com/spreadsheets/d/1E4szPcLzsqlw4uyBAoJ61L1ChCgpz4wVP8tHfHW1g_c"",""BD M Sangrias!a:i""),""select Col6 where Col7 = 'Depositada' and Col9 = '""&amp;K117&amp;""' and Col6 ="&amp;" ""&amp;M117&amp;"" and Col4 = date '""&amp;YEAR(C117)&amp;""-""&amp;MONTH(C117)&amp;""-""&amp;DAY(C117)&amp;""'""))&gt;0,""Depositada"",if(sum(QUERY(IMPORTRANGE(""https://docs.google.com/spreadsheets/d/1EcLIvUgMoBC5as4ikW0wuQsGH5yVZ6cQ1y16qEfgPnk"",""BD M Sangrias!a:i""),""select Col6 whe"&amp;"re Col7 = 'Caixa Atendimento' and Col9 = '""&amp;K117&amp;""' and Col6 = ""&amp;M117&amp;"" and Col4 = date '""&amp;YEAR(C117)&amp;""-""&amp;MONTH(C117)&amp;""-""&amp;DAY(C117)&amp;""'""))&gt;0,""Caixa Atendimento"",""Caixa Sangria"")),""""),""Caixa Sangria"")"),"")</f>
        <v/>
      </c>
      <c r="M117" s="185">
        <f>IFERROR(__xludf.DUMMYFUNCTION("ifna(VALUE(REGEXEXTRACT(E117,""[0-9.]+[,]+[0-9]+"")))"),16.61)</f>
        <v>16.61</v>
      </c>
      <c r="N117" s="229"/>
      <c r="O117" s="221"/>
      <c r="P117" s="221"/>
      <c r="Q117" s="231" t="str">
        <f t="shared" si="2"/>
        <v/>
      </c>
      <c r="R117" s="221" t="str">
        <f t="shared" si="3"/>
        <v/>
      </c>
      <c r="S117" s="232" t="str">
        <f t="shared" ref="S117:S138" si="4">IFERROR(VLOOKUP(P117, $A$4:$B$18, 2, FALSE), "")</f>
        <v/>
      </c>
      <c r="T117" s="185"/>
      <c r="U117" s="185"/>
      <c r="V117" s="185"/>
    </row>
    <row r="118" ht="14.25" customHeight="1">
      <c r="A118" s="178"/>
      <c r="B118" s="12">
        <v>1685130.0</v>
      </c>
      <c r="C118" s="13">
        <v>45916.707604166666</v>
      </c>
      <c r="D118" s="179" t="s">
        <v>81</v>
      </c>
      <c r="E118" s="180" t="s">
        <v>296</v>
      </c>
      <c r="F118" s="181"/>
      <c r="G118" s="179" t="s">
        <v>4071</v>
      </c>
      <c r="H118" s="190"/>
      <c r="I118" s="190"/>
      <c r="J118" s="187" t="s">
        <v>2735</v>
      </c>
      <c r="K118" s="187" t="s">
        <v>2018</v>
      </c>
      <c r="L118" s="184" t="str">
        <f>IFERROR(__xludf.DUMMYFUNCTION("ifna(IF(and(D118=""Saída"",J118=""Sangria""),if(sum(QUERY(IMPORTRANGE(""https://docs.google.com/spreadsheets/d/1E4szPcLzsqlw4uyBAoJ61L1ChCgpz4wVP8tHfHW1g_c"",""BD M Sangrias!a:i""),""select Col6 where Col7 = 'Depositada' and Col9 = '""&amp;K118&amp;""' and Col6 ="&amp;" ""&amp;M118&amp;"" and Col4 = date '""&amp;YEAR(C118)&amp;""-""&amp;MONTH(C118)&amp;""-""&amp;DAY(C118)&amp;""'""))&gt;0,""Depositada"",if(sum(QUERY(IMPORTRANGE(""https://docs.google.com/spreadsheets/d/1EcLIvUgMoBC5as4ikW0wuQsGH5yVZ6cQ1y16qEfgPnk"",""BD M Sangrias!a:i""),""select Col6 whe"&amp;"re Col7 = 'Caixa Atendimento' and Col9 = '""&amp;K118&amp;""' and Col6 = ""&amp;M118&amp;"" and Col4 = date '""&amp;YEAR(C118)&amp;""-""&amp;MONTH(C118)&amp;""-""&amp;DAY(C118)&amp;""'""))&gt;0,""Caixa Atendimento"",""Caixa Sangria"")),""""),""Caixa Sangria"")"),"#REF!")</f>
        <v>#REF!</v>
      </c>
      <c r="M118" s="185">
        <f>IFERROR(__xludf.DUMMYFUNCTION("ifna(VALUE(REGEXEXTRACT(E118,""[0-9.]+[,]+[0-9]+"")))"),650.0)</f>
        <v>650</v>
      </c>
      <c r="N118" s="226"/>
      <c r="O118" s="220"/>
      <c r="P118" s="220"/>
      <c r="Q118" s="228" t="str">
        <f t="shared" si="2"/>
        <v/>
      </c>
      <c r="R118" s="220" t="str">
        <f t="shared" si="3"/>
        <v/>
      </c>
      <c r="S118" s="232" t="str">
        <f t="shared" si="4"/>
        <v/>
      </c>
      <c r="T118" s="185"/>
      <c r="U118" s="185"/>
      <c r="V118" s="185"/>
    </row>
    <row r="119" ht="14.25" customHeight="1">
      <c r="A119" s="178"/>
      <c r="B119" s="12">
        <v>1685159.0</v>
      </c>
      <c r="C119" s="13">
        <v>45916.71498842593</v>
      </c>
      <c r="D119" s="179" t="s">
        <v>152</v>
      </c>
      <c r="E119" s="180" t="s">
        <v>6504</v>
      </c>
      <c r="F119" s="188"/>
      <c r="G119" s="179" t="s">
        <v>158</v>
      </c>
      <c r="H119" s="190"/>
      <c r="I119" s="190"/>
      <c r="J119" s="187" t="s">
        <v>2669</v>
      </c>
      <c r="K119" s="187"/>
      <c r="L119" s="184" t="str">
        <f>IFERROR(__xludf.DUMMYFUNCTION("ifna(IF(and(D119=""Saída"",J119=""Sangria""),if(sum(QUERY(IMPORTRANGE(""https://docs.google.com/spreadsheets/d/1E4szPcLzsqlw4uyBAoJ61L1ChCgpz4wVP8tHfHW1g_c"",""BD M Sangrias!a:i""),""select Col6 where Col7 = 'Depositada' and Col9 = '""&amp;K119&amp;""' and Col6 ="&amp;" ""&amp;M119&amp;"" and Col4 = date '""&amp;YEAR(C119)&amp;""-""&amp;MONTH(C119)&amp;""-""&amp;DAY(C119)&amp;""'""))&gt;0,""Depositada"",if(sum(QUERY(IMPORTRANGE(""https://docs.google.com/spreadsheets/d/1EcLIvUgMoBC5as4ikW0wuQsGH5yVZ6cQ1y16qEfgPnk"",""BD M Sangrias!a:i""),""select Col6 whe"&amp;"re Col7 = 'Caixa Atendimento' and Col9 = '""&amp;K119&amp;""' and Col6 = ""&amp;M119&amp;"" and Col4 = date '""&amp;YEAR(C119)&amp;""-""&amp;MONTH(C119)&amp;""-""&amp;DAY(C119)&amp;""'""))&gt;0,""Caixa Atendimento"",""Caixa Sangria"")),""""),""Caixa Sangria"")"),"")</f>
        <v/>
      </c>
      <c r="M119" s="185">
        <f>IFERROR(__xludf.DUMMYFUNCTION("ifna(VALUE(REGEXEXTRACT(E119,""[0-9.]+[,]+[0-9]+"")))"),17.0)</f>
        <v>17</v>
      </c>
      <c r="N119" s="229"/>
      <c r="O119" s="221"/>
      <c r="P119" s="221"/>
      <c r="Q119" s="231" t="str">
        <f t="shared" si="2"/>
        <v/>
      </c>
      <c r="R119" s="221" t="str">
        <f t="shared" si="3"/>
        <v/>
      </c>
      <c r="S119" s="232" t="str">
        <f t="shared" si="4"/>
        <v/>
      </c>
      <c r="T119" s="185"/>
      <c r="U119" s="185"/>
      <c r="V119" s="185"/>
    </row>
    <row r="120" ht="14.25" customHeight="1">
      <c r="A120" s="178"/>
      <c r="B120" s="12">
        <v>1686279.0</v>
      </c>
      <c r="C120" s="13">
        <v>45917.527395833335</v>
      </c>
      <c r="D120" s="179" t="s">
        <v>152</v>
      </c>
      <c r="E120" s="180" t="s">
        <v>6505</v>
      </c>
      <c r="F120" s="181"/>
      <c r="G120" s="179" t="s">
        <v>158</v>
      </c>
      <c r="H120" s="190"/>
      <c r="I120" s="190"/>
      <c r="J120" s="187" t="s">
        <v>2669</v>
      </c>
      <c r="K120" s="187"/>
      <c r="L120" s="184" t="str">
        <f>IFERROR(__xludf.DUMMYFUNCTION("ifna(IF(and(D120=""Saída"",J120=""Sangria""),if(sum(QUERY(IMPORTRANGE(""https://docs.google.com/spreadsheets/d/1E4szPcLzsqlw4uyBAoJ61L1ChCgpz4wVP8tHfHW1g_c"",""BD M Sangrias!a:i""),""select Col6 where Col7 = 'Depositada' and Col9 = '""&amp;K120&amp;""' and Col6 ="&amp;" ""&amp;M120&amp;"" and Col4 = date '""&amp;YEAR(C120)&amp;""-""&amp;MONTH(C120)&amp;""-""&amp;DAY(C120)&amp;""'""))&gt;0,""Depositada"",if(sum(QUERY(IMPORTRANGE(""https://docs.google.com/spreadsheets/d/1EcLIvUgMoBC5as4ikW0wuQsGH5yVZ6cQ1y16qEfgPnk"",""BD M Sangrias!a:i""),""select Col6 whe"&amp;"re Col7 = 'Caixa Atendimento' and Col9 = '""&amp;K120&amp;""' and Col6 = ""&amp;M120&amp;"" and Col4 = date '""&amp;YEAR(C120)&amp;""-""&amp;MONTH(C120)&amp;""-""&amp;DAY(C120)&amp;""'""))&gt;0,""Caixa Atendimento"",""Caixa Sangria"")),""""),""Caixa Sangria"")"),"")</f>
        <v/>
      </c>
      <c r="M120" s="185">
        <f>IFERROR(__xludf.DUMMYFUNCTION("ifna(VALUE(REGEXEXTRACT(E120,""[0-9.]+[,]+[0-9]+"")))"),33.25)</f>
        <v>33.25</v>
      </c>
      <c r="N120" s="226"/>
      <c r="O120" s="220"/>
      <c r="P120" s="220"/>
      <c r="Q120" s="228" t="str">
        <f t="shared" si="2"/>
        <v/>
      </c>
      <c r="R120" s="220" t="str">
        <f t="shared" si="3"/>
        <v/>
      </c>
      <c r="S120" s="232" t="str">
        <f t="shared" si="4"/>
        <v/>
      </c>
      <c r="T120" s="185"/>
      <c r="U120" s="185"/>
      <c r="V120" s="185"/>
    </row>
    <row r="121" ht="14.25" customHeight="1">
      <c r="A121" s="178"/>
      <c r="B121" s="12">
        <v>1686329.0</v>
      </c>
      <c r="C121" s="13">
        <v>45917.55709490741</v>
      </c>
      <c r="D121" s="179" t="s">
        <v>152</v>
      </c>
      <c r="E121" s="180" t="s">
        <v>296</v>
      </c>
      <c r="F121" s="181"/>
      <c r="G121" s="179" t="s">
        <v>6506</v>
      </c>
      <c r="H121" s="190"/>
      <c r="I121" s="190"/>
      <c r="J121" s="187" t="s">
        <v>5195</v>
      </c>
      <c r="K121" s="187"/>
      <c r="L121" s="184" t="str">
        <f>IFERROR(__xludf.DUMMYFUNCTION("ifna(IF(and(D121=""Saída"",J121=""Sangria""),if(sum(QUERY(IMPORTRANGE(""https://docs.google.com/spreadsheets/d/1E4szPcLzsqlw4uyBAoJ61L1ChCgpz4wVP8tHfHW1g_c"",""BD M Sangrias!a:i""),""select Col6 where Col7 = 'Depositada' and Col9 = '""&amp;K121&amp;""' and Col6 ="&amp;" ""&amp;M121&amp;"" and Col4 = date '""&amp;YEAR(C121)&amp;""-""&amp;MONTH(C121)&amp;""-""&amp;DAY(C121)&amp;""'""))&gt;0,""Depositada"",if(sum(QUERY(IMPORTRANGE(""https://docs.google.com/spreadsheets/d/1EcLIvUgMoBC5as4ikW0wuQsGH5yVZ6cQ1y16qEfgPnk"",""BD M Sangrias!a:i""),""select Col6 whe"&amp;"re Col7 = 'Caixa Atendimento' and Col9 = '""&amp;K121&amp;""' and Col6 = ""&amp;M121&amp;"" and Col4 = date '""&amp;YEAR(C121)&amp;""-""&amp;MONTH(C121)&amp;""-""&amp;DAY(C121)&amp;""'""))&gt;0,""Caixa Atendimento"",""Caixa Sangria"")),""""),""Caixa Sangria"")"),"")</f>
        <v/>
      </c>
      <c r="M121" s="185">
        <f>IFERROR(__xludf.DUMMYFUNCTION("ifna(VALUE(REGEXEXTRACT(E121,""[0-9.]+[,]+[0-9]+"")))"),650.0)</f>
        <v>650</v>
      </c>
      <c r="N121" s="229"/>
      <c r="O121" s="221"/>
      <c r="P121" s="221"/>
      <c r="Q121" s="231" t="str">
        <f t="shared" si="2"/>
        <v/>
      </c>
      <c r="R121" s="221" t="str">
        <f t="shared" si="3"/>
        <v/>
      </c>
      <c r="S121" s="232" t="str">
        <f t="shared" si="4"/>
        <v/>
      </c>
      <c r="T121" s="185"/>
      <c r="U121" s="185"/>
      <c r="V121" s="185"/>
    </row>
    <row r="122" ht="14.25" customHeight="1">
      <c r="A122" s="178"/>
      <c r="B122" s="12">
        <v>1686331.0</v>
      </c>
      <c r="C122" s="13">
        <v>45917.55773148148</v>
      </c>
      <c r="D122" s="179" t="s">
        <v>81</v>
      </c>
      <c r="E122" s="180" t="s">
        <v>296</v>
      </c>
      <c r="F122" s="181"/>
      <c r="G122" s="179" t="s">
        <v>6507</v>
      </c>
      <c r="H122" s="190"/>
      <c r="I122" s="190"/>
      <c r="J122" s="187" t="s">
        <v>2669</v>
      </c>
      <c r="K122" s="187"/>
      <c r="L122" s="184" t="str">
        <f>IFERROR(__xludf.DUMMYFUNCTION("ifna(IF(and(D122=""Saída"",J122=""Sangria""),if(sum(QUERY(IMPORTRANGE(""https://docs.google.com/spreadsheets/d/1E4szPcLzsqlw4uyBAoJ61L1ChCgpz4wVP8tHfHW1g_c"",""BD M Sangrias!a:i""),""select Col6 where Col7 = 'Depositada' and Col9 = '""&amp;K122&amp;""' and Col6 ="&amp;" ""&amp;M122&amp;"" and Col4 = date '""&amp;YEAR(C122)&amp;""-""&amp;MONTH(C122)&amp;""-""&amp;DAY(C122)&amp;""'""))&gt;0,""Depositada"",if(sum(QUERY(IMPORTRANGE(""https://docs.google.com/spreadsheets/d/1EcLIvUgMoBC5as4ikW0wuQsGH5yVZ6cQ1y16qEfgPnk"",""BD M Sangrias!a:i""),""select Col6 whe"&amp;"re Col7 = 'Caixa Atendimento' and Col9 = '""&amp;K122&amp;""' and Col6 = ""&amp;M122&amp;"" and Col4 = date '""&amp;YEAR(C122)&amp;""-""&amp;MONTH(C122)&amp;""-""&amp;DAY(C122)&amp;""'""))&gt;0,""Caixa Atendimento"",""Caixa Sangria"")),""""),""Caixa Sangria"")"),"")</f>
        <v/>
      </c>
      <c r="M122" s="185">
        <f>IFERROR(__xludf.DUMMYFUNCTION("ifna(VALUE(REGEXEXTRACT(E122,""[0-9.]+[,]+[0-9]+"")))"),650.0)</f>
        <v>650</v>
      </c>
      <c r="N122" s="226"/>
      <c r="O122" s="220"/>
      <c r="P122" s="220"/>
      <c r="Q122" s="228" t="str">
        <f t="shared" si="2"/>
        <v/>
      </c>
      <c r="R122" s="220" t="str">
        <f t="shared" si="3"/>
        <v/>
      </c>
      <c r="S122" s="232" t="str">
        <f t="shared" si="4"/>
        <v/>
      </c>
      <c r="T122" s="185"/>
      <c r="U122" s="185"/>
      <c r="V122" s="185"/>
    </row>
    <row r="123" ht="14.25" customHeight="1">
      <c r="A123" s="178"/>
      <c r="B123" s="12">
        <v>1686438.0</v>
      </c>
      <c r="C123" s="13">
        <v>45917.60886574074</v>
      </c>
      <c r="D123" s="179" t="s">
        <v>152</v>
      </c>
      <c r="E123" s="180" t="s">
        <v>6508</v>
      </c>
      <c r="F123" s="181"/>
      <c r="G123" s="179" t="s">
        <v>267</v>
      </c>
      <c r="H123" s="190"/>
      <c r="I123" s="190"/>
      <c r="J123" s="187" t="s">
        <v>2669</v>
      </c>
      <c r="K123" s="187"/>
      <c r="L123" s="184" t="str">
        <f>IFERROR(__xludf.DUMMYFUNCTION("ifna(IF(and(D123=""Saída"",J123=""Sangria""),if(sum(QUERY(IMPORTRANGE(""https://docs.google.com/spreadsheets/d/1E4szPcLzsqlw4uyBAoJ61L1ChCgpz4wVP8tHfHW1g_c"",""BD M Sangrias!a:i""),""select Col6 where Col7 = 'Depositada' and Col9 = '""&amp;K123&amp;""' and Col6 ="&amp;" ""&amp;M123&amp;"" and Col4 = date '""&amp;YEAR(C123)&amp;""-""&amp;MONTH(C123)&amp;""-""&amp;DAY(C123)&amp;""'""))&gt;0,""Depositada"",if(sum(QUERY(IMPORTRANGE(""https://docs.google.com/spreadsheets/d/1EcLIvUgMoBC5as4ikW0wuQsGH5yVZ6cQ1y16qEfgPnk"",""BD M Sangrias!a:i""),""select Col6 whe"&amp;"re Col7 = 'Caixa Atendimento' and Col9 = '""&amp;K123&amp;""' and Col6 = ""&amp;M123&amp;"" and Col4 = date '""&amp;YEAR(C123)&amp;""-""&amp;MONTH(C123)&amp;""-""&amp;DAY(C123)&amp;""'""))&gt;0,""Caixa Atendimento"",""Caixa Sangria"")),""""),""Caixa Sangria"")"),"")</f>
        <v/>
      </c>
      <c r="M123" s="185">
        <f>IFERROR(__xludf.DUMMYFUNCTION("ifna(VALUE(REGEXEXTRACT(E123,""[0-9.]+[,]+[0-9]+"")))"),55.0)</f>
        <v>55</v>
      </c>
      <c r="N123" s="229"/>
      <c r="O123" s="221"/>
      <c r="P123" s="221"/>
      <c r="Q123" s="231" t="str">
        <f t="shared" si="2"/>
        <v/>
      </c>
      <c r="R123" s="221" t="str">
        <f t="shared" si="3"/>
        <v/>
      </c>
      <c r="S123" s="232" t="str">
        <f t="shared" si="4"/>
        <v/>
      </c>
      <c r="T123" s="185"/>
      <c r="U123" s="185"/>
      <c r="V123" s="185"/>
    </row>
    <row r="124" ht="14.25" customHeight="1">
      <c r="A124" s="178"/>
      <c r="B124" s="12">
        <v>1686487.0</v>
      </c>
      <c r="C124" s="13">
        <v>45917.621979166666</v>
      </c>
      <c r="D124" s="179" t="s">
        <v>152</v>
      </c>
      <c r="E124" s="180" t="s">
        <v>6510</v>
      </c>
      <c r="F124" s="181"/>
      <c r="G124" s="179" t="s">
        <v>267</v>
      </c>
      <c r="H124" s="190"/>
      <c r="I124" s="190"/>
      <c r="J124" s="187" t="s">
        <v>2669</v>
      </c>
      <c r="K124" s="187"/>
      <c r="L124" s="184" t="str">
        <f>IFERROR(__xludf.DUMMYFUNCTION("ifna(IF(and(D124=""Saída"",J124=""Sangria""),if(sum(QUERY(IMPORTRANGE(""https://docs.google.com/spreadsheets/d/1E4szPcLzsqlw4uyBAoJ61L1ChCgpz4wVP8tHfHW1g_c"",""BD M Sangrias!a:i""),""select Col6 where Col7 = 'Depositada' and Col9 = '""&amp;K124&amp;""' and Col6 ="&amp;" ""&amp;M124&amp;"" and Col4 = date '""&amp;YEAR(C124)&amp;""-""&amp;MONTH(C124)&amp;""-""&amp;DAY(C124)&amp;""'""))&gt;0,""Depositada"",if(sum(QUERY(IMPORTRANGE(""https://docs.google.com/spreadsheets/d/1EcLIvUgMoBC5as4ikW0wuQsGH5yVZ6cQ1y16qEfgPnk"",""BD M Sangrias!a:i""),""select Col6 whe"&amp;"re Col7 = 'Caixa Atendimento' and Col9 = '""&amp;K124&amp;""' and Col6 = ""&amp;M124&amp;"" and Col4 = date '""&amp;YEAR(C124)&amp;""-""&amp;MONTH(C124)&amp;""-""&amp;DAY(C124)&amp;""'""))&gt;0,""Caixa Atendimento"",""Caixa Sangria"")),""""),""Caixa Sangria"")"),"")</f>
        <v/>
      </c>
      <c r="M124" s="185">
        <f>IFERROR(__xludf.DUMMYFUNCTION("ifna(VALUE(REGEXEXTRACT(E124,""[0-9.]+[,]+[0-9]+"")))"),85.0)</f>
        <v>85</v>
      </c>
      <c r="N124" s="226"/>
      <c r="O124" s="220"/>
      <c r="P124" s="220"/>
      <c r="Q124" s="228" t="str">
        <f t="shared" si="2"/>
        <v/>
      </c>
      <c r="R124" s="220" t="str">
        <f t="shared" si="3"/>
        <v/>
      </c>
      <c r="S124" s="232" t="str">
        <f t="shared" si="4"/>
        <v/>
      </c>
      <c r="T124" s="185"/>
      <c r="U124" s="185"/>
      <c r="V124" s="185"/>
    </row>
    <row r="125" ht="14.25" customHeight="1">
      <c r="A125" s="178"/>
      <c r="B125" s="12">
        <v>1687935.0</v>
      </c>
      <c r="C125" s="13">
        <v>45917.988958333335</v>
      </c>
      <c r="D125" s="179" t="s">
        <v>81</v>
      </c>
      <c r="E125" s="180" t="s">
        <v>6511</v>
      </c>
      <c r="F125" s="181"/>
      <c r="G125" s="179" t="s">
        <v>5899</v>
      </c>
      <c r="H125" s="190"/>
      <c r="I125" s="190"/>
      <c r="J125" s="187" t="s">
        <v>2436</v>
      </c>
      <c r="K125" s="187"/>
      <c r="L125" s="184" t="str">
        <f>IFERROR(__xludf.DUMMYFUNCTION("ifna(IF(and(D125=""Saída"",J125=""Sangria""),if(sum(QUERY(IMPORTRANGE(""https://docs.google.com/spreadsheets/d/1E4szPcLzsqlw4uyBAoJ61L1ChCgpz4wVP8tHfHW1g_c"",""BD M Sangrias!a:i""),""select Col6 where Col7 = 'Depositada' and Col9 = '""&amp;K125&amp;""' and Col6 ="&amp;" ""&amp;M125&amp;"" and Col4 = date '""&amp;YEAR(C125)&amp;""-""&amp;MONTH(C125)&amp;""-""&amp;DAY(C125)&amp;""'""))&gt;0,""Depositada"",if(sum(QUERY(IMPORTRANGE(""https://docs.google.com/spreadsheets/d/1EcLIvUgMoBC5as4ikW0wuQsGH5yVZ6cQ1y16qEfgPnk"",""BD M Sangrias!a:i""),""select Col6 whe"&amp;"re Col7 = 'Caixa Atendimento' and Col9 = '""&amp;K125&amp;""' and Col6 = ""&amp;M125&amp;"" and Col4 = date '""&amp;YEAR(C125)&amp;""-""&amp;MONTH(C125)&amp;""-""&amp;DAY(C125)&amp;""'""))&gt;0,""Caixa Atendimento"",""Caixa Sangria"")),""""),""Caixa Sangria"")"),"")</f>
        <v/>
      </c>
      <c r="M125" s="185">
        <f>IFERROR(__xludf.DUMMYFUNCTION("ifna(VALUE(REGEXEXTRACT(E125,""[0-9.]+[,]+[0-9]+"")))"),15.85)</f>
        <v>15.85</v>
      </c>
      <c r="N125" s="229"/>
      <c r="O125" s="221"/>
      <c r="P125" s="221"/>
      <c r="Q125" s="231" t="str">
        <f t="shared" si="2"/>
        <v/>
      </c>
      <c r="R125" s="221" t="str">
        <f t="shared" si="3"/>
        <v/>
      </c>
      <c r="S125" s="232" t="str">
        <f t="shared" si="4"/>
        <v/>
      </c>
      <c r="T125" s="185"/>
      <c r="U125" s="185"/>
      <c r="V125" s="185"/>
    </row>
    <row r="126" ht="14.25" customHeight="1">
      <c r="A126" s="178"/>
      <c r="B126" s="12">
        <v>1687937.0</v>
      </c>
      <c r="C126" s="13">
        <v>45917.98966435185</v>
      </c>
      <c r="D126" s="179" t="s">
        <v>81</v>
      </c>
      <c r="E126" s="180" t="s">
        <v>162</v>
      </c>
      <c r="F126" s="181"/>
      <c r="G126" s="179" t="s">
        <v>5718</v>
      </c>
      <c r="H126" s="190"/>
      <c r="I126" s="190"/>
      <c r="J126" s="187" t="s">
        <v>2436</v>
      </c>
      <c r="K126" s="187"/>
      <c r="L126" s="184" t="str">
        <f>IFERROR(__xludf.DUMMYFUNCTION("ifna(IF(and(D126=""Saída"",J126=""Sangria""),if(sum(QUERY(IMPORTRANGE(""https://docs.google.com/spreadsheets/d/1E4szPcLzsqlw4uyBAoJ61L1ChCgpz4wVP8tHfHW1g_c"",""BD M Sangrias!a:i""),""select Col6 where Col7 = 'Depositada' and Col9 = '""&amp;K126&amp;""' and Col6 ="&amp;" ""&amp;M126&amp;"" and Col4 = date '""&amp;YEAR(C126)&amp;""-""&amp;MONTH(C126)&amp;""-""&amp;DAY(C126)&amp;""'""))&gt;0,""Depositada"",if(sum(QUERY(IMPORTRANGE(""https://docs.google.com/spreadsheets/d/1EcLIvUgMoBC5as4ikW0wuQsGH5yVZ6cQ1y16qEfgPnk"",""BD M Sangrias!a:i""),""select Col6 whe"&amp;"re Col7 = 'Caixa Atendimento' and Col9 = '""&amp;K126&amp;""' and Col6 = ""&amp;M126&amp;"" and Col4 = date '""&amp;YEAR(C126)&amp;""-""&amp;MONTH(C126)&amp;""-""&amp;DAY(C126)&amp;""'""))&gt;0,""Caixa Atendimento"",""Caixa Sangria"")),""""),""Caixa Sangria"")"),"")</f>
        <v/>
      </c>
      <c r="M126" s="185">
        <f>IFERROR(__xludf.DUMMYFUNCTION("ifna(VALUE(REGEXEXTRACT(E126,""[0-9.]+[,]+[0-9]+"")))"),150.0)</f>
        <v>150</v>
      </c>
      <c r="N126" s="226"/>
      <c r="O126" s="220"/>
      <c r="P126" s="220"/>
      <c r="Q126" s="228" t="str">
        <f t="shared" si="2"/>
        <v/>
      </c>
      <c r="R126" s="220" t="str">
        <f t="shared" si="3"/>
        <v/>
      </c>
      <c r="S126" s="232" t="str">
        <f t="shared" si="4"/>
        <v/>
      </c>
      <c r="T126" s="185"/>
      <c r="U126" s="185"/>
      <c r="V126" s="185"/>
    </row>
    <row r="127" ht="14.25" customHeight="1">
      <c r="A127" s="178"/>
      <c r="B127" s="12">
        <v>1687947.0</v>
      </c>
      <c r="C127" s="13">
        <v>45917.993252314816</v>
      </c>
      <c r="D127" s="179" t="s">
        <v>81</v>
      </c>
      <c r="E127" s="180" t="s">
        <v>943</v>
      </c>
      <c r="F127" s="181"/>
      <c r="G127" s="179" t="s">
        <v>4071</v>
      </c>
      <c r="H127" s="190"/>
      <c r="I127" s="190"/>
      <c r="J127" s="187" t="s">
        <v>2735</v>
      </c>
      <c r="K127" s="187" t="s">
        <v>2018</v>
      </c>
      <c r="L127" s="184" t="str">
        <f>IFERROR(__xludf.DUMMYFUNCTION("ifna(IF(and(D127=""Saída"",J127=""Sangria""),if(sum(QUERY(IMPORTRANGE(""https://docs.google.com/spreadsheets/d/1E4szPcLzsqlw4uyBAoJ61L1ChCgpz4wVP8tHfHW1g_c"",""BD M Sangrias!a:i""),""select Col6 where Col7 = 'Depositada' and Col9 = '""&amp;K127&amp;""' and Col6 ="&amp;" ""&amp;M127&amp;"" and Col4 = date '""&amp;YEAR(C127)&amp;""-""&amp;MONTH(C127)&amp;""-""&amp;DAY(C127)&amp;""'""))&gt;0,""Depositada"",if(sum(QUERY(IMPORTRANGE(""https://docs.google.com/spreadsheets/d/1EcLIvUgMoBC5as4ikW0wuQsGH5yVZ6cQ1y16qEfgPnk"",""BD M Sangrias!a:i""),""select Col6 whe"&amp;"re Col7 = 'Caixa Atendimento' and Col9 = '""&amp;K127&amp;""' and Col6 = ""&amp;M127&amp;"" and Col4 = date '""&amp;YEAR(C127)&amp;""-""&amp;MONTH(C127)&amp;""-""&amp;DAY(C127)&amp;""'""))&gt;0,""Caixa Atendimento"",""Caixa Sangria"")),""""),""Caixa Sangria"")"),"#REF!")</f>
        <v>#REF!</v>
      </c>
      <c r="M127" s="185">
        <f>IFERROR(__xludf.DUMMYFUNCTION("ifna(VALUE(REGEXEXTRACT(E127,""[0-9.]+[,]+[0-9]+"")))"),800.0)</f>
        <v>800</v>
      </c>
      <c r="N127" s="229"/>
      <c r="O127" s="221"/>
      <c r="P127" s="221"/>
      <c r="Q127" s="231" t="str">
        <f t="shared" si="2"/>
        <v/>
      </c>
      <c r="R127" s="221" t="str">
        <f t="shared" si="3"/>
        <v/>
      </c>
      <c r="S127" s="232" t="str">
        <f t="shared" si="4"/>
        <v/>
      </c>
      <c r="T127" s="185"/>
      <c r="U127" s="185"/>
      <c r="V127" s="185"/>
    </row>
    <row r="128" ht="14.25" customHeight="1">
      <c r="A128" s="178"/>
      <c r="B128" s="12">
        <v>1687950.0</v>
      </c>
      <c r="C128" s="13">
        <v>45917.996458333335</v>
      </c>
      <c r="D128" s="179" t="s">
        <v>81</v>
      </c>
      <c r="E128" s="180" t="s">
        <v>127</v>
      </c>
      <c r="F128" s="181"/>
      <c r="G128" s="179" t="s">
        <v>5296</v>
      </c>
      <c r="H128" s="190"/>
      <c r="I128" s="190"/>
      <c r="J128" s="187" t="s">
        <v>5195</v>
      </c>
      <c r="K128" s="187"/>
      <c r="L128" s="184" t="str">
        <f>IFERROR(__xludf.DUMMYFUNCTION("ifna(IF(and(D128=""Saída"",J128=""Sangria""),if(sum(QUERY(IMPORTRANGE(""https://docs.google.com/spreadsheets/d/1E4szPcLzsqlw4uyBAoJ61L1ChCgpz4wVP8tHfHW1g_c"",""BD M Sangrias!a:i""),""select Col6 where Col7 = 'Depositada' and Col9 = '""&amp;K128&amp;""' and Col6 ="&amp;" ""&amp;M128&amp;"" and Col4 = date '""&amp;YEAR(C128)&amp;""-""&amp;MONTH(C128)&amp;""-""&amp;DAY(C128)&amp;""'""))&gt;0,""Depositada"",if(sum(QUERY(IMPORTRANGE(""https://docs.google.com/spreadsheets/d/1EcLIvUgMoBC5as4ikW0wuQsGH5yVZ6cQ1y16qEfgPnk"",""BD M Sangrias!a:i""),""select Col6 whe"&amp;"re Col7 = 'Caixa Atendimento' and Col9 = '""&amp;K128&amp;""' and Col6 = ""&amp;M128&amp;"" and Col4 = date '""&amp;YEAR(C128)&amp;""-""&amp;MONTH(C128)&amp;""-""&amp;DAY(C128)&amp;""'""))&gt;0,""Caixa Atendimento"",""Caixa Sangria"")),""""),""Caixa Sangria"")"),"")</f>
        <v/>
      </c>
      <c r="M128" s="185">
        <f>IFERROR(__xludf.DUMMYFUNCTION("ifna(VALUE(REGEXEXTRACT(E128,""[0-9.]+[,]+[0-9]+"")))"),250.0)</f>
        <v>250</v>
      </c>
      <c r="N128" s="226"/>
      <c r="O128" s="220"/>
      <c r="P128" s="220"/>
      <c r="Q128" s="228" t="str">
        <f t="shared" si="2"/>
        <v/>
      </c>
      <c r="R128" s="220" t="str">
        <f t="shared" si="3"/>
        <v/>
      </c>
      <c r="S128" s="232" t="str">
        <f t="shared" si="4"/>
        <v/>
      </c>
      <c r="T128" s="185"/>
      <c r="U128" s="185"/>
      <c r="V128" s="185"/>
    </row>
    <row r="129" ht="14.25" customHeight="1">
      <c r="A129" s="178"/>
      <c r="B129" s="12">
        <v>1688037.0</v>
      </c>
      <c r="C129" s="13">
        <v>45918.531909722224</v>
      </c>
      <c r="D129" s="179" t="s">
        <v>152</v>
      </c>
      <c r="E129" s="180" t="s">
        <v>6512</v>
      </c>
      <c r="F129" s="188"/>
      <c r="G129" s="179" t="s">
        <v>158</v>
      </c>
      <c r="H129" s="190"/>
      <c r="I129" s="190"/>
      <c r="J129" s="187" t="s">
        <v>2669</v>
      </c>
      <c r="K129" s="187"/>
      <c r="L129" s="184" t="str">
        <f>IFERROR(__xludf.DUMMYFUNCTION("ifna(IF(and(D129=""Saída"",J129=""Sangria""),if(sum(QUERY(IMPORTRANGE(""https://docs.google.com/spreadsheets/d/1E4szPcLzsqlw4uyBAoJ61L1ChCgpz4wVP8tHfHW1g_c"",""BD M Sangrias!a:i""),""select Col6 where Col7 = 'Depositada' and Col9 = '""&amp;K129&amp;""' and Col6 ="&amp;" ""&amp;M129&amp;"" and Col4 = date '""&amp;YEAR(C129)&amp;""-""&amp;MONTH(C129)&amp;""-""&amp;DAY(C129)&amp;""'""))&gt;0,""Depositada"",if(sum(QUERY(IMPORTRANGE(""https://docs.google.com/spreadsheets/d/1EcLIvUgMoBC5as4ikW0wuQsGH5yVZ6cQ1y16qEfgPnk"",""BD M Sangrias!a:i""),""select Col6 whe"&amp;"re Col7 = 'Caixa Atendimento' and Col9 = '""&amp;K129&amp;""' and Col6 = ""&amp;M129&amp;"" and Col4 = date '""&amp;YEAR(C129)&amp;""-""&amp;MONTH(C129)&amp;""-""&amp;DAY(C129)&amp;""'""))&gt;0,""Caixa Atendimento"",""Caixa Sangria"")),""""),""Caixa Sangria"")"),"")</f>
        <v/>
      </c>
      <c r="M129" s="185">
        <f>IFERROR(__xludf.DUMMYFUNCTION("ifna(VALUE(REGEXEXTRACT(E129,""[0-9.]+[,]+[0-9]+"")))"),89.2)</f>
        <v>89.2</v>
      </c>
      <c r="N129" s="229"/>
      <c r="O129" s="221"/>
      <c r="P129" s="221"/>
      <c r="Q129" s="231" t="str">
        <f t="shared" si="2"/>
        <v/>
      </c>
      <c r="R129" s="221" t="str">
        <f t="shared" si="3"/>
        <v/>
      </c>
      <c r="S129" s="232" t="str">
        <f t="shared" si="4"/>
        <v/>
      </c>
      <c r="T129" s="185"/>
      <c r="U129" s="185"/>
      <c r="V129" s="185"/>
    </row>
    <row r="130" ht="14.25" customHeight="1">
      <c r="A130" s="178"/>
      <c r="B130" s="12">
        <v>1689019.0</v>
      </c>
      <c r="C130" s="13">
        <v>45918.84846064815</v>
      </c>
      <c r="D130" s="179" t="s">
        <v>81</v>
      </c>
      <c r="E130" s="180" t="s">
        <v>6513</v>
      </c>
      <c r="F130" s="181"/>
      <c r="G130" s="179" t="s">
        <v>114</v>
      </c>
      <c r="H130" s="190"/>
      <c r="I130" s="190"/>
      <c r="J130" s="187" t="s">
        <v>3151</v>
      </c>
      <c r="K130" s="187"/>
      <c r="L130" s="184" t="str">
        <f>IFERROR(__xludf.DUMMYFUNCTION("ifna(IF(and(D130=""Saída"",J130=""Sangria""),if(sum(QUERY(IMPORTRANGE(""https://docs.google.com/spreadsheets/d/1E4szPcLzsqlw4uyBAoJ61L1ChCgpz4wVP8tHfHW1g_c"",""BD M Sangrias!a:i""),""select Col6 where Col7 = 'Depositada' and Col9 = '""&amp;K130&amp;""' and Col6 ="&amp;" ""&amp;M130&amp;"" and Col4 = date '""&amp;YEAR(C130)&amp;""-""&amp;MONTH(C130)&amp;""-""&amp;DAY(C130)&amp;""'""))&gt;0,""Depositada"",if(sum(QUERY(IMPORTRANGE(""https://docs.google.com/spreadsheets/d/1EcLIvUgMoBC5as4ikW0wuQsGH5yVZ6cQ1y16qEfgPnk"",""BD M Sangrias!a:i""),""select Col6 whe"&amp;"re Col7 = 'Caixa Atendimento' and Col9 = '""&amp;K130&amp;""' and Col6 = ""&amp;M130&amp;"" and Col4 = date '""&amp;YEAR(C130)&amp;""-""&amp;MONTH(C130)&amp;""-""&amp;DAY(C130)&amp;""'""))&gt;0,""Caixa Atendimento"",""Caixa Sangria"")),""""),""Caixa Sangria"")"),"")</f>
        <v/>
      </c>
      <c r="M130" s="185">
        <f>IFERROR(__xludf.DUMMYFUNCTION("ifna(VALUE(REGEXEXTRACT(E130,""[0-9.]+[,]+[0-9]+"")))"),294.23)</f>
        <v>294.23</v>
      </c>
      <c r="N130" s="226"/>
      <c r="O130" s="220"/>
      <c r="P130" s="220"/>
      <c r="Q130" s="228" t="str">
        <f t="shared" si="2"/>
        <v/>
      </c>
      <c r="R130" s="220" t="str">
        <f t="shared" si="3"/>
        <v/>
      </c>
      <c r="S130" s="232" t="str">
        <f t="shared" si="4"/>
        <v/>
      </c>
      <c r="T130" s="185"/>
      <c r="U130" s="185"/>
      <c r="V130" s="185"/>
    </row>
    <row r="131" ht="14.25" customHeight="1">
      <c r="A131" s="178"/>
      <c r="B131" s="12">
        <v>1689476.0</v>
      </c>
      <c r="C131" s="13">
        <v>45918.94212962963</v>
      </c>
      <c r="D131" s="179" t="s">
        <v>81</v>
      </c>
      <c r="E131" s="180" t="s">
        <v>146</v>
      </c>
      <c r="F131" s="181"/>
      <c r="G131" s="179" t="s">
        <v>6419</v>
      </c>
      <c r="H131" s="190"/>
      <c r="I131" s="190"/>
      <c r="J131" s="233" t="s">
        <v>5195</v>
      </c>
      <c r="K131" s="187"/>
      <c r="L131" s="184" t="str">
        <f>IFERROR(__xludf.DUMMYFUNCTION("ifna(IF(and(D131=""Saída"",J131=""Sangria""),if(sum(QUERY(IMPORTRANGE(""https://docs.google.com/spreadsheets/d/1E4szPcLzsqlw4uyBAoJ61L1ChCgpz4wVP8tHfHW1g_c"",""BD M Sangrias!a:i""),""select Col6 where Col7 = 'Depositada' and Col9 = '""&amp;K131&amp;""' and Col6 ="&amp;" ""&amp;M131&amp;"" and Col4 = date '""&amp;YEAR(C131)&amp;""-""&amp;MONTH(C131)&amp;""-""&amp;DAY(C131)&amp;""'""))&gt;0,""Depositada"",if(sum(QUERY(IMPORTRANGE(""https://docs.google.com/spreadsheets/d/1EcLIvUgMoBC5as4ikW0wuQsGH5yVZ6cQ1y16qEfgPnk"",""BD M Sangrias!a:i""),""select Col6 whe"&amp;"re Col7 = 'Caixa Atendimento' and Col9 = '""&amp;K131&amp;""' and Col6 = ""&amp;M131&amp;"" and Col4 = date '""&amp;YEAR(C131)&amp;""-""&amp;MONTH(C131)&amp;""-""&amp;DAY(C131)&amp;""'""))&gt;0,""Caixa Atendimento"",""Caixa Sangria"")),""""),""Caixa Sangria"")"),"")</f>
        <v/>
      </c>
      <c r="M131" s="185">
        <f>IFERROR(__xludf.DUMMYFUNCTION("ifna(VALUE(REGEXEXTRACT(E131,""[0-9.]+[,]+[0-9]+"")))"),400.0)</f>
        <v>400</v>
      </c>
      <c r="N131" s="229"/>
      <c r="O131" s="221"/>
      <c r="P131" s="221"/>
      <c r="Q131" s="231" t="str">
        <f t="shared" si="2"/>
        <v/>
      </c>
      <c r="R131" s="221" t="str">
        <f t="shared" si="3"/>
        <v/>
      </c>
      <c r="S131" s="232" t="str">
        <f t="shared" si="4"/>
        <v/>
      </c>
      <c r="T131" s="185"/>
      <c r="U131" s="185"/>
      <c r="V131" s="185"/>
    </row>
    <row r="132" ht="14.25" customHeight="1">
      <c r="A132" s="178"/>
      <c r="B132" s="12">
        <v>1690441.0</v>
      </c>
      <c r="C132" s="13">
        <v>45919.72724537037</v>
      </c>
      <c r="D132" s="179" t="s">
        <v>81</v>
      </c>
      <c r="E132" s="180" t="s">
        <v>6514</v>
      </c>
      <c r="F132" s="181"/>
      <c r="G132" s="179" t="s">
        <v>5861</v>
      </c>
      <c r="H132" s="190"/>
      <c r="I132" s="190"/>
      <c r="J132" s="187" t="s">
        <v>2019</v>
      </c>
      <c r="K132" s="187" t="s">
        <v>2117</v>
      </c>
      <c r="L132" s="184" t="str">
        <f>IFERROR(__xludf.DUMMYFUNCTION("ifna(IF(and(D132=""Saída"",J132=""Sangria""),if(sum(QUERY(IMPORTRANGE(""https://docs.google.com/spreadsheets/d/1E4szPcLzsqlw4uyBAoJ61L1ChCgpz4wVP8tHfHW1g_c"",""BD M Sangrias!a:i""),""select Col6 where Col7 = 'Depositada' and Col9 = '""&amp;K132&amp;""' and Col6 ="&amp;" ""&amp;M132&amp;"" and Col4 = date '""&amp;YEAR(C132)&amp;""-""&amp;MONTH(C132)&amp;""-""&amp;DAY(C132)&amp;""'""))&gt;0,""Depositada"",if(sum(QUERY(IMPORTRANGE(""https://docs.google.com/spreadsheets/d/1EcLIvUgMoBC5as4ikW0wuQsGH5yVZ6cQ1y16qEfgPnk"",""BD M Sangrias!a:i""),""select Col6 whe"&amp;"re Col7 = 'Caixa Atendimento' and Col9 = '""&amp;K132&amp;""' and Col6 = ""&amp;M132&amp;"" and Col4 = date '""&amp;YEAR(C132)&amp;""-""&amp;MONTH(C132)&amp;""-""&amp;DAY(C132)&amp;""'""))&gt;0,""Caixa Atendimento"",""Caixa Sangria"")),""""),""Caixa Sangria"")"),"")</f>
        <v/>
      </c>
      <c r="M132" s="185">
        <f>IFERROR(__xludf.DUMMYFUNCTION("ifna(VALUE(REGEXEXTRACT(E132,""[0-9.]+[,]+[0-9]+"")))"),15.47)</f>
        <v>15.47</v>
      </c>
      <c r="N132" s="226"/>
      <c r="O132" s="220"/>
      <c r="P132" s="220"/>
      <c r="Q132" s="228" t="str">
        <f t="shared" si="2"/>
        <v/>
      </c>
      <c r="R132" s="220" t="str">
        <f t="shared" si="3"/>
        <v/>
      </c>
      <c r="S132" s="232" t="str">
        <f t="shared" si="4"/>
        <v/>
      </c>
      <c r="T132" s="185"/>
      <c r="U132" s="185"/>
      <c r="V132" s="185"/>
    </row>
    <row r="133" ht="14.25" customHeight="1">
      <c r="A133" s="178"/>
      <c r="B133" s="12">
        <v>1690442.0</v>
      </c>
      <c r="C133" s="13">
        <v>45919.72752314815</v>
      </c>
      <c r="D133" s="179" t="s">
        <v>81</v>
      </c>
      <c r="E133" s="180" t="s">
        <v>6515</v>
      </c>
      <c r="F133" s="181"/>
      <c r="G133" s="179" t="s">
        <v>6473</v>
      </c>
      <c r="H133" s="190"/>
      <c r="I133" s="190"/>
      <c r="J133" s="16" t="s">
        <v>2019</v>
      </c>
      <c r="K133" s="187" t="s">
        <v>2018</v>
      </c>
      <c r="L133" s="184" t="str">
        <f>IFERROR(__xludf.DUMMYFUNCTION("ifna(IF(and(D133=""Saída"",J132=""Sangria""),if(sum(QUERY(IMPORTRANGE(""https://docs.google.com/spreadsheets/d/1E4szPcLzsqlw4uyBAoJ61L1ChCgpz4wVP8tHfHW1g_c"",""BD M Sangrias!a:i""),""select Col6 where Col7 = 'Depositada' and Col9 = '""&amp;K133&amp;""' and Col6 ="&amp;" ""&amp;M133&amp;"" and Col4 = date '""&amp;YEAR(C133)&amp;""-""&amp;MONTH(C133)&amp;""-""&amp;DAY(C133)&amp;""'""))&gt;0,""Depositada"",if(sum(QUERY(IMPORTRANGE(""https://docs.google.com/spreadsheets/d/1EcLIvUgMoBC5as4ikW0wuQsGH5yVZ6cQ1y16qEfgPnk"",""BD M Sangrias!a:i""),""select Col6 whe"&amp;"re Col7 = 'Caixa Atendimento' and Col9 = '""&amp;K133&amp;""' and Col6 = ""&amp;M133&amp;"" and Col4 = date '""&amp;YEAR(C133)&amp;""-""&amp;MONTH(C133)&amp;""-""&amp;DAY(C133)&amp;""'""))&gt;0,""Caixa Atendimento"",""Caixa Sangria"")),""""),""Caixa Sangria"")"),"")</f>
        <v/>
      </c>
      <c r="M133" s="185">
        <f>IFERROR(__xludf.DUMMYFUNCTION("ifna(VALUE(REGEXEXTRACT(E133,""[0-9.]+[,]+[0-9]+"")))"),15.98)</f>
        <v>15.98</v>
      </c>
      <c r="N133" s="235"/>
      <c r="O133" s="236"/>
      <c r="P133" s="236"/>
      <c r="Q133" s="237" t="str">
        <f t="shared" si="2"/>
        <v/>
      </c>
      <c r="R133" s="236" t="str">
        <f t="shared" si="3"/>
        <v/>
      </c>
      <c r="S133" s="232" t="str">
        <f t="shared" si="4"/>
        <v/>
      </c>
      <c r="T133" s="185"/>
      <c r="U133" s="185"/>
      <c r="V133" s="185"/>
    </row>
    <row r="134" ht="14.25" customHeight="1">
      <c r="A134" s="178"/>
      <c r="B134" s="12">
        <v>1690474.0</v>
      </c>
      <c r="C134" s="13">
        <v>45919.733773148146</v>
      </c>
      <c r="D134" s="179" t="s">
        <v>152</v>
      </c>
      <c r="E134" s="180" t="s">
        <v>6516</v>
      </c>
      <c r="F134" s="181"/>
      <c r="G134" s="179" t="s">
        <v>6517</v>
      </c>
      <c r="H134" s="190"/>
      <c r="I134" s="190"/>
      <c r="J134" s="187"/>
      <c r="K134" s="187"/>
      <c r="L134" s="184" t="str">
        <f>IFERROR(__xludf.DUMMYFUNCTION("ifna(IF(and(D134=""Saída"",J134=""Sangria""),if(sum(QUERY(IMPORTRANGE(""https://docs.google.com/spreadsheets/d/1E4szPcLzsqlw4uyBAoJ61L1ChCgpz4wVP8tHfHW1g_c"",""BD M Sangrias!a:i""),""select Col6 where Col7 = 'Depositada' and Col9 = '""&amp;K134&amp;""' and Col6 ="&amp;" ""&amp;M134&amp;"" and Col4 = date '""&amp;YEAR(C134)&amp;""-""&amp;MONTH(C134)&amp;""-""&amp;DAY(C134)&amp;""'""))&gt;0,""Depositada"",if(sum(QUERY(IMPORTRANGE(""https://docs.google.com/spreadsheets/d/1EcLIvUgMoBC5as4ikW0wuQsGH5yVZ6cQ1y16qEfgPnk"",""BD M Sangrias!a:i""),""select Col6 whe"&amp;"re Col7 = 'Caixa Atendimento' and Col9 = '""&amp;K134&amp;""' and Col6 = ""&amp;M134&amp;"" and Col4 = date '""&amp;YEAR(C134)&amp;""-""&amp;MONTH(C134)&amp;""-""&amp;DAY(C134)&amp;""'""))&gt;0,""Caixa Atendimento"",""Caixa Sangria"")),""""),""Caixa Sangria"")"),"")</f>
        <v/>
      </c>
      <c r="M134" s="185">
        <f>IFERROR(__xludf.DUMMYFUNCTION("ifna(VALUE(REGEXEXTRACT(E134,""[0-9.]+[,]+[0-9]+"")))"),92.75)</f>
        <v>92.75</v>
      </c>
      <c r="N134" s="235"/>
      <c r="O134" s="236"/>
      <c r="P134" s="236"/>
      <c r="Q134" s="237" t="str">
        <f t="shared" si="2"/>
        <v/>
      </c>
      <c r="R134" s="236" t="str">
        <f t="shared" si="3"/>
        <v/>
      </c>
      <c r="S134" s="232" t="str">
        <f t="shared" si="4"/>
        <v/>
      </c>
      <c r="T134" s="185"/>
      <c r="U134" s="185"/>
      <c r="V134" s="185"/>
    </row>
    <row r="135" ht="14.25" customHeight="1">
      <c r="A135" s="178"/>
      <c r="B135" s="12">
        <v>1690492.0</v>
      </c>
      <c r="C135" s="13">
        <v>45919.738541666666</v>
      </c>
      <c r="D135" s="179" t="s">
        <v>81</v>
      </c>
      <c r="E135" s="180" t="s">
        <v>3905</v>
      </c>
      <c r="F135" s="181"/>
      <c r="G135" s="179" t="s">
        <v>4071</v>
      </c>
      <c r="H135" s="190"/>
      <c r="I135" s="190"/>
      <c r="J135" s="187" t="s">
        <v>2735</v>
      </c>
      <c r="K135" s="187" t="s">
        <v>2018</v>
      </c>
      <c r="L135" s="184" t="str">
        <f>IFERROR(__xludf.DUMMYFUNCTION("ifna(IF(and(D135=""Saída"",J135=""Sangria""),if(sum(QUERY(IMPORTRANGE(""https://docs.google.com/spreadsheets/d/1E4szPcLzsqlw4uyBAoJ61L1ChCgpz4wVP8tHfHW1g_c"",""BD M Sangrias!a:i""),""select Col6 where Col7 = 'Depositada' and Col9 = '""&amp;K135&amp;""' and Col6 ="&amp;" ""&amp;M135&amp;"" and Col4 = date '""&amp;YEAR(C135)&amp;""-""&amp;MONTH(C135)&amp;""-""&amp;DAY(C135)&amp;""'""))&gt;0,""Depositada"",if(sum(QUERY(IMPORTRANGE(""https://docs.google.com/spreadsheets/d/1EcLIvUgMoBC5as4ikW0wuQsGH5yVZ6cQ1y16qEfgPnk"",""BD M Sangrias!a:i""),""select Col6 whe"&amp;"re Col7 = 'Caixa Atendimento' and Col9 = '""&amp;K135&amp;""' and Col6 = ""&amp;M135&amp;"" and Col4 = date '""&amp;YEAR(C135)&amp;""-""&amp;MONTH(C135)&amp;""-""&amp;DAY(C135)&amp;""'""))&gt;0,""Caixa Atendimento"",""Caixa Sangria"")),""""),""Caixa Sangria"")"),"#REF!")</f>
        <v>#REF!</v>
      </c>
      <c r="M135" s="185">
        <f>IFERROR(__xludf.DUMMYFUNCTION("ifna(VALUE(REGEXEXTRACT(E135,""[0-9.]+[,]+[0-9]+"")))"),1050.0)</f>
        <v>1050</v>
      </c>
      <c r="N135" s="235"/>
      <c r="O135" s="236"/>
      <c r="P135" s="236"/>
      <c r="Q135" s="237" t="str">
        <f t="shared" si="2"/>
        <v/>
      </c>
      <c r="R135" s="236" t="str">
        <f t="shared" si="3"/>
        <v/>
      </c>
      <c r="S135" s="232" t="str">
        <f t="shared" si="4"/>
        <v/>
      </c>
      <c r="T135" s="185"/>
      <c r="U135" s="185"/>
      <c r="V135" s="185"/>
    </row>
    <row r="136" ht="14.25" customHeight="1">
      <c r="A136" s="178"/>
      <c r="B136" s="12">
        <v>1691619.0</v>
      </c>
      <c r="C136" s="13">
        <v>45919.98731481482</v>
      </c>
      <c r="D136" s="179" t="s">
        <v>81</v>
      </c>
      <c r="E136" s="180" t="s">
        <v>4106</v>
      </c>
      <c r="F136" s="181"/>
      <c r="G136" s="179" t="s">
        <v>128</v>
      </c>
      <c r="H136" s="190"/>
      <c r="I136" s="190"/>
      <c r="J136" s="187" t="s">
        <v>2735</v>
      </c>
      <c r="K136" s="187" t="s">
        <v>1894</v>
      </c>
      <c r="L136" s="184" t="str">
        <f>IFERROR(__xludf.DUMMYFUNCTION("ifna(IF(and(D136=""Saída"",J136=""Sangria""),if(sum(QUERY(IMPORTRANGE(""https://docs.google.com/spreadsheets/d/1E4szPcLzsqlw4uyBAoJ61L1ChCgpz4wVP8tHfHW1g_c"",""BD M Sangrias!a:i""),""select Col6 where Col7 = 'Depositada' and Col9 = '""&amp;K136&amp;""' and Col6 ="&amp;" ""&amp;M136&amp;"" and Col4 = date '""&amp;YEAR(C136)&amp;""-""&amp;MONTH(C136)&amp;""-""&amp;DAY(C136)&amp;""'""))&gt;0,""Depositada"",if(sum(QUERY(IMPORTRANGE(""https://docs.google.com/spreadsheets/d/1EcLIvUgMoBC5as4ikW0wuQsGH5yVZ6cQ1y16qEfgPnk"",""BD M Sangrias!a:i""),""select Col6 whe"&amp;"re Col7 = 'Caixa Atendimento' and Col9 = '""&amp;K136&amp;""' and Col6 = ""&amp;M136&amp;"" and Col4 = date '""&amp;YEAR(C136)&amp;""-""&amp;MONTH(C136)&amp;""-""&amp;DAY(C136)&amp;""'""))&gt;0,""Caixa Atendimento"",""Caixa Sangria"")),""""),""Caixa Sangria"")"),"#REF!")</f>
        <v>#REF!</v>
      </c>
      <c r="M136" s="185">
        <f>IFERROR(__xludf.DUMMYFUNCTION("ifna(VALUE(REGEXEXTRACT(E136,""[0-9.]+[,]+[0-9]+"")))"),750.0)</f>
        <v>750</v>
      </c>
      <c r="N136" s="235"/>
      <c r="O136" s="236"/>
      <c r="P136" s="236"/>
      <c r="Q136" s="237" t="str">
        <f t="shared" si="2"/>
        <v/>
      </c>
      <c r="R136" s="236" t="str">
        <f t="shared" si="3"/>
        <v/>
      </c>
      <c r="S136" s="232" t="str">
        <f t="shared" si="4"/>
        <v/>
      </c>
      <c r="T136" s="185"/>
      <c r="U136" s="185"/>
      <c r="V136" s="185"/>
    </row>
    <row r="137" ht="14.25" customHeight="1">
      <c r="A137" s="178"/>
      <c r="B137" s="12">
        <v>1692114.0</v>
      </c>
      <c r="C137" s="13">
        <v>45920.63731481481</v>
      </c>
      <c r="D137" s="179" t="s">
        <v>81</v>
      </c>
      <c r="E137" s="180" t="s">
        <v>6518</v>
      </c>
      <c r="F137" s="181"/>
      <c r="G137" s="179" t="s">
        <v>6519</v>
      </c>
      <c r="H137" s="190"/>
      <c r="I137" s="190"/>
      <c r="J137" s="187" t="s">
        <v>3151</v>
      </c>
      <c r="K137" s="187"/>
      <c r="L137" s="184" t="str">
        <f>IFERROR(__xludf.DUMMYFUNCTION("ifna(IF(and(D137=""Saída"",J137=""Sangria""),if(sum(QUERY(IMPORTRANGE(""https://docs.google.com/spreadsheets/d/1E4szPcLzsqlw4uyBAoJ61L1ChCgpz4wVP8tHfHW1g_c"",""BD M Sangrias!a:i""),""select Col6 where Col7 = 'Depositada' and Col9 = '""&amp;K137&amp;""' and Col6 ="&amp;" ""&amp;M137&amp;"" and Col4 = date '""&amp;YEAR(C137)&amp;""-""&amp;MONTH(C137)&amp;""-""&amp;DAY(C137)&amp;""'""))&gt;0,""Depositada"",if(sum(QUERY(IMPORTRANGE(""https://docs.google.com/spreadsheets/d/1EcLIvUgMoBC5as4ikW0wuQsGH5yVZ6cQ1y16qEfgPnk"",""BD M Sangrias!a:i""),""select Col6 whe"&amp;"re Col7 = 'Caixa Atendimento' and Col9 = '""&amp;K137&amp;""' and Col6 = ""&amp;M137&amp;"" and Col4 = date '""&amp;YEAR(C137)&amp;""-""&amp;MONTH(C137)&amp;""-""&amp;DAY(C137)&amp;""'""))&gt;0,""Caixa Atendimento"",""Caixa Sangria"")),""""),""Caixa Sangria"")"),"")</f>
        <v/>
      </c>
      <c r="M137" s="185">
        <f>IFERROR(__xludf.DUMMYFUNCTION("ifna(VALUE(REGEXEXTRACT(E137,""[0-9.]+[,]+[0-9]+"")))"),203.07)</f>
        <v>203.07</v>
      </c>
      <c r="N137" s="235"/>
      <c r="O137" s="236"/>
      <c r="P137" s="236"/>
      <c r="Q137" s="237" t="str">
        <f t="shared" si="2"/>
        <v/>
      </c>
      <c r="R137" s="236" t="str">
        <f t="shared" si="3"/>
        <v/>
      </c>
      <c r="S137" s="232" t="str">
        <f t="shared" si="4"/>
        <v/>
      </c>
      <c r="T137" s="185"/>
      <c r="U137" s="185"/>
      <c r="V137" s="185"/>
    </row>
    <row r="138" ht="14.25" customHeight="1">
      <c r="A138" s="178"/>
      <c r="B138" s="12">
        <v>1692203.0</v>
      </c>
      <c r="C138" s="13">
        <v>45920.658113425925</v>
      </c>
      <c r="D138" s="179" t="s">
        <v>81</v>
      </c>
      <c r="E138" s="180" t="s">
        <v>6520</v>
      </c>
      <c r="F138" s="181"/>
      <c r="G138" s="179" t="s">
        <v>6521</v>
      </c>
      <c r="H138" s="190"/>
      <c r="I138" s="190"/>
      <c r="J138" s="187" t="s">
        <v>3151</v>
      </c>
      <c r="K138" s="187"/>
      <c r="L138" s="184" t="str">
        <f>IFERROR(__xludf.DUMMYFUNCTION("ifna(IF(and(D138=""Saída"",J138=""Sangria""),if(sum(QUERY(IMPORTRANGE(""https://docs.google.com/spreadsheets/d/1E4szPcLzsqlw4uyBAoJ61L1ChCgpz4wVP8tHfHW1g_c"",""BD M Sangrias!a:i""),""select Col6 where Col7 = 'Depositada' and Col9 = '""&amp;K138&amp;""' and Col6 ="&amp;" ""&amp;M138&amp;"" and Col4 = date '""&amp;YEAR(C138)&amp;""-""&amp;MONTH(C138)&amp;""-""&amp;DAY(C138)&amp;""'""))&gt;0,""Depositada"",if(sum(QUERY(IMPORTRANGE(""https://docs.google.com/spreadsheets/d/1EcLIvUgMoBC5as4ikW0wuQsGH5yVZ6cQ1y16qEfgPnk"",""BD M Sangrias!a:i""),""select Col6 whe"&amp;"re Col7 = 'Caixa Atendimento' and Col9 = '""&amp;K138&amp;""' and Col6 = ""&amp;M138&amp;"" and Col4 = date '""&amp;YEAR(C138)&amp;""-""&amp;MONTH(C138)&amp;""-""&amp;DAY(C138)&amp;""'""))&gt;0,""Caixa Atendimento"",""Caixa Sangria"")),""""),""Caixa Sangria"")"),"")</f>
        <v/>
      </c>
      <c r="M138" s="185">
        <f>IFERROR(__xludf.DUMMYFUNCTION("ifna(VALUE(REGEXEXTRACT(E138,""[0-9.]+[,]+[0-9]+"")))"),42.5)</f>
        <v>42.5</v>
      </c>
      <c r="N138" s="239"/>
      <c r="O138" s="240"/>
      <c r="P138" s="240"/>
      <c r="Q138" s="241" t="str">
        <f t="shared" si="2"/>
        <v/>
      </c>
      <c r="R138" s="240" t="str">
        <f t="shared" si="3"/>
        <v/>
      </c>
      <c r="S138" s="242" t="str">
        <f t="shared" si="4"/>
        <v/>
      </c>
      <c r="T138" s="185"/>
      <c r="U138" s="185"/>
      <c r="V138" s="185"/>
    </row>
    <row r="139" ht="14.25" customHeight="1">
      <c r="A139" s="178"/>
      <c r="B139" s="12">
        <v>1692801.0</v>
      </c>
      <c r="C139" s="13">
        <v>45920.76938657407</v>
      </c>
      <c r="D139" s="179" t="s">
        <v>152</v>
      </c>
      <c r="E139" s="180" t="s">
        <v>155</v>
      </c>
      <c r="F139" s="188"/>
      <c r="G139" s="179" t="s">
        <v>267</v>
      </c>
      <c r="H139" s="190"/>
      <c r="I139" s="190"/>
      <c r="J139" s="187" t="s">
        <v>2669</v>
      </c>
      <c r="K139" s="187"/>
      <c r="L139" s="184" t="str">
        <f>IFERROR(__xludf.DUMMYFUNCTION("ifna(IF(and(D139=""Saída"",J139=""Sangria""),if(sum(QUERY(IMPORTRANGE(""https://docs.google.com/spreadsheets/d/1E4szPcLzsqlw4uyBAoJ61L1ChCgpz4wVP8tHfHW1g_c"",""BD M Sangrias!a:i""),""select Col6 where Col7 = 'Depositada' and Col9 = '""&amp;K139&amp;""' and Col6 ="&amp;" ""&amp;M139&amp;"" and Col4 = date '""&amp;YEAR(C139)&amp;""-""&amp;MONTH(C139)&amp;""-""&amp;DAY(C139)&amp;""'""))&gt;0,""Depositada"",if(sum(QUERY(IMPORTRANGE(""https://docs.google.com/spreadsheets/d/1EcLIvUgMoBC5as4ikW0wuQsGH5yVZ6cQ1y16qEfgPnk"",""BD M Sangrias!a:i""),""select Col6 whe"&amp;"re Col7 = 'Caixa Atendimento' and Col9 = '""&amp;K139&amp;""' and Col6 = ""&amp;M139&amp;"" and Col4 = date '""&amp;YEAR(C139)&amp;""-""&amp;MONTH(C139)&amp;""-""&amp;DAY(C139)&amp;""'""))&gt;0,""Caixa Atendimento"",""Caixa Sangria"")),""""),""Caixa Sangria"")"),"")</f>
        <v/>
      </c>
      <c r="M139" s="185">
        <f>IFERROR(__xludf.DUMMYFUNCTION("ifna(VALUE(REGEXEXTRACT(E139,""[0-9.]+[,]+[0-9]+"")))"),21.0)</f>
        <v>21</v>
      </c>
      <c r="N139" s="185"/>
      <c r="O139" s="185"/>
      <c r="P139" s="185"/>
      <c r="Q139" s="185"/>
      <c r="R139" s="185"/>
      <c r="S139" s="185"/>
      <c r="T139" s="185"/>
      <c r="U139" s="185"/>
      <c r="V139" s="185"/>
    </row>
    <row r="140" ht="14.25" customHeight="1">
      <c r="A140" s="178"/>
      <c r="B140" s="12">
        <v>1693732.0</v>
      </c>
      <c r="C140" s="13">
        <v>45920.92141203704</v>
      </c>
      <c r="D140" s="179" t="s">
        <v>81</v>
      </c>
      <c r="E140" s="180" t="s">
        <v>6522</v>
      </c>
      <c r="F140" s="181"/>
      <c r="G140" s="179" t="s">
        <v>6523</v>
      </c>
      <c r="H140" s="190"/>
      <c r="I140" s="190"/>
      <c r="J140" s="187" t="s">
        <v>1782</v>
      </c>
      <c r="K140" s="187"/>
      <c r="L140" s="184" t="str">
        <f>IFERROR(__xludf.DUMMYFUNCTION("ifna(IF(and(D140=""Saída"",J140=""Sangria""),if(sum(QUERY(IMPORTRANGE(""https://docs.google.com/spreadsheets/d/1E4szPcLzsqlw4uyBAoJ61L1ChCgpz4wVP8tHfHW1g_c"",""BD M Sangrias!a:i""),""select Col6 where Col7 = 'Depositada' and Col9 = '""&amp;K140&amp;""' and Col6 ="&amp;" ""&amp;M140&amp;"" and Col4 = date '""&amp;YEAR(C140)&amp;""-""&amp;MONTH(C140)&amp;""-""&amp;DAY(C140)&amp;""'""))&gt;0,""Depositada"",if(sum(QUERY(IMPORTRANGE(""https://docs.google.com/spreadsheets/d/1EcLIvUgMoBC5as4ikW0wuQsGH5yVZ6cQ1y16qEfgPnk"",""BD M Sangrias!a:i""),""select Col6 whe"&amp;"re Col7 = 'Caixa Atendimento' and Col9 = '""&amp;K140&amp;""' and Col6 = ""&amp;M140&amp;"" and Col4 = date '""&amp;YEAR(C140)&amp;""-""&amp;MONTH(C140)&amp;""-""&amp;DAY(C140)&amp;""'""))&gt;0,""Caixa Atendimento"",""Caixa Sangria"")),""""),""Caixa Sangria"")"),"")</f>
        <v/>
      </c>
      <c r="M140" s="185">
        <f>IFERROR(__xludf.DUMMYFUNCTION("ifna(VALUE(REGEXEXTRACT(E140,""[0-9.]+[,]+[0-9]+"")))"),104.0)</f>
        <v>104</v>
      </c>
      <c r="N140" s="185"/>
      <c r="O140" s="185"/>
      <c r="P140" s="185"/>
      <c r="Q140" s="185"/>
      <c r="R140" s="185"/>
      <c r="S140" s="185"/>
      <c r="T140" s="185"/>
      <c r="U140" s="185"/>
      <c r="V140" s="185"/>
    </row>
    <row r="141" ht="14.25" customHeight="1">
      <c r="A141" s="178"/>
      <c r="B141" s="12">
        <v>1693752.0</v>
      </c>
      <c r="C141" s="13">
        <v>45920.92225694445</v>
      </c>
      <c r="D141" s="179" t="s">
        <v>152</v>
      </c>
      <c r="E141" s="180" t="s">
        <v>1370</v>
      </c>
      <c r="F141" s="181"/>
      <c r="G141" s="179" t="s">
        <v>267</v>
      </c>
      <c r="H141" s="190"/>
      <c r="I141" s="190"/>
      <c r="J141" s="187" t="s">
        <v>2669</v>
      </c>
      <c r="K141" s="187"/>
      <c r="L141" s="184" t="str">
        <f>IFERROR(__xludf.DUMMYFUNCTION("ifna(IF(and(D141=""Saída"",J141=""Sangria""),if(sum(QUERY(IMPORTRANGE(""https://docs.google.com/spreadsheets/d/1E4szPcLzsqlw4uyBAoJ61L1ChCgpz4wVP8tHfHW1g_c"",""BD M Sangrias!a:i""),""select Col6 where Col7 = 'Depositada' and Col9 = '""&amp;K141&amp;""' and Col6 ="&amp;" ""&amp;M141&amp;"" and Col4 = date '""&amp;YEAR(C141)&amp;""-""&amp;MONTH(C141)&amp;""-""&amp;DAY(C141)&amp;""'""))&gt;0,""Depositada"",if(sum(QUERY(IMPORTRANGE(""https://docs.google.com/spreadsheets/d/1EcLIvUgMoBC5as4ikW0wuQsGH5yVZ6cQ1y16qEfgPnk"",""BD M Sangrias!a:i""),""select Col6 whe"&amp;"re Col7 = 'Caixa Atendimento' and Col9 = '""&amp;K141&amp;""' and Col6 = ""&amp;M141&amp;"" and Col4 = date '""&amp;YEAR(C141)&amp;""-""&amp;MONTH(C141)&amp;""-""&amp;DAY(C141)&amp;""'""))&gt;0,""Caixa Atendimento"",""Caixa Sangria"")),""""),""Caixa Sangria"")"),"")</f>
        <v/>
      </c>
      <c r="M141" s="185">
        <f>IFERROR(__xludf.DUMMYFUNCTION("ifna(VALUE(REGEXEXTRACT(E141,""[0-9.]+[,]+[0-9]+"")))"),4.0)</f>
        <v>4</v>
      </c>
      <c r="N141" s="185"/>
      <c r="O141" s="185"/>
      <c r="P141" s="185"/>
      <c r="Q141" s="185"/>
      <c r="R141" s="185"/>
      <c r="S141" s="185"/>
      <c r="T141" s="185"/>
      <c r="U141" s="185"/>
      <c r="V141" s="185"/>
    </row>
    <row r="142" ht="14.25" customHeight="1">
      <c r="A142" s="178"/>
      <c r="B142" s="12">
        <v>1693765.0</v>
      </c>
      <c r="C142" s="13">
        <v>45920.92314814815</v>
      </c>
      <c r="D142" s="179" t="s">
        <v>81</v>
      </c>
      <c r="E142" s="180" t="s">
        <v>220</v>
      </c>
      <c r="F142" s="188"/>
      <c r="G142" s="179" t="s">
        <v>4071</v>
      </c>
      <c r="H142" s="190"/>
      <c r="I142" s="190"/>
      <c r="J142" s="187" t="s">
        <v>2735</v>
      </c>
      <c r="K142" s="187" t="s">
        <v>2018</v>
      </c>
      <c r="L142" s="184" t="str">
        <f>IFERROR(__xludf.DUMMYFUNCTION("ifna(IF(and(D142=""Saída"",J142=""Sangria""),if(sum(QUERY(IMPORTRANGE(""https://docs.google.com/spreadsheets/d/1E4szPcLzsqlw4uyBAoJ61L1ChCgpz4wVP8tHfHW1g_c"",""BD M Sangrias!a:i""),""select Col6 where Col7 = 'Depositada' and Col9 = '""&amp;K142&amp;""' and Col6 ="&amp;" ""&amp;M142&amp;"" and Col4 = date '""&amp;YEAR(C142)&amp;""-""&amp;MONTH(C142)&amp;""-""&amp;DAY(C142)&amp;""'""))&gt;0,""Depositada"",if(sum(QUERY(IMPORTRANGE(""https://docs.google.com/spreadsheets/d/1EcLIvUgMoBC5as4ikW0wuQsGH5yVZ6cQ1y16qEfgPnk"",""BD M Sangrias!a:i""),""select Col6 whe"&amp;"re Col7 = 'Caixa Atendimento' and Col9 = '""&amp;K142&amp;""' and Col6 = ""&amp;M142&amp;"" and Col4 = date '""&amp;YEAR(C142)&amp;""-""&amp;MONTH(C142)&amp;""-""&amp;DAY(C142)&amp;""'""))&gt;0,""Caixa Atendimento"",""Caixa Sangria"")),""""),""Caixa Sangria"")"),"#REF!")</f>
        <v>#REF!</v>
      </c>
      <c r="M142" s="185">
        <f>IFERROR(__xludf.DUMMYFUNCTION("ifna(VALUE(REGEXEXTRACT(E142,""[0-9.]+[,]+[0-9]+"")))"),1400.0)</f>
        <v>1400</v>
      </c>
      <c r="N142" s="185"/>
      <c r="O142" s="185"/>
      <c r="P142" s="185"/>
      <c r="Q142" s="185"/>
      <c r="R142" s="185"/>
      <c r="S142" s="185"/>
      <c r="T142" s="185"/>
      <c r="U142" s="185"/>
      <c r="V142" s="185"/>
    </row>
    <row r="143" ht="14.25" customHeight="1">
      <c r="A143" s="178"/>
      <c r="B143" s="12">
        <v>1694897.0</v>
      </c>
      <c r="C143" s="13">
        <v>45921.67450231482</v>
      </c>
      <c r="D143" s="179" t="s">
        <v>152</v>
      </c>
      <c r="E143" s="180" t="s">
        <v>335</v>
      </c>
      <c r="F143" s="181"/>
      <c r="G143" s="179" t="s">
        <v>6524</v>
      </c>
      <c r="H143" s="190"/>
      <c r="I143" s="190"/>
      <c r="J143" s="187" t="s">
        <v>2669</v>
      </c>
      <c r="K143" s="187"/>
      <c r="L143" s="184" t="str">
        <f>IFERROR(__xludf.DUMMYFUNCTION("ifna(IF(and(D143=""Saída"",J143=""Sangria""),if(sum(QUERY(IMPORTRANGE(""https://docs.google.com/spreadsheets/d/1E4szPcLzsqlw4uyBAoJ61L1ChCgpz4wVP8tHfHW1g_c"",""BD M Sangrias!a:i""),""select Col6 where Col7 = 'Depositada' and Col9 = '""&amp;K143&amp;""' and Col6 ="&amp;" ""&amp;M143&amp;"" and Col4 = date '""&amp;YEAR(C143)&amp;""-""&amp;MONTH(C143)&amp;""-""&amp;DAY(C143)&amp;""'""))&gt;0,""Depositada"",if(sum(QUERY(IMPORTRANGE(""https://docs.google.com/spreadsheets/d/1EcLIvUgMoBC5as4ikW0wuQsGH5yVZ6cQ1y16qEfgPnk"",""BD M Sangrias!a:i""),""select Col6 whe"&amp;"re Col7 = 'Caixa Atendimento' and Col9 = '""&amp;K143&amp;""' and Col6 = ""&amp;M143&amp;"" and Col4 = date '""&amp;YEAR(C143)&amp;""-""&amp;MONTH(C143)&amp;""-""&amp;DAY(C143)&amp;""'""))&gt;0,""Caixa Atendimento"",""Caixa Sangria"")),""""),""Caixa Sangria"")"),"")</f>
        <v/>
      </c>
      <c r="M143" s="185">
        <f>IFERROR(__xludf.DUMMYFUNCTION("ifna(VALUE(REGEXEXTRACT(E143,""[0-9.]+[,]+[0-9]+"")))"),10.0)</f>
        <v>10</v>
      </c>
      <c r="N143" s="185"/>
      <c r="O143" s="185"/>
      <c r="P143" s="185"/>
      <c r="Q143" s="185"/>
      <c r="R143" s="185"/>
      <c r="S143" s="185"/>
      <c r="T143" s="185"/>
      <c r="U143" s="185"/>
      <c r="V143" s="185"/>
    </row>
    <row r="144" ht="14.25" customHeight="1">
      <c r="A144" s="178"/>
      <c r="B144" s="12">
        <v>1695233.0</v>
      </c>
      <c r="C144" s="13">
        <v>45921.73787037037</v>
      </c>
      <c r="D144" s="179" t="s">
        <v>152</v>
      </c>
      <c r="E144" s="180" t="s">
        <v>5120</v>
      </c>
      <c r="F144" s="181"/>
      <c r="G144" s="179" t="s">
        <v>267</v>
      </c>
      <c r="H144" s="190"/>
      <c r="I144" s="190"/>
      <c r="J144" s="187" t="s">
        <v>2669</v>
      </c>
      <c r="K144" s="187"/>
      <c r="L144" s="184" t="str">
        <f>IFERROR(__xludf.DUMMYFUNCTION("ifna(IF(and(D144=""Saída"",J144=""Sangria""),if(sum(QUERY(IMPORTRANGE(""https://docs.google.com/spreadsheets/d/1E4szPcLzsqlw4uyBAoJ61L1ChCgpz4wVP8tHfHW1g_c"",""BD M Sangrias!a:i""),""select Col6 where Col7 = 'Depositada' and Col9 = '""&amp;K144&amp;""' and Col6 ="&amp;" ""&amp;M144&amp;"" and Col4 = date '""&amp;YEAR(C144)&amp;""-""&amp;MONTH(C144)&amp;""-""&amp;DAY(C144)&amp;""'""))&gt;0,""Depositada"",if(sum(QUERY(IMPORTRANGE(""https://docs.google.com/spreadsheets/d/1EcLIvUgMoBC5as4ikW0wuQsGH5yVZ6cQ1y16qEfgPnk"",""BD M Sangrias!a:i""),""select Col6 whe"&amp;"re Col7 = 'Caixa Atendimento' and Col9 = '""&amp;K144&amp;""' and Col6 = ""&amp;M144&amp;"" and Col4 = date '""&amp;YEAR(C144)&amp;""-""&amp;MONTH(C144)&amp;""-""&amp;DAY(C144)&amp;""'""))&gt;0,""Caixa Atendimento"",""Caixa Sangria"")),""""),""Caixa Sangria"")"),"")</f>
        <v/>
      </c>
      <c r="M144" s="185">
        <f>IFERROR(__xludf.DUMMYFUNCTION("ifna(VALUE(REGEXEXTRACT(E144,""[0-9.]+[,]+[0-9]+"")))"),38.0)</f>
        <v>38</v>
      </c>
      <c r="N144" s="185"/>
      <c r="O144" s="185"/>
      <c r="P144" s="185"/>
      <c r="Q144" s="185"/>
      <c r="R144" s="185"/>
      <c r="S144" s="185"/>
      <c r="T144" s="185"/>
      <c r="U144" s="185"/>
      <c r="V144" s="185"/>
    </row>
    <row r="145" ht="14.25" customHeight="1">
      <c r="A145" s="178"/>
      <c r="B145" s="12">
        <v>1696265.0</v>
      </c>
      <c r="C145" s="13">
        <v>45921.906493055554</v>
      </c>
      <c r="D145" s="179" t="s">
        <v>81</v>
      </c>
      <c r="E145" s="180" t="s">
        <v>6525</v>
      </c>
      <c r="F145" s="181"/>
      <c r="G145" s="179" t="s">
        <v>6526</v>
      </c>
      <c r="H145" s="190"/>
      <c r="I145" s="190"/>
      <c r="J145" s="187" t="s">
        <v>3151</v>
      </c>
      <c r="K145" s="187"/>
      <c r="L145" s="184" t="str">
        <f>IFERROR(__xludf.DUMMYFUNCTION("ifna(IF(and(D145=""Saída"",J145=""Sangria""),if(sum(QUERY(IMPORTRANGE(""https://docs.google.com/spreadsheets/d/1E4szPcLzsqlw4uyBAoJ61L1ChCgpz4wVP8tHfHW1g_c"",""BD M Sangrias!a:i""),""select Col6 where Col7 = 'Depositada' and Col9 = '""&amp;K145&amp;""' and Col6 ="&amp;" ""&amp;M145&amp;"" and Col4 = date '""&amp;YEAR(C145)&amp;""-""&amp;MONTH(C145)&amp;""-""&amp;DAY(C145)&amp;""'""))&gt;0,""Depositada"",if(sum(QUERY(IMPORTRANGE(""https://docs.google.com/spreadsheets/d/1EcLIvUgMoBC5as4ikW0wuQsGH5yVZ6cQ1y16qEfgPnk"",""BD M Sangrias!a:i""),""select Col6 whe"&amp;"re Col7 = 'Caixa Atendimento' and Col9 = '""&amp;K145&amp;""' and Col6 = ""&amp;M145&amp;"" and Col4 = date '""&amp;YEAR(C145)&amp;""-""&amp;MONTH(C145)&amp;""-""&amp;DAY(C145)&amp;""'""))&gt;0,""Caixa Atendimento"",""Caixa Sangria"")),""""),""Caixa Sangria"")"),"")</f>
        <v/>
      </c>
      <c r="M145" s="185">
        <f>IFERROR(__xludf.DUMMYFUNCTION("ifna(VALUE(REGEXEXTRACT(E145,""[0-9.]+[,]+[0-9]+"")))"),39.9)</f>
        <v>39.9</v>
      </c>
      <c r="N145" s="185"/>
      <c r="O145" s="185"/>
      <c r="P145" s="185"/>
      <c r="Q145" s="185"/>
      <c r="R145" s="185"/>
      <c r="S145" s="185"/>
      <c r="T145" s="185"/>
      <c r="U145" s="185"/>
      <c r="V145" s="185"/>
    </row>
    <row r="146" ht="14.25" customHeight="1">
      <c r="A146" s="178"/>
      <c r="B146" s="12">
        <v>1696396.0</v>
      </c>
      <c r="C146" s="13">
        <v>45921.91587962963</v>
      </c>
      <c r="D146" s="179" t="s">
        <v>81</v>
      </c>
      <c r="E146" s="180" t="s">
        <v>451</v>
      </c>
      <c r="F146" s="181"/>
      <c r="G146" s="179" t="s">
        <v>6527</v>
      </c>
      <c r="H146" s="190"/>
      <c r="I146" s="190"/>
      <c r="J146" s="187" t="s">
        <v>1782</v>
      </c>
      <c r="K146" s="187"/>
      <c r="L146" s="184" t="str">
        <f>IFERROR(__xludf.DUMMYFUNCTION("ifna(IF(and(D146=""Saída"",J146=""Sangria""),if(sum(QUERY(IMPORTRANGE(""https://docs.google.com/spreadsheets/d/1E4szPcLzsqlw4uyBAoJ61L1ChCgpz4wVP8tHfHW1g_c"",""BD M Sangrias!a:i""),""select Col6 where Col7 = 'Depositada' and Col9 = '""&amp;K146&amp;""' and Col6 ="&amp;" ""&amp;M146&amp;"" and Col4 = date '""&amp;YEAR(C146)&amp;""-""&amp;MONTH(C146)&amp;""-""&amp;DAY(C146)&amp;""'""))&gt;0,""Depositada"",if(sum(QUERY(IMPORTRANGE(""https://docs.google.com/spreadsheets/d/1EcLIvUgMoBC5as4ikW0wuQsGH5yVZ6cQ1y16qEfgPnk"",""BD M Sangrias!a:i""),""select Col6 whe"&amp;"re Col7 = 'Caixa Atendimento' and Col9 = '""&amp;K146&amp;""' and Col6 = ""&amp;M146&amp;"" and Col4 = date '""&amp;YEAR(C146)&amp;""-""&amp;MONTH(C146)&amp;""-""&amp;DAY(C146)&amp;""'""))&gt;0,""Caixa Atendimento"",""Caixa Sangria"")),""""),""Caixa Sangria"")"),"")</f>
        <v/>
      </c>
      <c r="M146" s="185">
        <f>IFERROR(__xludf.DUMMYFUNCTION("ifna(VALUE(REGEXEXTRACT(E146,""[0-9.]+[,]+[0-9]+"")))"),210.0)</f>
        <v>210</v>
      </c>
      <c r="N146" s="185"/>
      <c r="O146" s="185"/>
      <c r="P146" s="185"/>
      <c r="Q146" s="185"/>
      <c r="R146" s="185"/>
      <c r="S146" s="185"/>
      <c r="T146" s="185"/>
      <c r="U146" s="185"/>
      <c r="V146" s="185"/>
    </row>
    <row r="147" ht="14.25" customHeight="1">
      <c r="A147" s="178"/>
      <c r="B147" s="12">
        <v>1696401.0</v>
      </c>
      <c r="C147" s="13">
        <v>45921.916134259256</v>
      </c>
      <c r="D147" s="179" t="s">
        <v>81</v>
      </c>
      <c r="E147" s="180" t="s">
        <v>6528</v>
      </c>
      <c r="F147" s="181"/>
      <c r="G147" s="179" t="s">
        <v>6529</v>
      </c>
      <c r="H147" s="190"/>
      <c r="I147" s="190"/>
      <c r="J147" s="187" t="s">
        <v>1782</v>
      </c>
      <c r="K147" s="187"/>
      <c r="L147" s="184" t="str">
        <f>IFERROR(__xludf.DUMMYFUNCTION("ifna(IF(and(D147=""Saída"",J147=""Sangria""),if(sum(QUERY(IMPORTRANGE(""https://docs.google.com/spreadsheets/d/1E4szPcLzsqlw4uyBAoJ61L1ChCgpz4wVP8tHfHW1g_c"",""BD M Sangrias!a:i""),""select Col6 where Col7 = 'Depositada' and Col9 = '""&amp;K147&amp;""' and Col6 ="&amp;" ""&amp;M147&amp;"" and Col4 = date '""&amp;YEAR(C147)&amp;""-""&amp;MONTH(C147)&amp;""-""&amp;DAY(C147)&amp;""'""))&gt;0,""Depositada"",if(sum(QUERY(IMPORTRANGE(""https://docs.google.com/spreadsheets/d/1EcLIvUgMoBC5as4ikW0wuQsGH5yVZ6cQ1y16qEfgPnk"",""BD M Sangrias!a:i""),""select Col6 whe"&amp;"re Col7 = 'Caixa Atendimento' and Col9 = '""&amp;K147&amp;""' and Col6 = ""&amp;M147&amp;"" and Col4 = date '""&amp;YEAR(C147)&amp;""-""&amp;MONTH(C147)&amp;""-""&amp;DAY(C147)&amp;""'""))&gt;0,""Caixa Atendimento"",""Caixa Sangria"")),""""),""Caixa Sangria"")"),"")</f>
        <v/>
      </c>
      <c r="M147" s="185">
        <f>IFERROR(__xludf.DUMMYFUNCTION("ifna(VALUE(REGEXEXTRACT(E147,""[0-9.]+[,]+[0-9]+"")))"),189.0)</f>
        <v>189</v>
      </c>
      <c r="N147" s="185"/>
      <c r="O147" s="185"/>
      <c r="P147" s="185"/>
      <c r="Q147" s="185"/>
      <c r="R147" s="185"/>
      <c r="S147" s="185"/>
      <c r="T147" s="185"/>
      <c r="U147" s="185"/>
      <c r="V147" s="185"/>
    </row>
    <row r="148" ht="14.25" customHeight="1">
      <c r="A148" s="178"/>
      <c r="B148" s="12">
        <v>1696501.0</v>
      </c>
      <c r="C148" s="13">
        <v>45921.92365740741</v>
      </c>
      <c r="D148" s="179" t="s">
        <v>81</v>
      </c>
      <c r="E148" s="180" t="s">
        <v>1248</v>
      </c>
      <c r="F148" s="181"/>
      <c r="G148" s="179" t="s">
        <v>4071</v>
      </c>
      <c r="H148" s="190"/>
      <c r="I148" s="190"/>
      <c r="J148" s="187" t="s">
        <v>2735</v>
      </c>
      <c r="K148" s="187" t="s">
        <v>2018</v>
      </c>
      <c r="L148" s="184" t="str">
        <f>IFERROR(__xludf.DUMMYFUNCTION("ifna(IF(and(D148=""Saída"",J148=""Sangria""),if(sum(QUERY(IMPORTRANGE(""https://docs.google.com/spreadsheets/d/1E4szPcLzsqlw4uyBAoJ61L1ChCgpz4wVP8tHfHW1g_c"",""BD M Sangrias!a:i""),""select Col6 where Col7 = 'Depositada' and Col9 = '""&amp;K148&amp;""' and Col6 ="&amp;" ""&amp;M148&amp;"" and Col4 = date '""&amp;YEAR(C148)&amp;""-""&amp;MONTH(C148)&amp;""-""&amp;DAY(C148)&amp;""'""))&gt;0,""Depositada"",if(sum(QUERY(IMPORTRANGE(""https://docs.google.com/spreadsheets/d/1EcLIvUgMoBC5as4ikW0wuQsGH5yVZ6cQ1y16qEfgPnk"",""BD M Sangrias!a:i""),""select Col6 whe"&amp;"re Col7 = 'Caixa Atendimento' and Col9 = '""&amp;K148&amp;""' and Col6 = ""&amp;M148&amp;"" and Col4 = date '""&amp;YEAR(C148)&amp;""-""&amp;MONTH(C148)&amp;""-""&amp;DAY(C148)&amp;""'""))&gt;0,""Caixa Atendimento"",""Caixa Sangria"")),""""),""Caixa Sangria"")"),"#REF!")</f>
        <v>#REF!</v>
      </c>
      <c r="M148" s="185">
        <f>IFERROR(__xludf.DUMMYFUNCTION("ifna(VALUE(REGEXEXTRACT(E148,""[0-9.]+[,]+[0-9]+"")))"),850.0)</f>
        <v>850</v>
      </c>
      <c r="N148" s="185"/>
      <c r="O148" s="185"/>
      <c r="P148" s="185"/>
      <c r="Q148" s="185"/>
      <c r="R148" s="185"/>
      <c r="S148" s="185"/>
      <c r="T148" s="185"/>
      <c r="U148" s="185"/>
      <c r="V148" s="185"/>
    </row>
    <row r="149" ht="14.25" customHeight="1">
      <c r="A149" s="178"/>
      <c r="B149" s="12">
        <v>1696510.0</v>
      </c>
      <c r="C149" s="13">
        <v>45921.92396990741</v>
      </c>
      <c r="D149" s="179" t="s">
        <v>81</v>
      </c>
      <c r="E149" s="180" t="s">
        <v>6530</v>
      </c>
      <c r="F149" s="181"/>
      <c r="G149" s="179" t="s">
        <v>388</v>
      </c>
      <c r="H149" s="190"/>
      <c r="I149" s="190"/>
      <c r="J149" s="187"/>
      <c r="K149" s="187"/>
      <c r="L149" s="184" t="str">
        <f>IFERROR(__xludf.DUMMYFUNCTION("ifna(IF(and(D149=""Saída"",J149=""Sangria""),if(sum(QUERY(IMPORTRANGE(""https://docs.google.com/spreadsheets/d/1E4szPcLzsqlw4uyBAoJ61L1ChCgpz4wVP8tHfHW1g_c"",""BD M Sangrias!a:i""),""select Col6 where Col7 = 'Depositada' and Col9 = '""&amp;K149&amp;""' and Col6 ="&amp;" ""&amp;M149&amp;"" and Col4 = date '""&amp;YEAR(C149)&amp;""-""&amp;MONTH(C149)&amp;""-""&amp;DAY(C149)&amp;""'""))&gt;0,""Depositada"",if(sum(QUERY(IMPORTRANGE(""https://docs.google.com/spreadsheets/d/1EcLIvUgMoBC5as4ikW0wuQsGH5yVZ6cQ1y16qEfgPnk"",""BD M Sangrias!a:i""),""select Col6 whe"&amp;"re Col7 = 'Caixa Atendimento' and Col9 = '""&amp;K149&amp;""' and Col6 = ""&amp;M149&amp;"" and Col4 = date '""&amp;YEAR(C149)&amp;""-""&amp;MONTH(C149)&amp;""-""&amp;DAY(C149)&amp;""'""))&gt;0,""Caixa Atendimento"",""Caixa Sangria"")),""""),""Caixa Sangria"")"),"")</f>
        <v/>
      </c>
      <c r="M149" s="185">
        <f>IFERROR(__xludf.DUMMYFUNCTION("ifna(VALUE(REGEXEXTRACT(E149,""[0-9.]+[,]+[0-9]+"")))"),1.44)</f>
        <v>1.44</v>
      </c>
      <c r="N149" s="185"/>
      <c r="O149" s="185"/>
      <c r="P149" s="185"/>
      <c r="Q149" s="185"/>
      <c r="R149" s="185"/>
      <c r="S149" s="185"/>
      <c r="T149" s="185"/>
      <c r="U149" s="185"/>
      <c r="V149" s="185"/>
    </row>
    <row r="150" ht="14.25" customHeight="1">
      <c r="A150" s="178"/>
      <c r="B150" s="12">
        <v>1696513.0</v>
      </c>
      <c r="C150" s="13">
        <v>45921.92412037037</v>
      </c>
      <c r="D150" s="179" t="s">
        <v>81</v>
      </c>
      <c r="E150" s="180" t="s">
        <v>6531</v>
      </c>
      <c r="F150" s="181"/>
      <c r="G150" s="179" t="s">
        <v>5861</v>
      </c>
      <c r="H150" s="190"/>
      <c r="I150" s="190"/>
      <c r="J150" s="187" t="s">
        <v>2019</v>
      </c>
      <c r="K150" s="187" t="s">
        <v>2117</v>
      </c>
      <c r="L150" s="184" t="str">
        <f>IFERROR(__xludf.DUMMYFUNCTION("ifna(IF(and(D150=""Saída"",J150=""Sangria""),if(sum(QUERY(IMPORTRANGE(""https://docs.google.com/spreadsheets/d/1E4szPcLzsqlw4uyBAoJ61L1ChCgpz4wVP8tHfHW1g_c"",""BD M Sangrias!a:i""),""select Col6 where Col7 = 'Depositada' and Col9 = '""&amp;K150&amp;""' and Col6 ="&amp;" ""&amp;M150&amp;"" and Col4 = date '""&amp;YEAR(C150)&amp;""-""&amp;MONTH(C150)&amp;""-""&amp;DAY(C150)&amp;""'""))&gt;0,""Depositada"",if(sum(QUERY(IMPORTRANGE(""https://docs.google.com/spreadsheets/d/1EcLIvUgMoBC5as4ikW0wuQsGH5yVZ6cQ1y16qEfgPnk"",""BD M Sangrias!a:i""),""select Col6 whe"&amp;"re Col7 = 'Caixa Atendimento' and Col9 = '""&amp;K150&amp;""' and Col6 = ""&amp;M150&amp;"" and Col4 = date '""&amp;YEAR(C150)&amp;""-""&amp;MONTH(C150)&amp;""-""&amp;DAY(C150)&amp;""'""))&gt;0,""Caixa Atendimento"",""Caixa Sangria"")),""""),""Caixa Sangria"")"),"")</f>
        <v/>
      </c>
      <c r="M150" s="185">
        <f>IFERROR(__xludf.DUMMYFUNCTION("ifna(VALUE(REGEXEXTRACT(E150,""[0-9.]+[,]+[0-9]+"")))"),11.45)</f>
        <v>11.45</v>
      </c>
      <c r="N150" s="185"/>
      <c r="O150" s="185"/>
      <c r="P150" s="185"/>
      <c r="Q150" s="185"/>
      <c r="R150" s="185"/>
      <c r="S150" s="185"/>
      <c r="T150" s="185"/>
      <c r="U150" s="185"/>
      <c r="V150" s="185"/>
    </row>
    <row r="151" ht="14.25" customHeight="1">
      <c r="A151" s="178"/>
      <c r="B151" s="12">
        <v>1697793.0</v>
      </c>
      <c r="C151" s="13">
        <v>45922.775983796295</v>
      </c>
      <c r="D151" s="179" t="s">
        <v>81</v>
      </c>
      <c r="E151" s="180" t="s">
        <v>5882</v>
      </c>
      <c r="F151" s="181"/>
      <c r="G151" s="179" t="s">
        <v>6532</v>
      </c>
      <c r="H151" s="190"/>
      <c r="I151" s="190"/>
      <c r="J151" s="187" t="s">
        <v>3151</v>
      </c>
      <c r="K151" s="187"/>
      <c r="L151" s="184" t="str">
        <f>IFERROR(__xludf.DUMMYFUNCTION("ifna(IF(and(D151=""Saída"",J151=""Sangria""),if(sum(QUERY(IMPORTRANGE(""https://docs.google.com/spreadsheets/d/1E4szPcLzsqlw4uyBAoJ61L1ChCgpz4wVP8tHfHW1g_c"",""BD M Sangrias!a:i""),""select Col6 where Col7 = 'Depositada' and Col9 = '""&amp;K151&amp;""' and Col6 ="&amp;" ""&amp;M151&amp;"" and Col4 = date '""&amp;YEAR(#REF!)&amp;""-""&amp;MONTH(#REF!)&amp;""-""&amp;DAY(#REF!)&amp;""'""))&gt;0,""Depositada"",if(sum(QUERY(IMPORTRANGE(""https://docs.google.com/spreadsheets/d/1EcLIvUgMoBC5as4ikW0wuQsGH5yVZ6cQ1y16qEfgPnk"",""BD M Sangrias!a:i""),""select Col6 "&amp;"where Col7 = 'Caixa Atendimento' and Col9 = '""&amp;K151&amp;""' and Col6 = ""&amp;M151&amp;"" and Col4 = date '""&amp;YEAR(#REF!)&amp;""-""&amp;MONTH(#REF!)&amp;""-""&amp;DAY(#REF!)&amp;""'""))&gt;0,""Caixa Atendimento"",""Caixa Sangria"")),""""),""Caixa Sangria"")"),"")</f>
        <v/>
      </c>
      <c r="M151" s="185">
        <f>IFERROR(__xludf.DUMMYFUNCTION("ifna(VALUE(REGEXEXTRACT(E151,""[0-9.]+[,]+[0-9]+"")))"),5.49)</f>
        <v>5.49</v>
      </c>
      <c r="N151" s="185"/>
      <c r="O151" s="185"/>
      <c r="P151" s="185"/>
      <c r="Q151" s="185"/>
      <c r="R151" s="185"/>
      <c r="S151" s="185"/>
      <c r="T151" s="185"/>
      <c r="U151" s="185"/>
      <c r="V151" s="185"/>
    </row>
    <row r="152" ht="14.25" customHeight="1">
      <c r="A152" s="178"/>
      <c r="B152" s="12">
        <v>1697977.0</v>
      </c>
      <c r="C152" s="13">
        <v>45922.865752314814</v>
      </c>
      <c r="D152" s="179" t="s">
        <v>81</v>
      </c>
      <c r="E152" s="180" t="s">
        <v>859</v>
      </c>
      <c r="F152" s="188"/>
      <c r="G152" s="179" t="s">
        <v>5063</v>
      </c>
      <c r="H152" s="190"/>
      <c r="I152" s="190"/>
      <c r="J152" s="187" t="s">
        <v>2019</v>
      </c>
      <c r="K152" s="187" t="s">
        <v>2117</v>
      </c>
      <c r="L152" s="184" t="str">
        <f>IFERROR(__xludf.DUMMYFUNCTION("ifna(IF(and(D152=""Saída"",J152=""Sangria""),if(sum(QUERY(IMPORTRANGE(""https://docs.google.com/spreadsheets/d/1E4szPcLzsqlw4uyBAoJ61L1ChCgpz4wVP8tHfHW1g_c"",""BD M Sangrias!a:i""),""select Col6 where Col7 = 'Depositada' and Col9 = '""&amp;K152&amp;""' and Col6 ="&amp;" ""&amp;M152&amp;"" and Col4 = date '""&amp;YEAR(C151)&amp;""-""&amp;MONTH(C151)&amp;""-""&amp;DAY(C151)&amp;""'""))&gt;0,""Depositada"",if(sum(QUERY(IMPORTRANGE(""https://docs.google.com/spreadsheets/d/1EcLIvUgMoBC5as4ikW0wuQsGH5yVZ6cQ1y16qEfgPnk"",""BD M Sangrias!a:i""),""select Col6 whe"&amp;"re Col7 = 'Caixa Atendimento' and Col9 = '""&amp;K152&amp;""' and Col6 = ""&amp;M152&amp;"" and Col4 = date '""&amp;YEAR(C151)&amp;""-""&amp;MONTH(C151)&amp;""-""&amp;DAY(C151)&amp;""'""))&gt;0,""Caixa Atendimento"",""Caixa Sangria"")),""""),""Caixa Sangria"")"),"")</f>
        <v/>
      </c>
      <c r="M152" s="185">
        <f>IFERROR(__xludf.DUMMYFUNCTION("ifna(VALUE(REGEXEXTRACT(E152,""[0-9.]+[,]+[0-9]+"")))"),11.32)</f>
        <v>11.32</v>
      </c>
      <c r="N152" s="185"/>
      <c r="O152" s="185"/>
      <c r="P152" s="185"/>
      <c r="Q152" s="185"/>
      <c r="R152" s="185"/>
      <c r="S152" s="185"/>
      <c r="T152" s="185"/>
      <c r="U152" s="185"/>
      <c r="V152" s="185"/>
    </row>
    <row r="153" ht="14.25" customHeight="1">
      <c r="A153" s="178"/>
      <c r="B153" s="12">
        <v>1697980.0</v>
      </c>
      <c r="C153" s="13">
        <v>45922.86608796296</v>
      </c>
      <c r="D153" s="179" t="s">
        <v>81</v>
      </c>
      <c r="E153" s="180" t="s">
        <v>6533</v>
      </c>
      <c r="F153" s="181"/>
      <c r="G153" s="179" t="s">
        <v>568</v>
      </c>
      <c r="H153" s="190"/>
      <c r="I153" s="190"/>
      <c r="J153" s="187" t="s">
        <v>2019</v>
      </c>
      <c r="K153" s="187" t="s">
        <v>2078</v>
      </c>
      <c r="L153" s="184" t="str">
        <f>IFERROR(__xludf.DUMMYFUNCTION("ifna(IF(and(D153=""Saída"",J153=""Sangria""),if(sum(QUERY(IMPORTRANGE(""https://docs.google.com/spreadsheets/d/1E4szPcLzsqlw4uyBAoJ61L1ChCgpz4wVP8tHfHW1g_c"",""BD M Sangrias!a:i""),""select Col6 where Col7 = 'Depositada' and Col9 = '""&amp;K153&amp;""' and Col6 ="&amp;" ""&amp;M153&amp;"" and Col4 = date '""&amp;YEAR(#REF!)&amp;""-""&amp;MONTH(#REF!)&amp;""-""&amp;DAY(#REF!)&amp;""'""))&gt;0,""Depositada"",if(sum(QUERY(IMPORTRANGE(""https://docs.google.com/spreadsheets/d/1EcLIvUgMoBC5as4ikW0wuQsGH5yVZ6cQ1y16qEfgPnk"",""BD M Sangrias!a:i""),""select Col6 "&amp;"where Col7 = 'Caixa Atendimento' and Col9 = '""&amp;K153&amp;""' and Col6 = ""&amp;M153&amp;"" and Col4 = date '""&amp;YEAR(#REF!)&amp;""-""&amp;MONTH(#REF!)&amp;""-""&amp;DAY(#REF!)&amp;""'""))&gt;0,""Caixa Atendimento"",""Caixa Sangria"")),""""),""Caixa Sangria"")"),"")</f>
        <v/>
      </c>
      <c r="M153" s="185">
        <f>IFERROR(__xludf.DUMMYFUNCTION("ifna(VALUE(REGEXEXTRACT(E153,""[0-9.]+[,]+[0-9]+"")))"),17.61)</f>
        <v>17.61</v>
      </c>
      <c r="N153" s="185"/>
      <c r="O153" s="185"/>
      <c r="P153" s="185"/>
      <c r="Q153" s="185"/>
      <c r="R153" s="185"/>
      <c r="S153" s="185"/>
      <c r="T153" s="185"/>
      <c r="U153" s="185"/>
      <c r="V153" s="185"/>
    </row>
    <row r="154" ht="14.25" customHeight="1">
      <c r="A154" s="178"/>
      <c r="B154" s="12">
        <v>1699336.0</v>
      </c>
      <c r="C154" s="13">
        <v>45923.844375</v>
      </c>
      <c r="D154" s="179" t="s">
        <v>152</v>
      </c>
      <c r="E154" s="180" t="s">
        <v>485</v>
      </c>
      <c r="F154" s="181"/>
      <c r="G154" s="179" t="s">
        <v>6535</v>
      </c>
      <c r="H154" s="190"/>
      <c r="I154" s="190"/>
      <c r="J154" s="187" t="s">
        <v>3151</v>
      </c>
      <c r="K154" s="187"/>
      <c r="L154" s="184" t="str">
        <f>IFERROR(__xludf.DUMMYFUNCTION("ifna(IF(and(D154=""Saída"",J154=""Sangria""),if(sum(QUERY(IMPORTRANGE(""https://docs.google.com/spreadsheets/d/1E4szPcLzsqlw4uyBAoJ61L1ChCgpz4wVP8tHfHW1g_c"",""BD M Sangrias!a:i""),""select Col6 where Col7 = 'Depositada' and Col9 = '""&amp;K154&amp;""' and Col6 ="&amp;" ""&amp;M154&amp;"" and Col4 = date '""&amp;YEAR(C153)&amp;""-""&amp;MONTH(C153)&amp;""-""&amp;DAY(C153)&amp;""'""))&gt;0,""Depositada"",if(sum(QUERY(IMPORTRANGE(""https://docs.google.com/spreadsheets/d/1EcLIvUgMoBC5as4ikW0wuQsGH5yVZ6cQ1y16qEfgPnk"",""BD M Sangrias!a:i""),""select Col6 whe"&amp;"re Col7 = 'Caixa Atendimento' and Col9 = '""&amp;K154&amp;""' and Col6 = ""&amp;M154&amp;"" and Col4 = date '""&amp;YEAR(C153)&amp;""-""&amp;MONTH(C153)&amp;""-""&amp;DAY(C153)&amp;""'""))&gt;0,""Caixa Atendimento"",""Caixa Sangria"")),""""),""Caixa Sangria"")"),"")</f>
        <v/>
      </c>
      <c r="M154" s="185">
        <f>IFERROR(__xludf.DUMMYFUNCTION("ifna(VALUE(REGEXEXTRACT(E154,""[0-9.]+[,]+[0-9]+"")))"),60.0)</f>
        <v>60</v>
      </c>
      <c r="N154" s="185"/>
      <c r="O154" s="185"/>
      <c r="P154" s="185"/>
      <c r="Q154" s="185"/>
      <c r="R154" s="185"/>
      <c r="S154" s="185"/>
      <c r="T154" s="185"/>
      <c r="U154" s="185"/>
      <c r="V154" s="185"/>
    </row>
    <row r="155" ht="14.25" customHeight="1">
      <c r="A155" s="178"/>
      <c r="B155" s="12">
        <v>1699345.0</v>
      </c>
      <c r="C155" s="13">
        <v>45923.8503125</v>
      </c>
      <c r="D155" s="179" t="s">
        <v>152</v>
      </c>
      <c r="E155" s="180" t="s">
        <v>6536</v>
      </c>
      <c r="F155" s="181"/>
      <c r="G155" s="179" t="s">
        <v>267</v>
      </c>
      <c r="H155" s="190"/>
      <c r="I155" s="190"/>
      <c r="J155" s="187" t="s">
        <v>2669</v>
      </c>
      <c r="K155" s="187"/>
      <c r="L155" s="184" t="str">
        <f>IFERROR(__xludf.DUMMYFUNCTION("ifna(IF(and(D155=""Saída"",J155=""Sangria""),if(sum(QUERY(IMPORTRANGE(""https://docs.google.com/spreadsheets/d/1E4szPcLzsqlw4uyBAoJ61L1ChCgpz4wVP8tHfHW1g_c"",""BD M Sangrias!a:i""),""select Col6 where Col7 = 'Depositada' and Col9 = '""&amp;K155&amp;""' and Col6 ="&amp;" ""&amp;M155&amp;"" and Col4 = date '""&amp;YEAR(C155)&amp;""-""&amp;MONTH(C155)&amp;""-""&amp;DAY(C155)&amp;""'""))&gt;0,""Depositada"",if(sum(QUERY(IMPORTRANGE(""https://docs.google.com/spreadsheets/d/1EcLIvUgMoBC5as4ikW0wuQsGH5yVZ6cQ1y16qEfgPnk"",""BD M Sangrias!a:i""),""select Col6 whe"&amp;"re Col7 = 'Caixa Atendimento' and Col9 = '""&amp;K155&amp;""' and Col6 = ""&amp;M155&amp;"" and Col4 = date '""&amp;YEAR(C155)&amp;""-""&amp;MONTH(C155)&amp;""-""&amp;DAY(C155)&amp;""'""))&gt;0,""Caixa Atendimento"",""Caixa Sangria"")),""""),""Caixa Sangria"")"),"")</f>
        <v/>
      </c>
      <c r="M155" s="185">
        <f>IFERROR(__xludf.DUMMYFUNCTION("ifna(VALUE(REGEXEXTRACT(E155,""[0-9.]+[,]+[0-9]+"")))"),1.25)</f>
        <v>1.25</v>
      </c>
      <c r="N155" s="185"/>
      <c r="O155" s="185"/>
      <c r="P155" s="185"/>
      <c r="Q155" s="185"/>
      <c r="R155" s="185"/>
      <c r="S155" s="185"/>
      <c r="T155" s="185"/>
      <c r="U155" s="185"/>
      <c r="V155" s="185"/>
    </row>
    <row r="156" ht="14.25" customHeight="1">
      <c r="A156" s="178"/>
      <c r="B156" s="12">
        <v>1699770.0</v>
      </c>
      <c r="C156" s="13">
        <v>45923.943090277775</v>
      </c>
      <c r="D156" s="179" t="s">
        <v>81</v>
      </c>
      <c r="E156" s="180" t="s">
        <v>446</v>
      </c>
      <c r="F156" s="188"/>
      <c r="G156" s="179" t="s">
        <v>4071</v>
      </c>
      <c r="H156" s="190"/>
      <c r="I156" s="190"/>
      <c r="J156" s="187" t="s">
        <v>2735</v>
      </c>
      <c r="K156" s="187" t="s">
        <v>2018</v>
      </c>
      <c r="L156" s="184" t="str">
        <f>IFERROR(__xludf.DUMMYFUNCTION("ifna(IF(and(D156=""Saída"",J156=""Sangria""),if(sum(QUERY(IMPORTRANGE(""https://docs.google.com/spreadsheets/d/1E4szPcLzsqlw4uyBAoJ61L1ChCgpz4wVP8tHfHW1g_c"",""BD M Sangrias!a:i""),""select Col6 where Col7 = 'Depositada' and Col9 = '""&amp;K156&amp;""' and Col6 ="&amp;" ""&amp;M156&amp;"" and Col4 = date '""&amp;YEAR(C156)&amp;""-""&amp;MONTH(C156)&amp;""-""&amp;DAY(C156)&amp;""'""))&gt;0,""Depositada"",if(sum(QUERY(IMPORTRANGE(""https://docs.google.com/spreadsheets/d/1EcLIvUgMoBC5as4ikW0wuQsGH5yVZ6cQ1y16qEfgPnk"",""BD M Sangrias!a:i""),""select Col6 whe"&amp;"re Col7 = 'Caixa Atendimento' and Col9 = '""&amp;K156&amp;""' and Col6 = ""&amp;M156&amp;"" and Col4 = date '""&amp;YEAR(C156)&amp;""-""&amp;MONTH(C156)&amp;""-""&amp;DAY(C156)&amp;""'""))&gt;0,""Caixa Atendimento"",""Caixa Sangria"")),""""),""Caixa Sangria"")"),"#REF!")</f>
        <v>#REF!</v>
      </c>
      <c r="M156" s="185">
        <f>IFERROR(__xludf.DUMMYFUNCTION("ifna(VALUE(REGEXEXTRACT(E156,""[0-9.]+[,]+[0-9]+"")))"),700.0)</f>
        <v>700</v>
      </c>
      <c r="N156" s="185"/>
      <c r="O156" s="185"/>
      <c r="P156" s="185"/>
      <c r="Q156" s="185"/>
      <c r="R156" s="185"/>
      <c r="S156" s="185"/>
      <c r="T156" s="185"/>
      <c r="U156" s="185"/>
      <c r="V156" s="185"/>
    </row>
    <row r="157" ht="14.25" customHeight="1">
      <c r="A157" s="178"/>
      <c r="B157" s="12">
        <v>1700177.0</v>
      </c>
      <c r="C157" s="13">
        <v>45924.63497685185</v>
      </c>
      <c r="D157" s="179" t="s">
        <v>152</v>
      </c>
      <c r="E157" s="180" t="s">
        <v>6538</v>
      </c>
      <c r="F157" s="181"/>
      <c r="G157" s="179" t="s">
        <v>267</v>
      </c>
      <c r="H157" s="190"/>
      <c r="I157" s="190"/>
      <c r="J157" s="187" t="s">
        <v>2669</v>
      </c>
      <c r="K157" s="187"/>
      <c r="L157" s="184" t="str">
        <f>IFERROR(__xludf.DUMMYFUNCTION("ifna(IF(and(D157=""Saída"",J157=""Sangria""),if(sum(QUERY(IMPORTRANGE(""https://docs.google.com/spreadsheets/d/1E4szPcLzsqlw4uyBAoJ61L1ChCgpz4wVP8tHfHW1g_c"",""BD M Sangrias!a:i""),""select Col6 where Col7 = 'Depositada' and Col9 = '""&amp;K157&amp;""' and Col6 ="&amp;" ""&amp;M157&amp;"" and Col4 = date '""&amp;YEAR(C157)&amp;""-""&amp;MONTH(C157)&amp;""-""&amp;DAY(C157)&amp;""'""))&gt;0,""Depositada"",if(sum(QUERY(IMPORTRANGE(""https://docs.google.com/spreadsheets/d/1EcLIvUgMoBC5as4ikW0wuQsGH5yVZ6cQ1y16qEfgPnk"",""BD M Sangrias!a:i""),""select Col6 whe"&amp;"re Col7 = 'Caixa Atendimento' and Col9 = '""&amp;K157&amp;""' and Col6 = ""&amp;M157&amp;"" and Col4 = date '""&amp;YEAR(C157)&amp;""-""&amp;MONTH(C157)&amp;""-""&amp;DAY(C157)&amp;""'""))&gt;0,""Caixa Atendimento"",""Caixa Sangria"")),""""),""Caixa Sangria"")"),"")</f>
        <v/>
      </c>
      <c r="M157" s="185">
        <f>IFERROR(__xludf.DUMMYFUNCTION("ifna(VALUE(REGEXEXTRACT(E157,""[0-9.]+[,]+[0-9]+"")))"),24.5)</f>
        <v>24.5</v>
      </c>
      <c r="N157" s="185"/>
      <c r="O157" s="185"/>
      <c r="P157" s="185"/>
      <c r="Q157" s="185"/>
      <c r="R157" s="185"/>
      <c r="S157" s="185"/>
      <c r="T157" s="185"/>
      <c r="U157" s="185"/>
      <c r="V157" s="185"/>
    </row>
    <row r="158" ht="14.25" customHeight="1">
      <c r="A158" s="178"/>
      <c r="B158" s="12">
        <v>1700294.0</v>
      </c>
      <c r="C158" s="13">
        <v>45924.675416666665</v>
      </c>
      <c r="D158" s="179" t="s">
        <v>81</v>
      </c>
      <c r="E158" s="180" t="s">
        <v>1022</v>
      </c>
      <c r="F158" s="181"/>
      <c r="G158" s="179" t="s">
        <v>5899</v>
      </c>
      <c r="H158" s="190"/>
      <c r="I158" s="190"/>
      <c r="J158" s="187" t="s">
        <v>2436</v>
      </c>
      <c r="K158" s="187"/>
      <c r="L158" s="184" t="str">
        <f>IFERROR(__xludf.DUMMYFUNCTION("ifna(IF(and(D158=""Saída"",J158=""Sangria""),if(sum(QUERY(IMPORTRANGE(""https://docs.google.com/spreadsheets/d/1E4szPcLzsqlw4uyBAoJ61L1ChCgpz4wVP8tHfHW1g_c"",""BD M Sangrias!a:i""),""select Col6 where Col7 = 'Depositada' and Col9 = '""&amp;K158&amp;""' and Col6 ="&amp;" ""&amp;M158&amp;"" and Col4 = date '""&amp;YEAR(C158)&amp;""-""&amp;MONTH(C158)&amp;""-""&amp;DAY(C158)&amp;""'""))&gt;0,""Depositada"",if(sum(QUERY(IMPORTRANGE(""https://docs.google.com/spreadsheets/d/1EcLIvUgMoBC5as4ikW0wuQsGH5yVZ6cQ1y16qEfgPnk"",""BD M Sangrias!a:i""),""select Col6 whe"&amp;"re Col7 = 'Caixa Atendimento' and Col9 = '""&amp;K158&amp;""' and Col6 = ""&amp;M158&amp;"" and Col4 = date '""&amp;YEAR(C158)&amp;""-""&amp;MONTH(C158)&amp;""-""&amp;DAY(C158)&amp;""'""))&gt;0,""Caixa Atendimento"",""Caixa Sangria"")),""""),""Caixa Sangria"")"),"")</f>
        <v/>
      </c>
      <c r="M158" s="185">
        <f>IFERROR(__xludf.DUMMYFUNCTION("ifna(VALUE(REGEXEXTRACT(E158,""[0-9.]+[,]+[0-9]+"")))"),12.08)</f>
        <v>12.08</v>
      </c>
      <c r="N158" s="185"/>
      <c r="O158" s="185"/>
      <c r="P158" s="185"/>
      <c r="Q158" s="185"/>
      <c r="R158" s="185"/>
      <c r="S158" s="185"/>
      <c r="T158" s="185"/>
      <c r="U158" s="185"/>
      <c r="V158" s="185"/>
    </row>
    <row r="159" ht="14.25" customHeight="1">
      <c r="A159" s="178"/>
      <c r="B159" s="12">
        <v>1700307.0</v>
      </c>
      <c r="C159" s="13">
        <v>45924.678981481484</v>
      </c>
      <c r="D159" s="179" t="s">
        <v>81</v>
      </c>
      <c r="E159" s="180" t="s">
        <v>517</v>
      </c>
      <c r="F159" s="181"/>
      <c r="G159" s="179" t="s">
        <v>6540</v>
      </c>
      <c r="H159" s="190"/>
      <c r="I159" s="190"/>
      <c r="J159" s="187" t="s">
        <v>3151</v>
      </c>
      <c r="K159" s="187"/>
      <c r="L159" s="184" t="str">
        <f>IFERROR(__xludf.DUMMYFUNCTION("ifna(IF(and(D159=""Saída"",J159=""Sangria""),if(sum(QUERY(IMPORTRANGE(""https://docs.google.com/spreadsheets/d/1E4szPcLzsqlw4uyBAoJ61L1ChCgpz4wVP8tHfHW1g_c"",""BD M Sangrias!a:i""),""select Col6 where Col7 = 'Depositada' and Col9 = '""&amp;K159&amp;""' and Col6 ="&amp;" ""&amp;M159&amp;"" and Col4 = date '""&amp;YEAR(C159)&amp;""-""&amp;MONTH(C159)&amp;""-""&amp;DAY(C159)&amp;""'""))&gt;0,""Depositada"",if(sum(QUERY(IMPORTRANGE(""https://docs.google.com/spreadsheets/d/1EcLIvUgMoBC5as4ikW0wuQsGH5yVZ6cQ1y16qEfgPnk"",""BD M Sangrias!a:i""),""select Col6 whe"&amp;"re Col7 = 'Caixa Atendimento' and Col9 = '""&amp;K159&amp;""' and Col6 = ""&amp;M159&amp;"" and Col4 = date '""&amp;YEAR(C159)&amp;""-""&amp;MONTH(C159)&amp;""-""&amp;DAY(C159)&amp;""'""))&gt;0,""Caixa Atendimento"",""Caixa Sangria"")),""""),""Caixa Sangria"")"),"")</f>
        <v/>
      </c>
      <c r="M159" s="185">
        <f>IFERROR(__xludf.DUMMYFUNCTION("ifna(VALUE(REGEXEXTRACT(E159,""[0-9.]+[,]+[0-9]+"")))"),40.0)</f>
        <v>40</v>
      </c>
      <c r="N159" s="185"/>
      <c r="O159" s="185"/>
      <c r="P159" s="185"/>
      <c r="Q159" s="185"/>
      <c r="R159" s="185"/>
      <c r="S159" s="185"/>
      <c r="T159" s="185"/>
      <c r="U159" s="185"/>
      <c r="V159" s="185"/>
    </row>
    <row r="160" ht="14.25" customHeight="1">
      <c r="A160" s="178"/>
      <c r="B160" s="12">
        <v>1700469.0</v>
      </c>
      <c r="C160" s="13">
        <v>45924.71996527778</v>
      </c>
      <c r="D160" s="179" t="s">
        <v>81</v>
      </c>
      <c r="E160" s="180" t="s">
        <v>6541</v>
      </c>
      <c r="F160" s="181"/>
      <c r="G160" s="179" t="s">
        <v>6542</v>
      </c>
      <c r="H160" s="190"/>
      <c r="I160" s="190"/>
      <c r="J160" s="187" t="s">
        <v>3151</v>
      </c>
      <c r="K160" s="187"/>
      <c r="L160" s="184" t="str">
        <f>IFERROR(__xludf.DUMMYFUNCTION("ifna(IF(and(D160=""Saída"",J160=""Sangria""),if(sum(QUERY(IMPORTRANGE(""https://docs.google.com/spreadsheets/d/1E4szPcLzsqlw4uyBAoJ61L1ChCgpz4wVP8tHfHW1g_c"",""BD M Sangrias!a:i""),""select Col6 where Col7 = 'Depositada' and Col9 = '""&amp;K160&amp;""' and Col6 ="&amp;" ""&amp;M160&amp;"" and Col4 = date '""&amp;YEAR(C160)&amp;""-""&amp;MONTH(C160)&amp;""-""&amp;DAY(C160)&amp;""'""))&gt;0,""Depositada"",if(sum(QUERY(IMPORTRANGE(""https://docs.google.com/spreadsheets/d/1EcLIvUgMoBC5as4ikW0wuQsGH5yVZ6cQ1y16qEfgPnk"",""BD M Sangrias!a:i""),""select Col6 whe"&amp;"re Col7 = 'Caixa Atendimento' and Col9 = '""&amp;K160&amp;""' and Col6 = ""&amp;M160&amp;"" and Col4 = date '""&amp;YEAR(C160)&amp;""-""&amp;MONTH(C160)&amp;""-""&amp;DAY(C160)&amp;""'""))&gt;0,""Caixa Atendimento"",""Caixa Sangria"")),""""),""Caixa Sangria"")"),"")</f>
        <v/>
      </c>
      <c r="M160" s="185">
        <f>IFERROR(__xludf.DUMMYFUNCTION("ifna(VALUE(REGEXEXTRACT(E160,""[0-9.]+[,]+[0-9]+"")))"),176.59)</f>
        <v>176.59</v>
      </c>
      <c r="N160" s="185"/>
      <c r="O160" s="185"/>
      <c r="P160" s="185"/>
      <c r="Q160" s="185"/>
      <c r="R160" s="185"/>
      <c r="S160" s="185"/>
      <c r="T160" s="185"/>
      <c r="U160" s="185"/>
      <c r="V160" s="185"/>
    </row>
    <row r="161" ht="14.25" customHeight="1">
      <c r="A161" s="178"/>
      <c r="B161" s="12">
        <v>1700494.0</v>
      </c>
      <c r="C161" s="13">
        <v>45924.72524305555</v>
      </c>
      <c r="D161" s="179" t="s">
        <v>81</v>
      </c>
      <c r="E161" s="180" t="s">
        <v>943</v>
      </c>
      <c r="F161" s="181"/>
      <c r="G161" s="179" t="s">
        <v>4071</v>
      </c>
      <c r="H161" s="190"/>
      <c r="I161" s="190"/>
      <c r="J161" s="187" t="s">
        <v>2735</v>
      </c>
      <c r="K161" s="187" t="s">
        <v>2018</v>
      </c>
      <c r="L161" s="184" t="str">
        <f>IFERROR(__xludf.DUMMYFUNCTION("ifna(IF(and(D161=""Saída"",J161=""Sangria""),if(sum(QUERY(IMPORTRANGE(""https://docs.google.com/spreadsheets/d/1E4szPcLzsqlw4uyBAoJ61L1ChCgpz4wVP8tHfHW1g_c"",""BD M Sangrias!a:i""),""select Col6 where Col7 = 'Depositada' and Col9 = '""&amp;K161&amp;""' and Col6 ="&amp;" ""&amp;M161&amp;"" and Col4 = date '""&amp;YEAR(C161)&amp;""-""&amp;MONTH(C161)&amp;""-""&amp;DAY(C161)&amp;""'""))&gt;0,""Depositada"",if(sum(QUERY(IMPORTRANGE(""https://docs.google.com/spreadsheets/d/1EcLIvUgMoBC5as4ikW0wuQsGH5yVZ6cQ1y16qEfgPnk"",""BD M Sangrias!a:i""),""select Col6 whe"&amp;"re Col7 = 'Caixa Atendimento' and Col9 = '""&amp;K161&amp;""' and Col6 = ""&amp;M161&amp;"" and Col4 = date '""&amp;YEAR(C161)&amp;""-""&amp;MONTH(C161)&amp;""-""&amp;DAY(C161)&amp;""'""))&gt;0,""Caixa Atendimento"",""Caixa Sangria"")),""""),""Caixa Sangria"")"),"#REF!")</f>
        <v>#REF!</v>
      </c>
      <c r="M161" s="185">
        <f>IFERROR(__xludf.DUMMYFUNCTION("ifna(VALUE(REGEXEXTRACT(E161,""[0-9.]+[,]+[0-9]+"")))"),800.0)</f>
        <v>800</v>
      </c>
      <c r="N161" s="185"/>
      <c r="O161" s="185"/>
      <c r="P161" s="185"/>
      <c r="Q161" s="185"/>
      <c r="R161" s="185"/>
      <c r="S161" s="185"/>
      <c r="T161" s="185"/>
      <c r="U161" s="185"/>
      <c r="V161" s="185"/>
    </row>
    <row r="162" ht="14.25" customHeight="1">
      <c r="A162" s="178"/>
      <c r="B162" s="12">
        <v>1701145.0</v>
      </c>
      <c r="C162" s="13">
        <v>45924.92706018518</v>
      </c>
      <c r="D162" s="179" t="s">
        <v>81</v>
      </c>
      <c r="E162" s="180" t="s">
        <v>162</v>
      </c>
      <c r="F162" s="181"/>
      <c r="G162" s="179" t="s">
        <v>5335</v>
      </c>
      <c r="H162" s="190"/>
      <c r="I162" s="190"/>
      <c r="J162" s="187" t="s">
        <v>2735</v>
      </c>
      <c r="K162" s="187" t="s">
        <v>2018</v>
      </c>
      <c r="L162" s="184" t="str">
        <f>IFERROR(__xludf.DUMMYFUNCTION("ifna(IF(and(D162=""Saída"",J162=""Sangria""),if(sum(QUERY(IMPORTRANGE(""https://docs.google.com/spreadsheets/d/1E4szPcLzsqlw4uyBAoJ61L1ChCgpz4wVP8tHfHW1g_c"",""BD M Sangrias!a:i""),""select Col6 where Col7 = 'Depositada' and Col9 = '""&amp;K162&amp;""' and Col6 ="&amp;" ""&amp;M162&amp;"" and Col4 = date '""&amp;YEAR(C162)&amp;""-""&amp;MONTH(C162)&amp;""-""&amp;DAY(C162)&amp;""'""))&gt;0,""Depositada"",if(sum(QUERY(IMPORTRANGE(""https://docs.google.com/spreadsheets/d/1EcLIvUgMoBC5as4ikW0wuQsGH5yVZ6cQ1y16qEfgPnk"",""BD M Sangrias!a:i""),""select Col6 whe"&amp;"re Col7 = 'Caixa Atendimento' and Col9 = '""&amp;K162&amp;""' and Col6 = ""&amp;M162&amp;"" and Col4 = date '""&amp;YEAR(C162)&amp;""-""&amp;MONTH(C162)&amp;""-""&amp;DAY(C162)&amp;""'""))&gt;0,""Caixa Atendimento"",""Caixa Sangria"")),""""),""Caixa Sangria"")"),"#REF!")</f>
        <v>#REF!</v>
      </c>
      <c r="M162" s="185">
        <f>IFERROR(__xludf.DUMMYFUNCTION("ifna(VALUE(REGEXEXTRACT(E162,""[0-9.]+[,]+[0-9]+"")))"),150.0)</f>
        <v>150</v>
      </c>
      <c r="N162" s="185"/>
      <c r="O162" s="185"/>
      <c r="P162" s="185"/>
      <c r="Q162" s="185"/>
      <c r="R162" s="185"/>
      <c r="S162" s="185"/>
      <c r="T162" s="185"/>
      <c r="U162" s="185"/>
      <c r="V162" s="185"/>
    </row>
    <row r="163" ht="14.25" customHeight="1">
      <c r="A163" s="178"/>
      <c r="B163" s="12">
        <v>1701189.0</v>
      </c>
      <c r="C163" s="13">
        <v>45924.9372337963</v>
      </c>
      <c r="D163" s="179" t="s">
        <v>152</v>
      </c>
      <c r="E163" s="180" t="s">
        <v>609</v>
      </c>
      <c r="F163" s="188"/>
      <c r="G163" s="179" t="s">
        <v>6341</v>
      </c>
      <c r="H163" s="190"/>
      <c r="I163" s="190"/>
      <c r="J163" s="187"/>
      <c r="K163" s="187"/>
      <c r="L163" s="184" t="str">
        <f>IFERROR(__xludf.DUMMYFUNCTION("ifna(IF(and(D163=""Saída"",J163=""Sangria""),if(sum(QUERY(IMPORTRANGE(""https://docs.google.com/spreadsheets/d/1E4szPcLzsqlw4uyBAoJ61L1ChCgpz4wVP8tHfHW1g_c"",""BD M Sangrias!a:i""),""select Col6 where Col7 = 'Depositada' and Col9 = '""&amp;K163&amp;""' and Col6 ="&amp;" ""&amp;M163&amp;"" and Col4 = date '""&amp;YEAR(C163)&amp;""-""&amp;MONTH(C163)&amp;""-""&amp;DAY(C163)&amp;""'""))&gt;0,""Depositada"",if(sum(QUERY(IMPORTRANGE(""https://docs.google.com/spreadsheets/d/1EcLIvUgMoBC5as4ikW0wuQsGH5yVZ6cQ1y16qEfgPnk"",""BD M Sangrias!a:i""),""select Col6 whe"&amp;"re Col7 = 'Caixa Atendimento' and Col9 = '""&amp;K163&amp;""' and Col6 = ""&amp;M163&amp;"" and Col4 = date '""&amp;YEAR(C163)&amp;""-""&amp;MONTH(C163)&amp;""-""&amp;DAY(C163)&amp;""'""))&gt;0,""Caixa Atendimento"",""Caixa Sangria"")),""""),""Caixa Sangria"")"),"")</f>
        <v/>
      </c>
      <c r="M163" s="185">
        <f>IFERROR(__xludf.DUMMYFUNCTION("ifna(VALUE(REGEXEXTRACT(E163,""[0-9.]+[,]+[0-9]+"")))"),82.0)</f>
        <v>82</v>
      </c>
      <c r="N163" s="185"/>
      <c r="O163" s="185"/>
      <c r="P163" s="185"/>
      <c r="Q163" s="185"/>
      <c r="R163" s="185"/>
      <c r="S163" s="185"/>
      <c r="T163" s="185"/>
      <c r="U163" s="185"/>
      <c r="V163" s="185"/>
    </row>
    <row r="164" ht="14.25" customHeight="1">
      <c r="A164" s="178"/>
      <c r="B164" s="12">
        <v>1702522.0</v>
      </c>
      <c r="C164" s="13">
        <v>45925.92277777778</v>
      </c>
      <c r="D164" s="179" t="s">
        <v>81</v>
      </c>
      <c r="E164" s="180" t="s">
        <v>343</v>
      </c>
      <c r="F164" s="181"/>
      <c r="G164" s="179" t="s">
        <v>3907</v>
      </c>
      <c r="H164" s="190"/>
      <c r="I164" s="190"/>
      <c r="J164" s="187" t="s">
        <v>2735</v>
      </c>
      <c r="K164" s="187" t="s">
        <v>2018</v>
      </c>
      <c r="L164" s="184" t="str">
        <f>IFERROR(__xludf.DUMMYFUNCTION("ifna(IF(and(D164=""Saída"",J164=""Sangria""),if(sum(QUERY(IMPORTRANGE(""https://docs.google.com/spreadsheets/d/1E4szPcLzsqlw4uyBAoJ61L1ChCgpz4wVP8tHfHW1g_c"",""BD M Sangrias!a:i""),""select Col6 where Col7 = 'Depositada' and Col9 = '""&amp;K164&amp;""' and Col6 ="&amp;" ""&amp;M164&amp;"" and Col4 = date '""&amp;YEAR(C164)&amp;""-""&amp;MONTH(C164)&amp;""-""&amp;DAY(C164)&amp;""'""))&gt;0,""Depositada"",if(sum(QUERY(IMPORTRANGE(""https://docs.google.com/spreadsheets/d/1EcLIvUgMoBC5as4ikW0wuQsGH5yVZ6cQ1y16qEfgPnk"",""BD M Sangrias!a:i""),""select Col6 whe"&amp;"re Col7 = 'Caixa Atendimento' and Col9 = '""&amp;K164&amp;""' and Col6 = ""&amp;M164&amp;"" and Col4 = date '""&amp;YEAR(C164)&amp;""-""&amp;MONTH(C164)&amp;""-""&amp;DAY(C164)&amp;""'""))&gt;0,""Caixa Atendimento"",""Caixa Sangria"")),""""),""Caixa Sangria"")"),"#REF!")</f>
        <v>#REF!</v>
      </c>
      <c r="M164" s="185">
        <f>IFERROR(__xludf.DUMMYFUNCTION("ifna(VALUE(REGEXEXTRACT(E164,""[0-9.]+[,]+[0-9]+"")))"),550.0)</f>
        <v>550</v>
      </c>
      <c r="N164" s="185"/>
      <c r="O164" s="185"/>
      <c r="P164" s="185"/>
      <c r="Q164" s="185"/>
      <c r="R164" s="185"/>
      <c r="S164" s="185"/>
      <c r="T164" s="185"/>
      <c r="U164" s="185"/>
      <c r="V164" s="185"/>
    </row>
    <row r="165" ht="14.25" customHeight="1">
      <c r="A165" s="178"/>
      <c r="B165" s="12">
        <v>1702524.0</v>
      </c>
      <c r="C165" s="13">
        <v>45925.92313657407</v>
      </c>
      <c r="D165" s="179" t="s">
        <v>152</v>
      </c>
      <c r="E165" s="180" t="s">
        <v>350</v>
      </c>
      <c r="F165" s="188"/>
      <c r="G165" s="179" t="s">
        <v>6545</v>
      </c>
      <c r="H165" s="190"/>
      <c r="I165" s="190"/>
      <c r="J165" s="187" t="s">
        <v>2669</v>
      </c>
      <c r="K165" s="187"/>
      <c r="L165" s="184" t="str">
        <f>IFERROR(__xludf.DUMMYFUNCTION("ifna(IF(and(D165=""Saída"",J165=""Sangria""),if(sum(QUERY(IMPORTRANGE(""https://docs.google.com/spreadsheets/d/1E4szPcLzsqlw4uyBAoJ61L1ChCgpz4wVP8tHfHW1g_c"",""BD M Sangrias!a:i""),""select Col6 where Col7 = 'Depositada' and Col9 = '""&amp;K165&amp;""' and Col6 ="&amp;" ""&amp;M165&amp;"" and Col4 = date '""&amp;YEAR(C165)&amp;""-""&amp;MONTH(C165)&amp;""-""&amp;DAY(C165)&amp;""'""))&gt;0,""Depositada"",if(sum(QUERY(IMPORTRANGE(""https://docs.google.com/spreadsheets/d/1EcLIvUgMoBC5as4ikW0wuQsGH5yVZ6cQ1y16qEfgPnk"",""BD M Sangrias!a:i""),""select Col6 whe"&amp;"re Col7 = 'Caixa Atendimento' and Col9 = '""&amp;K165&amp;""' and Col6 = ""&amp;M165&amp;"" and Col4 = date '""&amp;YEAR(C165)&amp;""-""&amp;MONTH(C165)&amp;""-""&amp;DAY(C165)&amp;""'""))&gt;0,""Caixa Atendimento"",""Caixa Sangria"")),""""),""Caixa Sangria"")"),"")</f>
        <v/>
      </c>
      <c r="M165" s="185">
        <f>IFERROR(__xludf.DUMMYFUNCTION("ifna(VALUE(REGEXEXTRACT(E165,""[0-9.]+[,]+[0-9]+"")))"),12.0)</f>
        <v>12</v>
      </c>
      <c r="N165" s="185"/>
      <c r="O165" s="185"/>
      <c r="P165" s="185"/>
      <c r="Q165" s="185"/>
      <c r="R165" s="185"/>
      <c r="S165" s="185"/>
      <c r="T165" s="185"/>
      <c r="U165" s="185"/>
      <c r="V165" s="185"/>
    </row>
    <row r="166" ht="14.25" customHeight="1">
      <c r="A166" s="178"/>
      <c r="B166" s="12"/>
      <c r="C166" s="13"/>
      <c r="D166" s="179"/>
      <c r="E166" s="180"/>
      <c r="F166" s="188"/>
      <c r="G166" s="179"/>
      <c r="H166" s="190"/>
      <c r="I166" s="190"/>
      <c r="J166" s="187"/>
      <c r="K166" s="187"/>
      <c r="L166" s="184" t="str">
        <f>IFERROR(__xludf.DUMMYFUNCTION("ifna(IF(and(D166=""Saída"",J166=""Sangria""),if(sum(QUERY(IMPORTRANGE(""https://docs.google.com/spreadsheets/d/1E4szPcLzsqlw4uyBAoJ61L1ChCgpz4wVP8tHfHW1g_c"",""BD M Sangrias!a:i""),""select Col6 where Col7 = 'Depositada' and Col9 = '""&amp;K166&amp;""' and Col6 ="&amp;" ""&amp;M166&amp;"" and Col4 = date '""&amp;YEAR(C166)&amp;""-""&amp;MONTH(C166)&amp;""-""&amp;DAY(C166)&amp;""'""))&gt;0,""Depositada"",if(sum(QUERY(IMPORTRANGE(""https://docs.google.com/spreadsheets/d/1EcLIvUgMoBC5as4ikW0wuQsGH5yVZ6cQ1y16qEfgPnk"",""BD M Sangrias!a:i""),""select Col6 whe"&amp;"re Col7 = 'Caixa Atendimento' and Col9 = '""&amp;K166&amp;""' and Col6 = ""&amp;M166&amp;"" and Col4 = date '""&amp;YEAR(C166)&amp;""-""&amp;MONTH(C166)&amp;""-""&amp;DAY(C166)&amp;""'""))&gt;0,""Caixa Atendimento"",""Caixa Sangria"")),""""),""Caixa Sangria"")"),"")</f>
        <v/>
      </c>
      <c r="M166" s="185" t="str">
        <f>IFERROR(__xludf.DUMMYFUNCTION("ifna(VALUE(REGEXEXTRACT(E166,""[0-9.]+[,]+[0-9]+"")))"),"")</f>
        <v/>
      </c>
      <c r="N166" s="185"/>
      <c r="O166" s="185"/>
      <c r="P166" s="185"/>
      <c r="Q166" s="185"/>
      <c r="R166" s="185"/>
      <c r="S166" s="185"/>
      <c r="T166" s="185"/>
      <c r="U166" s="185"/>
      <c r="V166" s="185"/>
    </row>
    <row r="167" ht="14.25" customHeight="1">
      <c r="A167" s="178"/>
      <c r="B167" s="12"/>
      <c r="C167" s="13"/>
      <c r="D167" s="179"/>
      <c r="E167" s="180"/>
      <c r="F167" s="181"/>
      <c r="G167" s="179"/>
      <c r="H167" s="190"/>
      <c r="I167" s="190"/>
      <c r="J167" s="187"/>
      <c r="K167" s="187"/>
      <c r="L167" s="184" t="str">
        <f>IFERROR(__xludf.DUMMYFUNCTION("ifna(IF(and(D167=""Saída"",J167=""Sangria""),if(sum(QUERY(IMPORTRANGE(""https://docs.google.com/spreadsheets/d/1E4szPcLzsqlw4uyBAoJ61L1ChCgpz4wVP8tHfHW1g_c"",""BD M Sangrias!a:i""),""select Col6 where Col7 = 'Depositada' and Col9 = '""&amp;K167&amp;""' and Col6 ="&amp;" ""&amp;M167&amp;"" and Col4 = date '""&amp;YEAR(C167)&amp;""-""&amp;MONTH(C167)&amp;""-""&amp;DAY(C167)&amp;""'""))&gt;0,""Depositada"",if(sum(QUERY(IMPORTRANGE(""https://docs.google.com/spreadsheets/d/1EcLIvUgMoBC5as4ikW0wuQsGH5yVZ6cQ1y16qEfgPnk"",""BD M Sangrias!a:i""),""select Col6 whe"&amp;"re Col7 = 'Caixa Atendimento' and Col9 = '""&amp;K167&amp;""' and Col6 = ""&amp;M167&amp;"" and Col4 = date '""&amp;YEAR(C167)&amp;""-""&amp;MONTH(C167)&amp;""-""&amp;DAY(C167)&amp;""'""))&gt;0,""Caixa Atendimento"",""Caixa Sangria"")),""""),""Caixa Sangria"")"),"")</f>
        <v/>
      </c>
      <c r="M167" s="185" t="str">
        <f>IFERROR(__xludf.DUMMYFUNCTION("ifna(VALUE(REGEXEXTRACT(E167,""[0-9.]+[,]+[0-9]+"")))"),"")</f>
        <v/>
      </c>
      <c r="N167" s="185"/>
      <c r="O167" s="185"/>
      <c r="P167" s="185"/>
      <c r="Q167" s="185"/>
      <c r="R167" s="185"/>
      <c r="S167" s="185"/>
      <c r="T167" s="185"/>
      <c r="U167" s="185"/>
      <c r="V167" s="185"/>
    </row>
    <row r="168" ht="14.25" customHeight="1">
      <c r="A168" s="178"/>
      <c r="B168" s="12"/>
      <c r="C168" s="13"/>
      <c r="D168" s="179"/>
      <c r="E168" s="180"/>
      <c r="F168" s="181"/>
      <c r="G168" s="179"/>
      <c r="H168" s="190"/>
      <c r="I168" s="190"/>
      <c r="J168" s="187"/>
      <c r="K168" s="187"/>
      <c r="L168" s="184" t="str">
        <f>IFERROR(__xludf.DUMMYFUNCTION("ifna(IF(and(D168=""Saída"",J168=""Sangria""),if(sum(QUERY(IMPORTRANGE(""https://docs.google.com/spreadsheets/d/1E4szPcLzsqlw4uyBAoJ61L1ChCgpz4wVP8tHfHW1g_c"",""BD M Sangrias!a:i""),""select Col6 where Col7 = 'Depositada' and Col9 = '""&amp;K168&amp;""' and Col6 ="&amp;" ""&amp;M168&amp;"" and Col4 = date '""&amp;YEAR(C168)&amp;""-""&amp;MONTH(C168)&amp;""-""&amp;DAY(C168)&amp;""'""))&gt;0,""Depositada"",if(sum(QUERY(IMPORTRANGE(""https://docs.google.com/spreadsheets/d/1EcLIvUgMoBC5as4ikW0wuQsGH5yVZ6cQ1y16qEfgPnk"",""BD M Sangrias!a:i""),""select Col6 whe"&amp;"re Col7 = 'Caixa Atendimento' and Col9 = '""&amp;K168&amp;""' and Col6 = ""&amp;M168&amp;"" and Col4 = date '""&amp;YEAR(C168)&amp;""-""&amp;MONTH(C168)&amp;""-""&amp;DAY(C168)&amp;""'""))&gt;0,""Caixa Atendimento"",""Caixa Sangria"")),""""),""Caixa Sangria"")"),"")</f>
        <v/>
      </c>
      <c r="M168" s="185" t="str">
        <f>IFERROR(__xludf.DUMMYFUNCTION("ifna(VALUE(REGEXEXTRACT(E168,""[0-9.]+[,]+[0-9]+"")))"),"")</f>
        <v/>
      </c>
      <c r="N168" s="185"/>
      <c r="O168" s="185"/>
      <c r="P168" s="185"/>
      <c r="Q168" s="185"/>
      <c r="R168" s="185"/>
      <c r="S168" s="185"/>
      <c r="T168" s="185"/>
      <c r="U168" s="185"/>
      <c r="V168" s="185"/>
    </row>
    <row r="169" ht="14.25" customHeight="1">
      <c r="A169" s="178"/>
      <c r="B169" s="12"/>
      <c r="C169" s="13"/>
      <c r="D169" s="179"/>
      <c r="E169" s="180"/>
      <c r="F169" s="181"/>
      <c r="G169" s="179"/>
      <c r="H169" s="190"/>
      <c r="I169" s="190"/>
      <c r="J169" s="187"/>
      <c r="K169" s="187"/>
      <c r="L169" s="184" t="str">
        <f>IFERROR(__xludf.DUMMYFUNCTION("ifna(IF(and(D169=""Saída"",J169=""Sangria""),if(sum(QUERY(IMPORTRANGE(""https://docs.google.com/spreadsheets/d/1E4szPcLzsqlw4uyBAoJ61L1ChCgpz4wVP8tHfHW1g_c"",""BD M Sangrias!a:i""),""select Col6 where Col7 = 'Depositada' and Col9 = '""&amp;K169&amp;""' and Col6 ="&amp;" ""&amp;M169&amp;"" and Col4 = date '""&amp;YEAR(C169)&amp;""-""&amp;MONTH(C169)&amp;""-""&amp;DAY(C169)&amp;""'""))&gt;0,""Depositada"",if(sum(QUERY(IMPORTRANGE(""https://docs.google.com/spreadsheets/d/1EcLIvUgMoBC5as4ikW0wuQsGH5yVZ6cQ1y16qEfgPnk"",""BD M Sangrias!a:i""),""select Col6 whe"&amp;"re Col7 = 'Caixa Atendimento' and Col9 = '""&amp;K169&amp;""' and Col6 = ""&amp;M169&amp;"" and Col4 = date '""&amp;YEAR(C169)&amp;""-""&amp;MONTH(C169)&amp;""-""&amp;DAY(C169)&amp;""'""))&gt;0,""Caixa Atendimento"",""Caixa Sangria"")),""""),""Caixa Sangria"")"),"")</f>
        <v/>
      </c>
      <c r="M169" s="185" t="str">
        <f>IFERROR(__xludf.DUMMYFUNCTION("ifna(VALUE(REGEXEXTRACT(E169,""[0-9.]+[,]+[0-9]+"")))"),"")</f>
        <v/>
      </c>
      <c r="N169" s="185"/>
      <c r="O169" s="185"/>
      <c r="P169" s="185"/>
      <c r="Q169" s="185"/>
      <c r="R169" s="185"/>
      <c r="S169" s="185"/>
      <c r="T169" s="185"/>
      <c r="U169" s="185"/>
      <c r="V169" s="185"/>
    </row>
    <row r="170" ht="14.25" customHeight="1">
      <c r="A170" s="178"/>
      <c r="B170" s="12"/>
      <c r="C170" s="13"/>
      <c r="D170" s="179"/>
      <c r="E170" s="180"/>
      <c r="F170" s="181"/>
      <c r="G170" s="179"/>
      <c r="H170" s="190"/>
      <c r="I170" s="190"/>
      <c r="J170" s="187"/>
      <c r="K170" s="187"/>
      <c r="L170" s="184" t="str">
        <f>IFERROR(__xludf.DUMMYFUNCTION("ifna(IF(and(D170=""Saída"",J170=""Sangria""),if(sum(QUERY(IMPORTRANGE(""https://docs.google.com/spreadsheets/d/1E4szPcLzsqlw4uyBAoJ61L1ChCgpz4wVP8tHfHW1g_c"",""BD M Sangrias!a:i""),""select Col6 where Col7 = 'Depositada' and Col9 = '""&amp;K170&amp;""' and Col6 ="&amp;" ""&amp;M170&amp;"" and Col4 = date '""&amp;YEAR(C170)&amp;""-""&amp;MONTH(C170)&amp;""-""&amp;DAY(C170)&amp;""'""))&gt;0,""Depositada"",if(sum(QUERY(IMPORTRANGE(""https://docs.google.com/spreadsheets/d/1EcLIvUgMoBC5as4ikW0wuQsGH5yVZ6cQ1y16qEfgPnk"",""BD M Sangrias!a:i""),""select Col6 whe"&amp;"re Col7 = 'Caixa Atendimento' and Col9 = '""&amp;K170&amp;""' and Col6 = ""&amp;M170&amp;"" and Col4 = date '""&amp;YEAR(C170)&amp;""-""&amp;MONTH(C170)&amp;""-""&amp;DAY(C170)&amp;""'""))&gt;0,""Caixa Atendimento"",""Caixa Sangria"")),""""),""Caixa Sangria"")"),"")</f>
        <v/>
      </c>
      <c r="M170" s="185" t="str">
        <f>IFERROR(__xludf.DUMMYFUNCTION("ifna(VALUE(REGEXEXTRACT(E170,""[0-9.]+[,]+[0-9]+"")))"),"")</f>
        <v/>
      </c>
      <c r="N170" s="185"/>
      <c r="O170" s="185"/>
      <c r="P170" s="185"/>
      <c r="Q170" s="185"/>
      <c r="R170" s="185"/>
      <c r="S170" s="185"/>
      <c r="T170" s="185"/>
      <c r="U170" s="185"/>
      <c r="V170" s="185"/>
    </row>
    <row r="171" ht="14.25" customHeight="1">
      <c r="A171" s="178"/>
      <c r="B171" s="12"/>
      <c r="C171" s="13"/>
      <c r="D171" s="179"/>
      <c r="E171" s="180"/>
      <c r="F171" s="181"/>
      <c r="G171" s="179"/>
      <c r="H171" s="190"/>
      <c r="I171" s="190"/>
      <c r="J171" s="187"/>
      <c r="K171" s="187"/>
      <c r="L171" s="184" t="str">
        <f>IFERROR(__xludf.DUMMYFUNCTION("ifna(IF(and(D171=""Saída"",J171=""Sangria""),if(sum(QUERY(IMPORTRANGE(""https://docs.google.com/spreadsheets/d/1E4szPcLzsqlw4uyBAoJ61L1ChCgpz4wVP8tHfHW1g_c"",""BD M Sangrias!a:i""),""select Col6 where Col7 = 'Depositada' and Col9 = '""&amp;K171&amp;""' and Col6 ="&amp;" ""&amp;M171&amp;"" and Col4 = date '""&amp;YEAR(C171)&amp;""-""&amp;MONTH(C171)&amp;""-""&amp;DAY(C171)&amp;""'""))&gt;0,""Depositada"",if(sum(QUERY(IMPORTRANGE(""https://docs.google.com/spreadsheets/d/1EcLIvUgMoBC5as4ikW0wuQsGH5yVZ6cQ1y16qEfgPnk"",""BD M Sangrias!a:i""),""select Col6 whe"&amp;"re Col7 = 'Caixa Atendimento' and Col9 = '""&amp;K171&amp;""' and Col6 = ""&amp;M171&amp;"" and Col4 = date '""&amp;YEAR(C171)&amp;""-""&amp;MONTH(C171)&amp;""-""&amp;DAY(C171)&amp;""'""))&gt;0,""Caixa Atendimento"",""Caixa Sangria"")),""""),""Caixa Sangria"")"),"")</f>
        <v/>
      </c>
      <c r="M171" s="185" t="str">
        <f>IFERROR(__xludf.DUMMYFUNCTION("ifna(VALUE(REGEXEXTRACT(E171,""[0-9.]+[,]+[0-9]+"")))"),"")</f>
        <v/>
      </c>
      <c r="N171" s="185"/>
      <c r="O171" s="185"/>
      <c r="P171" s="185"/>
      <c r="Q171" s="185"/>
      <c r="R171" s="185"/>
      <c r="S171" s="185"/>
      <c r="T171" s="185"/>
      <c r="U171" s="185"/>
      <c r="V171" s="185"/>
    </row>
    <row r="172" ht="14.25" customHeight="1">
      <c r="A172" s="178"/>
      <c r="B172" s="12"/>
      <c r="C172" s="13"/>
      <c r="D172" s="179"/>
      <c r="E172" s="180"/>
      <c r="F172" s="181"/>
      <c r="G172" s="179"/>
      <c r="H172" s="190"/>
      <c r="I172" s="190"/>
      <c r="J172" s="187"/>
      <c r="K172" s="187"/>
      <c r="L172" s="184" t="str">
        <f>IFERROR(__xludf.DUMMYFUNCTION("ifna(IF(and(D172=""Saída"",J172=""Sangria""),if(sum(QUERY(IMPORTRANGE(""https://docs.google.com/spreadsheets/d/1E4szPcLzsqlw4uyBAoJ61L1ChCgpz4wVP8tHfHW1g_c"",""BD M Sangrias!a:i""),""select Col6 where Col7 = 'Depositada' and Col9 = '""&amp;K172&amp;""' and Col6 ="&amp;" ""&amp;M172&amp;"" and Col4 = date '""&amp;YEAR(C172)&amp;""-""&amp;MONTH(C172)&amp;""-""&amp;DAY(C172)&amp;""'""))&gt;0,""Depositada"",if(sum(QUERY(IMPORTRANGE(""https://docs.google.com/spreadsheets/d/1EcLIvUgMoBC5as4ikW0wuQsGH5yVZ6cQ1y16qEfgPnk"",""BD M Sangrias!a:i""),""select Col6 whe"&amp;"re Col7 = 'Caixa Atendimento' and Col9 = '""&amp;K172&amp;""' and Col6 = ""&amp;M172&amp;"" and Col4 = date '""&amp;YEAR(C172)&amp;""-""&amp;MONTH(C172)&amp;""-""&amp;DAY(C172)&amp;""'""))&gt;0,""Caixa Atendimento"",""Caixa Sangria"")),""""),""Caixa Sangria"")"),"")</f>
        <v/>
      </c>
      <c r="M172" s="185" t="str">
        <f>IFERROR(__xludf.DUMMYFUNCTION("ifna(VALUE(REGEXEXTRACT(E172,""[0-9.]+[,]+[0-9]+"")))"),"")</f>
        <v/>
      </c>
      <c r="N172" s="185"/>
      <c r="O172" s="185"/>
      <c r="P172" s="185"/>
      <c r="Q172" s="185"/>
      <c r="R172" s="185"/>
      <c r="S172" s="185"/>
      <c r="T172" s="185"/>
      <c r="U172" s="185"/>
      <c r="V172" s="185"/>
    </row>
    <row r="173" ht="14.25" customHeight="1">
      <c r="A173" s="178"/>
      <c r="B173" s="12"/>
      <c r="C173" s="13"/>
      <c r="D173" s="179"/>
      <c r="E173" s="180"/>
      <c r="F173" s="181"/>
      <c r="G173" s="179"/>
      <c r="H173" s="190"/>
      <c r="I173" s="190"/>
      <c r="J173" s="187"/>
      <c r="K173" s="187"/>
      <c r="L173" s="184" t="str">
        <f>IFERROR(__xludf.DUMMYFUNCTION("ifna(IF(and(D173=""Saída"",J173=""Sangria""),if(sum(QUERY(IMPORTRANGE(""https://docs.google.com/spreadsheets/d/1E4szPcLzsqlw4uyBAoJ61L1ChCgpz4wVP8tHfHW1g_c"",""BD M Sangrias!a:i""),""select Col6 where Col7 = 'Depositada' and Col9 = '""&amp;K173&amp;""' and Col6 ="&amp;" ""&amp;M173&amp;"" and Col4 = date '""&amp;YEAR(C173)&amp;""-""&amp;MONTH(C173)&amp;""-""&amp;DAY(C173)&amp;""'""))&gt;0,""Depositada"",if(sum(QUERY(IMPORTRANGE(""https://docs.google.com/spreadsheets/d/1EcLIvUgMoBC5as4ikW0wuQsGH5yVZ6cQ1y16qEfgPnk"",""BD M Sangrias!a:i""),""select Col6 whe"&amp;"re Col7 = 'Caixa Atendimento' and Col9 = '""&amp;K173&amp;""' and Col6 = ""&amp;M173&amp;"" and Col4 = date '""&amp;YEAR(C173)&amp;""-""&amp;MONTH(C173)&amp;""-""&amp;DAY(C173)&amp;""'""))&gt;0,""Caixa Atendimento"",""Caixa Sangria"")),""""),""Caixa Sangria"")"),"")</f>
        <v/>
      </c>
      <c r="M173" s="185" t="str">
        <f>IFERROR(__xludf.DUMMYFUNCTION("ifna(VALUE(REGEXEXTRACT(E173,""[0-9.]+[,]+[0-9]+"")))"),"")</f>
        <v/>
      </c>
      <c r="N173" s="185"/>
      <c r="O173" s="185"/>
      <c r="P173" s="185"/>
      <c r="Q173" s="185"/>
      <c r="R173" s="185"/>
      <c r="S173" s="185"/>
      <c r="T173" s="185"/>
      <c r="U173" s="185"/>
      <c r="V173" s="185"/>
    </row>
    <row r="174" ht="14.25" customHeight="1">
      <c r="A174" s="178"/>
      <c r="B174" s="12"/>
      <c r="C174" s="13"/>
      <c r="D174" s="179"/>
      <c r="E174" s="180"/>
      <c r="F174" s="181"/>
      <c r="G174" s="179"/>
      <c r="H174" s="190"/>
      <c r="I174" s="190"/>
      <c r="J174" s="187"/>
      <c r="K174" s="187"/>
      <c r="L174" s="184" t="str">
        <f>IFERROR(__xludf.DUMMYFUNCTION("ifna(IF(and(D174=""Saída"",J174=""Sangria""),if(sum(QUERY(IMPORTRANGE(""https://docs.google.com/spreadsheets/d/1E4szPcLzsqlw4uyBAoJ61L1ChCgpz4wVP8tHfHW1g_c"",""BD M Sangrias!a:i""),""select Col6 where Col7 = 'Depositada' and Col9 = '""&amp;K174&amp;""' and Col6 ="&amp;" ""&amp;M174&amp;"" and Col4 = date '""&amp;YEAR(C174)&amp;""-""&amp;MONTH(C174)&amp;""-""&amp;DAY(C174)&amp;""'""))&gt;0,""Depositada"",if(sum(QUERY(IMPORTRANGE(""https://docs.google.com/spreadsheets/d/1EcLIvUgMoBC5as4ikW0wuQsGH5yVZ6cQ1y16qEfgPnk"",""BD M Sangrias!a:i""),""select Col6 whe"&amp;"re Col7 = 'Caixa Atendimento' and Col9 = '""&amp;K174&amp;""' and Col6 = ""&amp;M174&amp;"" and Col4 = date '""&amp;YEAR(C174)&amp;""-""&amp;MONTH(C174)&amp;""-""&amp;DAY(C174)&amp;""'""))&gt;0,""Caixa Atendimento"",""Caixa Sangria"")),""""),""Caixa Sangria"")"),"")</f>
        <v/>
      </c>
      <c r="M174" s="185" t="str">
        <f>IFERROR(__xludf.DUMMYFUNCTION("ifna(VALUE(REGEXEXTRACT(E174,""[0-9.]+[,]+[0-9]+"")))"),"")</f>
        <v/>
      </c>
      <c r="N174" s="185"/>
      <c r="O174" s="185"/>
      <c r="P174" s="185"/>
      <c r="Q174" s="185"/>
      <c r="R174" s="185"/>
      <c r="S174" s="185"/>
      <c r="T174" s="185"/>
      <c r="U174" s="185"/>
      <c r="V174" s="185"/>
    </row>
    <row r="175" ht="14.25" customHeight="1">
      <c r="A175" s="178"/>
      <c r="B175" s="12"/>
      <c r="C175" s="13"/>
      <c r="D175" s="179"/>
      <c r="E175" s="180"/>
      <c r="F175" s="181"/>
      <c r="G175" s="179"/>
      <c r="H175" s="190"/>
      <c r="I175" s="190"/>
      <c r="J175" s="187"/>
      <c r="K175" s="187"/>
      <c r="L175" s="184" t="str">
        <f>IFERROR(__xludf.DUMMYFUNCTION("ifna(IF(and(D175=""Saída"",J175=""Sangria""),if(sum(QUERY(IMPORTRANGE(""https://docs.google.com/spreadsheets/d/1E4szPcLzsqlw4uyBAoJ61L1ChCgpz4wVP8tHfHW1g_c"",""BD M Sangrias!a:i""),""select Col6 where Col7 = 'Depositada' and Col9 = '""&amp;K175&amp;""' and Col6 ="&amp;" ""&amp;M175&amp;"" and Col4 = date '""&amp;YEAR(C175)&amp;""-""&amp;MONTH(C175)&amp;""-""&amp;DAY(C175)&amp;""'""))&gt;0,""Depositada"",if(sum(QUERY(IMPORTRANGE(""https://docs.google.com/spreadsheets/d/1EcLIvUgMoBC5as4ikW0wuQsGH5yVZ6cQ1y16qEfgPnk"",""BD M Sangrias!a:i""),""select Col6 whe"&amp;"re Col7 = 'Caixa Atendimento' and Col9 = '""&amp;K175&amp;""' and Col6 = ""&amp;M175&amp;"" and Col4 = date '""&amp;YEAR(C175)&amp;""-""&amp;MONTH(C175)&amp;""-""&amp;DAY(C175)&amp;""'""))&gt;0,""Caixa Atendimento"",""Caixa Sangria"")),""""),""Caixa Sangria"")"),"")</f>
        <v/>
      </c>
      <c r="M175" s="185" t="str">
        <f>IFERROR(__xludf.DUMMYFUNCTION("ifna(VALUE(REGEXEXTRACT(E175,""[0-9.]+[,]+[0-9]+"")))"),"")</f>
        <v/>
      </c>
      <c r="N175" s="185"/>
      <c r="O175" s="185"/>
      <c r="P175" s="185"/>
      <c r="Q175" s="185"/>
      <c r="R175" s="185"/>
      <c r="S175" s="185"/>
      <c r="T175" s="185"/>
      <c r="U175" s="185"/>
      <c r="V175" s="185"/>
    </row>
    <row r="176" ht="14.25" customHeight="1">
      <c r="A176" s="178"/>
      <c r="B176" s="12"/>
      <c r="C176" s="13"/>
      <c r="D176" s="179"/>
      <c r="E176" s="180"/>
      <c r="F176" s="188"/>
      <c r="G176" s="179"/>
      <c r="H176" s="190"/>
      <c r="I176" s="190"/>
      <c r="J176" s="187"/>
      <c r="K176" s="187"/>
      <c r="L176" s="184" t="str">
        <f>IFERROR(__xludf.DUMMYFUNCTION("ifna(IF(and(D176=""Saída"",#REF!=""Sangria""),if(sum(QUERY(IMPORTRANGE(""https://docs.google.com/spreadsheets/d/1E4szPcLzsqlw4uyBAoJ61L1ChCgpz4wVP8tHfHW1g_c"",""BD M Sangrias!a:i""),""select Col6 where Col7 = 'Depositada' and Col9 = '""&amp;K176&amp;""' and Col6 "&amp;"= ""&amp;M176&amp;"" and Col4 = date '""&amp;YEAR(C176)&amp;""-""&amp;MONTH(C176)&amp;""-""&amp;DAY(C176)&amp;""'""))&gt;0,""Depositada"",if(sum(QUERY(IMPORTRANGE(""https://docs.google.com/spreadsheets/d/1EcLIvUgMoBC5as4ikW0wuQsGH5yVZ6cQ1y16qEfgPnk"",""BD M Sangrias!a:i""),""select Col6 wh"&amp;"ere Col7 = 'Caixa Atendimento' and Col9 = '""&amp;K176&amp;""' and Col6 = ""&amp;M176&amp;"" and Col4 = date '""&amp;YEAR(C176)&amp;""-""&amp;MONTH(C176)&amp;""-""&amp;DAY(C176)&amp;""'""))&gt;0,""Caixa Atendimento"",""Caixa Sangria"")),""""),""Caixa Sangria"")"),"#REF!")</f>
        <v>#REF!</v>
      </c>
      <c r="M176" s="185" t="str">
        <f>IFERROR(__xludf.DUMMYFUNCTION("ifna(VALUE(REGEXEXTRACT(E176,""[0-9.]+[,]+[0-9]+"")))"),"")</f>
        <v/>
      </c>
      <c r="N176" s="185"/>
      <c r="O176" s="185"/>
      <c r="P176" s="185"/>
      <c r="Q176" s="185"/>
      <c r="R176" s="185"/>
      <c r="S176" s="185"/>
      <c r="T176" s="185"/>
      <c r="U176" s="185"/>
      <c r="V176" s="185"/>
    </row>
    <row r="177" ht="14.25" customHeight="1">
      <c r="A177" s="178"/>
      <c r="B177" s="12"/>
      <c r="C177" s="13"/>
      <c r="D177" s="179"/>
      <c r="E177" s="180"/>
      <c r="F177" s="181"/>
      <c r="G177" s="179"/>
      <c r="H177" s="190"/>
      <c r="I177" s="190"/>
      <c r="K177" s="187"/>
      <c r="L177" s="184" t="str">
        <f>IFERROR(__xludf.DUMMYFUNCTION("ifna(IF(and(D177=""Saída"",J176=""Sangria""),if(sum(QUERY(IMPORTRANGE(""https://docs.google.com/spreadsheets/d/1E4szPcLzsqlw4uyBAoJ61L1ChCgpz4wVP8tHfHW1g_c"",""BD M Sangrias!a:i""),""select Col6 where Col7 = 'Depositada' and Col9 = '""&amp;K177&amp;""' and Col6 ="&amp;" ""&amp;M177&amp;"" and Col4 = date '""&amp;YEAR(C177)&amp;""-""&amp;MONTH(C177)&amp;""-""&amp;DAY(C177)&amp;""'""))&gt;0,""Depositada"",if(sum(QUERY(IMPORTRANGE(""https://docs.google.com/spreadsheets/d/1EcLIvUgMoBC5as4ikW0wuQsGH5yVZ6cQ1y16qEfgPnk"",""BD M Sangrias!a:i""),""select Col6 whe"&amp;"re Col7 = 'Caixa Atendimento' and Col9 = '""&amp;K177&amp;""' and Col6 = ""&amp;M177&amp;"" and Col4 = date '""&amp;YEAR(C177)&amp;""-""&amp;MONTH(C177)&amp;""-""&amp;DAY(C177)&amp;""'""))&gt;0,""Caixa Atendimento"",""Caixa Sangria"")),""""),""Caixa Sangria"")"),"")</f>
        <v/>
      </c>
      <c r="M177" s="185" t="str">
        <f>IFERROR(__xludf.DUMMYFUNCTION("ifna(VALUE(REGEXEXTRACT(E177,""[0-9.]+[,]+[0-9]+"")))"),"")</f>
        <v/>
      </c>
      <c r="N177" s="185"/>
      <c r="O177" s="185"/>
      <c r="P177" s="185"/>
      <c r="Q177" s="185"/>
      <c r="R177" s="185"/>
      <c r="S177" s="185"/>
      <c r="T177" s="185"/>
      <c r="U177" s="185"/>
      <c r="V177" s="185"/>
    </row>
    <row r="178" ht="14.25" customHeight="1">
      <c r="A178" s="178"/>
      <c r="B178" s="12"/>
      <c r="C178" s="13"/>
      <c r="D178" s="179"/>
      <c r="E178" s="180"/>
      <c r="F178" s="181"/>
      <c r="G178" s="179"/>
      <c r="H178" s="190"/>
      <c r="I178" s="190"/>
      <c r="J178" s="187"/>
      <c r="K178" s="187"/>
      <c r="L178" s="184" t="str">
        <f>IFERROR(__xludf.DUMMYFUNCTION("ifna(IF(and(D178=""Saída"",J178=""Sangria""),if(sum(QUERY(IMPORTRANGE(""https://docs.google.com/spreadsheets/d/1E4szPcLzsqlw4uyBAoJ61L1ChCgpz4wVP8tHfHW1g_c"",""BD M Sangrias!a:i""),""select Col6 where Col7 = 'Depositada' and Col9 = '""&amp;K178&amp;""' and Col6 ="&amp;" ""&amp;M178&amp;"" and Col4 = date '""&amp;YEAR(C178)&amp;""-""&amp;MONTH(C178)&amp;""-""&amp;DAY(C178)&amp;""'""))&gt;0,""Depositada"",if(sum(QUERY(IMPORTRANGE(""https://docs.google.com/spreadsheets/d/1EcLIvUgMoBC5as4ikW0wuQsGH5yVZ6cQ1y16qEfgPnk"",""BD M Sangrias!a:i""),""select Col6 whe"&amp;"re Col7 = 'Caixa Atendimento' and Col9 = '""&amp;K178&amp;""' and Col6 = ""&amp;M178&amp;"" and Col4 = date '""&amp;YEAR(C178)&amp;""-""&amp;MONTH(C178)&amp;""-""&amp;DAY(C178)&amp;""'""))&gt;0,""Caixa Atendimento"",""Caixa Sangria"")),""""),""Caixa Sangria"")"),"")</f>
        <v/>
      </c>
      <c r="M178" s="185" t="str">
        <f>IFERROR(__xludf.DUMMYFUNCTION("ifna(VALUE(REGEXEXTRACT(E178,""[0-9.]+[,]+[0-9]+"")))"),"")</f>
        <v/>
      </c>
      <c r="N178" s="185"/>
      <c r="O178" s="185"/>
      <c r="P178" s="185"/>
      <c r="Q178" s="185"/>
      <c r="R178" s="185"/>
      <c r="S178" s="185"/>
      <c r="T178" s="185"/>
      <c r="U178" s="185"/>
      <c r="V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184" t="str">
        <f>IFERROR(__xludf.DUMMYFUNCTION("ifna(IF(and(D179=""Saída"",J179=""Sangria""),if(sum(QUERY(IMPORTRANGE(""https://docs.google.com/spreadsheets/d/1E4szPcLzsqlw4uyBAoJ61L1ChCgpz4wVP8tHfHW1g_c"",""BD M Sangrias!a:i""),""select Col6 where Col7 = 'Depositada' and Col9 = '""&amp;K179&amp;""' and Col6 ="&amp;" ""&amp;M179&amp;"" and Col4 = date '""&amp;YEAR(C179)&amp;""-""&amp;MONTH(C179)&amp;""-""&amp;DAY(C179)&amp;""'""))&gt;0,""Depositada"",if(sum(QUERY(IMPORTRANGE(""https://docs.google.com/spreadsheets/d/1EcLIvUgMoBC5as4ikW0wuQsGH5yVZ6cQ1y16qEfgPnk"",""BD M Sangrias!a:i""),""select Col6 whe"&amp;"re Col7 = 'Caixa Atendimento' and Col9 = '""&amp;K179&amp;""' and Col6 = ""&amp;M179&amp;"" and Col4 = date '""&amp;YEAR(C179)&amp;""-""&amp;MONTH(C179)&amp;""-""&amp;DAY(C179)&amp;""'""))&gt;0,""Caixa Atendimento"",""Caixa Sangria"")),""""),""Caixa Sangria"")"),"")</f>
        <v/>
      </c>
      <c r="M179" s="185" t="str">
        <f>IFERROR(__xludf.DUMMYFUNCTION("ifna(VALUE(REGEXEXTRACT(E179,""[0-9.]+[,]+[0-9]+"")))"),"")</f>
        <v/>
      </c>
      <c r="N179" s="185"/>
      <c r="O179" s="185"/>
      <c r="P179" s="185"/>
      <c r="Q179" s="185"/>
      <c r="R179" s="185"/>
      <c r="S179" s="185"/>
      <c r="T179" s="185"/>
      <c r="U179" s="185"/>
      <c r="V179" s="185"/>
    </row>
    <row r="180" ht="14.25" customHeight="1">
      <c r="A180" s="178"/>
      <c r="B180" s="12"/>
      <c r="C180" s="13"/>
      <c r="D180" s="179"/>
      <c r="E180" s="180"/>
      <c r="F180" s="188"/>
      <c r="G180" s="179"/>
      <c r="H180" s="190"/>
      <c r="I180" s="190"/>
      <c r="K180" s="187"/>
      <c r="L180" s="184" t="str">
        <f>IFERROR(__xludf.DUMMYFUNCTION("ifna(IF(and(D180=""Saída"",J180=""Sangria""),if(sum(QUERY(IMPORTRANGE(""https://docs.google.com/spreadsheets/d/1E4szPcLzsqlw4uyBAoJ61L1ChCgpz4wVP8tHfHW1g_c"",""BD M Sangrias!a:i""),""select Col6 where Col7 = 'Depositada' and Col9 = '""&amp;K180&amp;""' and Col6 ="&amp;" ""&amp;M180&amp;"" and Col4 = date '""&amp;YEAR(C180)&amp;""-""&amp;MONTH(C180)&amp;""-""&amp;DAY(C180)&amp;""'""))&gt;0,""Depositada"",if(sum(QUERY(IMPORTRANGE(""https://docs.google.com/spreadsheets/d/1EcLIvUgMoBC5as4ikW0wuQsGH5yVZ6cQ1y16qEfgPnk"",""BD M Sangrias!a:i""),""select Col6 whe"&amp;"re Col7 = 'Caixa Atendimento' and Col9 = '""&amp;K180&amp;""' and Col6 = ""&amp;M180&amp;"" and Col4 = date '""&amp;YEAR(C180)&amp;""-""&amp;MONTH(C180)&amp;""-""&amp;DAY(C180)&amp;""'""))&gt;0,""Caixa Atendimento"",""Caixa Sangria"")),""""),""Caixa Sangria"")"),"")</f>
        <v/>
      </c>
      <c r="M180" s="185" t="str">
        <f>IFERROR(__xludf.DUMMYFUNCTION("ifna(VALUE(REGEXEXTRACT(E180,""[0-9.]+[,]+[0-9]+"")))"),"")</f>
        <v/>
      </c>
      <c r="N180" s="185"/>
      <c r="O180" s="185"/>
      <c r="P180" s="185"/>
      <c r="Q180" s="185"/>
      <c r="R180" s="185"/>
      <c r="S180" s="185"/>
      <c r="T180" s="185"/>
      <c r="U180" s="185"/>
      <c r="V180" s="185"/>
    </row>
    <row r="181" ht="14.25" customHeight="1">
      <c r="A181" s="178"/>
      <c r="B181" s="12"/>
      <c r="C181" s="13"/>
      <c r="D181" s="179"/>
      <c r="E181" s="180"/>
      <c r="F181" s="181"/>
      <c r="G181" s="179"/>
      <c r="H181" s="190"/>
      <c r="I181" s="190"/>
      <c r="J181" s="187"/>
      <c r="K181" s="187"/>
      <c r="L181" s="184" t="str">
        <f>IFERROR(__xludf.DUMMYFUNCTION("ifna(IF(and(D181=""Saída"",J181=""Sangria""),if(sum(QUERY(IMPORTRANGE(""https://docs.google.com/spreadsheets/d/1E4szPcLzsqlw4uyBAoJ61L1ChCgpz4wVP8tHfHW1g_c"",""BD M Sangrias!a:i""),""select Col6 where Col7 = 'Depositada' and Col9 = '""&amp;K181&amp;""' and Col6 ="&amp;" ""&amp;M181&amp;"" and Col4 = date '""&amp;YEAR(C181)&amp;""-""&amp;MONTH(C181)&amp;""-""&amp;DAY(C181)&amp;""'""))&gt;0,""Depositada"",if(sum(QUERY(IMPORTRANGE(""https://docs.google.com/spreadsheets/d/1EcLIvUgMoBC5as4ikW0wuQsGH5yVZ6cQ1y16qEfgPnk"",""BD M Sangrias!a:i""),""select Col6 whe"&amp;"re Col7 = 'Caixa Atendimento' and Col9 = '""&amp;K181&amp;""' and Col6 = ""&amp;M181&amp;"" and Col4 = date '""&amp;YEAR(C181)&amp;""-""&amp;MONTH(C181)&amp;""-""&amp;DAY(C181)&amp;""'""))&gt;0,""Caixa Atendimento"",""Caixa Sangria"")),""""),""Caixa Sangria"")"),"")</f>
        <v/>
      </c>
      <c r="M181" s="185" t="str">
        <f>IFERROR(__xludf.DUMMYFUNCTION("ifna(VALUE(REGEXEXTRACT(E181,""[0-9.]+[,]+[0-9]+"")))"),"")</f>
        <v/>
      </c>
      <c r="N181" s="185"/>
      <c r="O181" s="185"/>
      <c r="P181" s="185"/>
      <c r="Q181" s="185"/>
      <c r="R181" s="185"/>
      <c r="S181" s="185"/>
      <c r="T181" s="185"/>
      <c r="U181" s="185"/>
      <c r="V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184" t="str">
        <f>IFERROR(__xludf.DUMMYFUNCTION("ifna(IF(and(D182=""Saída"",J182=""Sangria""),if(sum(QUERY(IMPORTRANGE(""https://docs.google.com/spreadsheets/d/1E4szPcLzsqlw4uyBAoJ61L1ChCgpz4wVP8tHfHW1g_c"",""BD M Sangrias!a:i""),""select Col6 where Col7 = 'Depositada' and Col9 = '""&amp;K182&amp;""' and Col6 ="&amp;" ""&amp;M182&amp;"" and Col4 = date '""&amp;YEAR(C182)&amp;""-""&amp;MONTH(C182)&amp;""-""&amp;DAY(C182)&amp;""'""))&gt;0,""Depositada"",if(sum(QUERY(IMPORTRANGE(""https://docs.google.com/spreadsheets/d/1EcLIvUgMoBC5as4ikW0wuQsGH5yVZ6cQ1y16qEfgPnk"",""BD M Sangrias!a:i""),""select Col6 whe"&amp;"re Col7 = 'Caixa Atendimento' and Col9 = '""&amp;K182&amp;""' and Col6 = ""&amp;M182&amp;"" and Col4 = date '""&amp;YEAR(C182)&amp;""-""&amp;MONTH(C182)&amp;""-""&amp;DAY(C182)&amp;""'""))&gt;0,""Caixa Atendimento"",""Caixa Sangria"")),""""),""Caixa Sangria"")"),"")</f>
        <v/>
      </c>
      <c r="M182" s="185" t="str">
        <f>IFERROR(__xludf.DUMMYFUNCTION("ifna(VALUE(REGEXEXTRACT(E182,""[0-9.]+[,]+[0-9]+"")))"),"")</f>
        <v/>
      </c>
      <c r="N182" s="185"/>
      <c r="O182" s="185"/>
      <c r="P182" s="185"/>
      <c r="Q182" s="185"/>
      <c r="R182" s="185"/>
      <c r="S182" s="185"/>
      <c r="T182" s="185"/>
      <c r="U182" s="185"/>
      <c r="V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184" t="str">
        <f>IFERROR(__xludf.DUMMYFUNCTION("ifna(IF(and(D183=""Saída"",J183=""Sangria""),if(sum(QUERY(IMPORTRANGE(""https://docs.google.com/spreadsheets/d/1E4szPcLzsqlw4uyBAoJ61L1ChCgpz4wVP8tHfHW1g_c"",""BD M Sangrias!a:i""),""select Col6 where Col7 = 'Depositada' and Col9 = '""&amp;K183&amp;""' and Col6 ="&amp;" ""&amp;M183&amp;"" and Col4 = date '""&amp;YEAR(C183)&amp;""-""&amp;MONTH(C183)&amp;""-""&amp;DAY(C183)&amp;""'""))&gt;0,""Depositada"",if(sum(QUERY(IMPORTRANGE(""https://docs.google.com/spreadsheets/d/1EcLIvUgMoBC5as4ikW0wuQsGH5yVZ6cQ1y16qEfgPnk"",""BD M Sangrias!a:i""),""select Col6 whe"&amp;"re Col7 = 'Caixa Atendimento' and Col9 = '""&amp;K183&amp;""' and Col6 = ""&amp;M183&amp;"" and Col4 = date '""&amp;YEAR(C183)&amp;""-""&amp;MONTH(C183)&amp;""-""&amp;DAY(C183)&amp;""'""))&gt;0,""Caixa Atendimento"",""Caixa Sangria"")),""""),""Caixa Sangria"")"),"")</f>
        <v/>
      </c>
      <c r="M183" s="185" t="str">
        <f>IFERROR(__xludf.DUMMYFUNCTION("ifna(VALUE(REGEXEXTRACT(E183,""[0-9.]+[,]+[0-9]+"")))"),"")</f>
        <v/>
      </c>
      <c r="N183" s="185"/>
      <c r="O183" s="185"/>
      <c r="P183" s="185"/>
      <c r="Q183" s="185"/>
      <c r="R183" s="185"/>
      <c r="S183" s="185"/>
      <c r="T183" s="185"/>
      <c r="U183" s="185"/>
      <c r="V183" s="185"/>
    </row>
    <row r="184" ht="14.25" customHeight="1">
      <c r="A184" s="178"/>
      <c r="B184" s="12"/>
      <c r="C184" s="13"/>
      <c r="D184" s="179"/>
      <c r="E184" s="180"/>
      <c r="F184" s="188"/>
      <c r="G184" s="179"/>
      <c r="H184" s="190"/>
      <c r="I184" s="190"/>
      <c r="J184" s="187"/>
      <c r="K184" s="187"/>
      <c r="L184" s="184" t="str">
        <f>IFERROR(__xludf.DUMMYFUNCTION("ifna(IF(and(D184=""Saída"",J184=""Sangria""),if(sum(QUERY(IMPORTRANGE(""https://docs.google.com/spreadsheets/d/1E4szPcLzsqlw4uyBAoJ61L1ChCgpz4wVP8tHfHW1g_c"",""BD M Sangrias!a:i""),""select Col6 where Col7 = 'Depositada' and Col9 = '""&amp;K184&amp;""' and Col6 ="&amp;" ""&amp;M184&amp;"" and Col4 = date '""&amp;YEAR(C184)&amp;""-""&amp;MONTH(C184)&amp;""-""&amp;DAY(C184)&amp;""'""))&gt;0,""Depositada"",if(sum(QUERY(IMPORTRANGE(""https://docs.google.com/spreadsheets/d/1EcLIvUgMoBC5as4ikW0wuQsGH5yVZ6cQ1y16qEfgPnk"",""BD M Sangrias!a:i""),""select Col6 whe"&amp;"re Col7 = 'Caixa Atendimento' and Col9 = '""&amp;K184&amp;""' and Col6 = ""&amp;M184&amp;"" and Col4 = date '""&amp;YEAR(C184)&amp;""-""&amp;MONTH(C184)&amp;""-""&amp;DAY(C184)&amp;""'""))&gt;0,""Caixa Atendimento"",""Caixa Sangria"")),""""),""Caixa Sangria"")"),"")</f>
        <v/>
      </c>
      <c r="M184" s="185" t="str">
        <f>IFERROR(__xludf.DUMMYFUNCTION("ifna(VALUE(REGEXEXTRACT(E184,""[0-9.]+[,]+[0-9]+"")))"),"")</f>
        <v/>
      </c>
      <c r="N184" s="185"/>
      <c r="O184" s="185"/>
      <c r="P184" s="185"/>
      <c r="Q184" s="185"/>
      <c r="R184" s="185"/>
      <c r="S184" s="185"/>
      <c r="T184" s="185"/>
      <c r="U184" s="185"/>
      <c r="V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184" t="str">
        <f>IFERROR(__xludf.DUMMYFUNCTION("ifna(IF(and(D185=""Saída"",J185=""Sangria""),if(sum(QUERY(IMPORTRANGE(""https://docs.google.com/spreadsheets/d/1E4szPcLzsqlw4uyBAoJ61L1ChCgpz4wVP8tHfHW1g_c"",""BD M Sangrias!a:i""),""select Col6 where Col7 = 'Depositada' and Col9 = '""&amp;K185&amp;""' and Col6 ="&amp;" ""&amp;M185&amp;"" and Col4 = date '""&amp;YEAR(C185)&amp;""-""&amp;MONTH(C185)&amp;""-""&amp;DAY(C185)&amp;""'""))&gt;0,""Depositada"",if(sum(QUERY(IMPORTRANGE(""https://docs.google.com/spreadsheets/d/1EcLIvUgMoBC5as4ikW0wuQsGH5yVZ6cQ1y16qEfgPnk"",""BD M Sangrias!a:i""),""select Col6 whe"&amp;"re Col7 = 'Caixa Atendimento' and Col9 = '""&amp;K185&amp;""' and Col6 = ""&amp;M185&amp;"" and Col4 = date '""&amp;YEAR(C185)&amp;""-""&amp;MONTH(C185)&amp;""-""&amp;DAY(C185)&amp;""'""))&gt;0,""Caixa Atendimento"",""Caixa Sangria"")),""""),""Caixa Sangria"")"),"")</f>
        <v/>
      </c>
      <c r="M185" s="185" t="str">
        <f>IFERROR(__xludf.DUMMYFUNCTION("ifna(VALUE(REGEXEXTRACT(E185,""[0-9.]+[,]+[0-9]+"")))"),"")</f>
        <v/>
      </c>
      <c r="N185" s="185"/>
      <c r="O185" s="185"/>
      <c r="P185" s="185"/>
      <c r="Q185" s="185"/>
      <c r="R185" s="185"/>
      <c r="S185" s="185"/>
      <c r="T185" s="185"/>
      <c r="U185" s="185"/>
      <c r="V185" s="185"/>
    </row>
    <row r="186" ht="14.25" customHeight="1">
      <c r="A186" s="178"/>
      <c r="B186" s="12"/>
      <c r="C186" s="13"/>
      <c r="D186" s="179"/>
      <c r="E186" s="180"/>
      <c r="F186" s="188"/>
      <c r="G186" s="179"/>
      <c r="H186" s="190"/>
      <c r="I186" s="190"/>
      <c r="J186" s="187"/>
      <c r="K186" s="187"/>
      <c r="L186" s="184" t="str">
        <f>IFERROR(__xludf.DUMMYFUNCTION("ifna(IF(and(D186=""Saída"",J186=""Sangria""),if(sum(QUERY(IMPORTRANGE(""https://docs.google.com/spreadsheets/d/1E4szPcLzsqlw4uyBAoJ61L1ChCgpz4wVP8tHfHW1g_c"",""BD M Sangrias!a:i""),""select Col6 where Col7 = 'Depositada' and Col9 = '""&amp;K186&amp;""' and Col6 ="&amp;" ""&amp;M186&amp;"" and Col4 = date '""&amp;YEAR(C186)&amp;""-""&amp;MONTH(C186)&amp;""-""&amp;DAY(C186)&amp;""'""))&gt;0,""Depositada"",if(sum(QUERY(IMPORTRANGE(""https://docs.google.com/spreadsheets/d/1EcLIvUgMoBC5as4ikW0wuQsGH5yVZ6cQ1y16qEfgPnk"",""BD M Sangrias!a:i""),""select Col6 whe"&amp;"re Col7 = 'Caixa Atendimento' and Col9 = '""&amp;K186&amp;""' and Col6 = ""&amp;M186&amp;"" and Col4 = date '""&amp;YEAR(C186)&amp;""-""&amp;MONTH(C186)&amp;""-""&amp;DAY(C186)&amp;""'""))&gt;0,""Caixa Atendimento"",""Caixa Sangria"")),""""),""Caixa Sangria"")"),"")</f>
        <v/>
      </c>
      <c r="M186" s="185" t="str">
        <f>IFERROR(__xludf.DUMMYFUNCTION("ifna(VALUE(REGEXEXTRACT(E186,""[0-9.]+[,]+[0-9]+"")))"),"")</f>
        <v/>
      </c>
      <c r="N186" s="185"/>
      <c r="O186" s="185"/>
      <c r="P186" s="185"/>
      <c r="Q186" s="185"/>
      <c r="R186" s="185"/>
      <c r="S186" s="185"/>
      <c r="T186" s="185"/>
      <c r="U186" s="185"/>
      <c r="V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184" t="str">
        <f>IFERROR(__xludf.DUMMYFUNCTION("ifna(IF(and(D187=""Saída"",J187=""Sangria""),if(sum(QUERY(IMPORTRANGE(""https://docs.google.com/spreadsheets/d/1E4szPcLzsqlw4uyBAoJ61L1ChCgpz4wVP8tHfHW1g_c"",""BD M Sangrias!a:i""),""select Col6 where Col7 = 'Depositada' and Col9 = '""&amp;K187&amp;""' and Col6 ="&amp;" ""&amp;M187&amp;"" and Col4 = date '""&amp;YEAR(C187)&amp;""-""&amp;MONTH(C187)&amp;""-""&amp;DAY(C187)&amp;""'""))&gt;0,""Depositada"",if(sum(QUERY(IMPORTRANGE(""https://docs.google.com/spreadsheets/d/1EcLIvUgMoBC5as4ikW0wuQsGH5yVZ6cQ1y16qEfgPnk"",""BD M Sangrias!a:i""),""select Col6 whe"&amp;"re Col7 = 'Caixa Atendimento' and Col9 = '""&amp;K187&amp;""' and Col6 = ""&amp;M187&amp;"" and Col4 = date '""&amp;YEAR(C187)&amp;""-""&amp;MONTH(C187)&amp;""-""&amp;DAY(C187)&amp;""'""))&gt;0,""Caixa Atendimento"",""Caixa Sangria"")),""""),""Caixa Sangria"")"),"")</f>
        <v/>
      </c>
      <c r="M187" s="185" t="str">
        <f>IFERROR(__xludf.DUMMYFUNCTION("ifna(VALUE(REGEXEXTRACT(E187,""[0-9.]+[,]+[0-9]+"")))"),"")</f>
        <v/>
      </c>
      <c r="N187" s="185"/>
      <c r="O187" s="185"/>
      <c r="P187" s="185"/>
      <c r="Q187" s="185"/>
      <c r="R187" s="185"/>
      <c r="S187" s="185"/>
      <c r="T187" s="185"/>
      <c r="U187" s="185"/>
      <c r="V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184" t="str">
        <f>IFERROR(__xludf.DUMMYFUNCTION("ifna(IF(and(D188=""Saída"",J188=""Sangria""),if(sum(QUERY(IMPORTRANGE(""https://docs.google.com/spreadsheets/d/1E4szPcLzsqlw4uyBAoJ61L1ChCgpz4wVP8tHfHW1g_c"",""BD M Sangrias!a:i""),""select Col6 where Col7 = 'Depositada' and Col9 = '""&amp;K188&amp;""' and Col6 ="&amp;" ""&amp;M188&amp;"" and Col4 = date '""&amp;YEAR(C188)&amp;""-""&amp;MONTH(C188)&amp;""-""&amp;DAY(C188)&amp;""'""))&gt;0,""Depositada"",if(sum(QUERY(IMPORTRANGE(""https://docs.google.com/spreadsheets/d/1EcLIvUgMoBC5as4ikW0wuQsGH5yVZ6cQ1y16qEfgPnk"",""BD M Sangrias!a:i""),""select Col6 whe"&amp;"re Col7 = 'Caixa Atendimento' and Col9 = '""&amp;K188&amp;""' and Col6 = ""&amp;M188&amp;"" and Col4 = date '""&amp;YEAR(C188)&amp;""-""&amp;MONTH(C188)&amp;""-""&amp;DAY(C188)&amp;""'""))&gt;0,""Caixa Atendimento"",""Caixa Sangria"")),""""),""Caixa Sangria"")"),"")</f>
        <v/>
      </c>
      <c r="M188" s="185" t="str">
        <f>IFERROR(__xludf.DUMMYFUNCTION("ifna(VALUE(REGEXEXTRACT(E188,""[0-9.]+[,]+[0-9]+"")))"),"")</f>
        <v/>
      </c>
      <c r="N188" s="185"/>
      <c r="O188" s="185"/>
      <c r="P188" s="185"/>
      <c r="Q188" s="185"/>
      <c r="R188" s="185"/>
      <c r="S188" s="185"/>
      <c r="T188" s="185"/>
      <c r="U188" s="185"/>
      <c r="V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184" t="str">
        <f>IFERROR(__xludf.DUMMYFUNCTION("ifna(IF(and(D189=""Saída"",J189=""Sangria""),if(sum(QUERY(IMPORTRANGE(""https://docs.google.com/spreadsheets/d/1E4szPcLzsqlw4uyBAoJ61L1ChCgpz4wVP8tHfHW1g_c"",""BD M Sangrias!a:i""),""select Col6 where Col7 = 'Depositada' and Col9 = '""&amp;K189&amp;""' and Col6 ="&amp;" ""&amp;M189&amp;"" and Col4 = date '""&amp;YEAR(C189)&amp;""-""&amp;MONTH(C189)&amp;""-""&amp;DAY(C189)&amp;""'""))&gt;0,""Depositada"",if(sum(QUERY(IMPORTRANGE(""https://docs.google.com/spreadsheets/d/1EcLIvUgMoBC5as4ikW0wuQsGH5yVZ6cQ1y16qEfgPnk"",""BD M Sangrias!a:i""),""select Col6 whe"&amp;"re Col7 = 'Caixa Atendimento' and Col9 = '""&amp;K189&amp;""' and Col6 = ""&amp;M189&amp;"" and Col4 = date '""&amp;YEAR(C189)&amp;""-""&amp;MONTH(C189)&amp;""-""&amp;DAY(C189)&amp;""'""))&gt;0,""Caixa Atendimento"",""Caixa Sangria"")),""""),""Caixa Sangria"")"),"")</f>
        <v/>
      </c>
      <c r="M189" s="185" t="str">
        <f>IFERROR(__xludf.DUMMYFUNCTION("ifna(VALUE(REGEXEXTRACT(E189,""[0-9.]+[,]+[0-9]+"")))"),"")</f>
        <v/>
      </c>
      <c r="N189" s="185"/>
      <c r="O189" s="185"/>
      <c r="P189" s="185"/>
      <c r="Q189" s="185"/>
      <c r="R189" s="185"/>
      <c r="S189" s="185"/>
      <c r="T189" s="185"/>
      <c r="U189" s="185"/>
      <c r="V189" s="185"/>
    </row>
    <row r="190" ht="14.25" customHeight="1">
      <c r="A190" s="178"/>
      <c r="B190" s="12"/>
      <c r="C190" s="13"/>
      <c r="D190" s="179"/>
      <c r="E190" s="180"/>
      <c r="F190" s="181"/>
      <c r="G190" s="179"/>
      <c r="H190" s="190"/>
      <c r="I190" s="190"/>
      <c r="J190" s="187"/>
      <c r="K190" s="187"/>
      <c r="L190" s="184" t="str">
        <f>IFERROR(__xludf.DUMMYFUNCTION("ifna(IF(and(D190=""Saída"",J190=""Sangria""),if(sum(QUERY(IMPORTRANGE(""https://docs.google.com/spreadsheets/d/1E4szPcLzsqlw4uyBAoJ61L1ChCgpz4wVP8tHfHW1g_c"",""BD M Sangrias!a:i""),""select Col6 where Col7 = 'Depositada' and Col9 = '""&amp;K190&amp;""' and Col6 ="&amp;" ""&amp;M190&amp;"" and Col4 = date '""&amp;YEAR(C190)&amp;""-""&amp;MONTH(C190)&amp;""-""&amp;DAY(C190)&amp;""'""))&gt;0,""Depositada"",if(sum(QUERY(IMPORTRANGE(""https://docs.google.com/spreadsheets/d/1EcLIvUgMoBC5as4ikW0wuQsGH5yVZ6cQ1y16qEfgPnk"",""BD M Sangrias!a:i""),""select Col6 whe"&amp;"re Col7 = 'Caixa Atendimento' and Col9 = '""&amp;K190&amp;""' and Col6 = ""&amp;M190&amp;"" and Col4 = date '""&amp;YEAR(C190)&amp;""-""&amp;MONTH(C190)&amp;""-""&amp;DAY(C190)&amp;""'""))&gt;0,""Caixa Atendimento"",""Caixa Sangria"")),""""),""Caixa Sangria"")"),"")</f>
        <v/>
      </c>
      <c r="M190" s="185" t="str">
        <f>IFERROR(__xludf.DUMMYFUNCTION("ifna(VALUE(REGEXEXTRACT(E190,""[0-9.]+[,]+[0-9]+"")))"),"")</f>
        <v/>
      </c>
      <c r="N190" s="185"/>
      <c r="O190" s="185"/>
      <c r="P190" s="185"/>
      <c r="Q190" s="185"/>
      <c r="R190" s="185"/>
      <c r="S190" s="185"/>
      <c r="T190" s="185"/>
      <c r="U190" s="185"/>
      <c r="V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233"/>
      <c r="K191" s="187"/>
      <c r="L191" s="184" t="str">
        <f>IFERROR(__xludf.DUMMYFUNCTION("ifna(IF(and(D191=""Saída"",J191=""Sangria""),if(sum(QUERY(IMPORTRANGE(""https://docs.google.com/spreadsheets/d/1E4szPcLzsqlw4uyBAoJ61L1ChCgpz4wVP8tHfHW1g_c"",""BD M Sangrias!a:i""),""select Col6 where Col7 = 'Depositada' and Col9 = '""&amp;K191&amp;""' and Col6 ="&amp;" ""&amp;M191&amp;"" and Col4 = date '""&amp;YEAR(C191)&amp;""-""&amp;MONTH(C191)&amp;""-""&amp;DAY(C191)&amp;""'""))&gt;0,""Depositada"",if(sum(QUERY(IMPORTRANGE(""https://docs.google.com/spreadsheets/d/1EcLIvUgMoBC5as4ikW0wuQsGH5yVZ6cQ1y16qEfgPnk"",""BD M Sangrias!a:i""),""select Col6 whe"&amp;"re Col7 = 'Caixa Atendimento' and Col9 = '""&amp;K191&amp;""' and Col6 = ""&amp;M191&amp;"" and Col4 = date '""&amp;YEAR(C191)&amp;""-""&amp;MONTH(C191)&amp;""-""&amp;DAY(C191)&amp;""'""))&gt;0,""Caixa Atendimento"",""Caixa Sangria"")),""""),""Caixa Sangria"")"),"")</f>
        <v/>
      </c>
      <c r="M191" s="185" t="str">
        <f>IFERROR(__xludf.DUMMYFUNCTION("ifna(VALUE(REGEXEXTRACT(E191,""[0-9.]+[,]+[0-9]+"")))"),"")</f>
        <v/>
      </c>
      <c r="N191" s="185"/>
      <c r="O191" s="185"/>
      <c r="P191" s="185"/>
      <c r="Q191" s="185"/>
      <c r="R191" s="185"/>
      <c r="S191" s="185"/>
      <c r="T191" s="185"/>
      <c r="U191" s="185"/>
      <c r="V191" s="185"/>
    </row>
    <row r="192" ht="14.25" customHeight="1">
      <c r="A192" s="178"/>
      <c r="B192" s="12"/>
      <c r="C192" s="13"/>
      <c r="D192" s="179"/>
      <c r="E192" s="180"/>
      <c r="F192" s="188"/>
      <c r="G192" s="179"/>
      <c r="H192" s="190"/>
      <c r="I192" s="190"/>
      <c r="J192" s="187"/>
      <c r="K192" s="187"/>
      <c r="L192" s="184" t="str">
        <f>IFERROR(__xludf.DUMMYFUNCTION("ifna(IF(and(D192=""Saída"",J192=""Sangria""),if(sum(QUERY(IMPORTRANGE(""https://docs.google.com/spreadsheets/d/1E4szPcLzsqlw4uyBAoJ61L1ChCgpz4wVP8tHfHW1g_c"",""BD M Sangrias!a:i""),""select Col6 where Col7 = 'Depositada' and Col9 = '""&amp;K192&amp;""' and Col6 ="&amp;" ""&amp;M192&amp;"" and Col4 = date '""&amp;YEAR(C192)&amp;""-""&amp;MONTH(C192)&amp;""-""&amp;DAY(C192)&amp;""'""))&gt;0,""Depositada"",if(sum(QUERY(IMPORTRANGE(""https://docs.google.com/spreadsheets/d/1EcLIvUgMoBC5as4ikW0wuQsGH5yVZ6cQ1y16qEfgPnk"",""BD M Sangrias!a:i""),""select Col6 whe"&amp;"re Col7 = 'Caixa Atendimento' and Col9 = '""&amp;K192&amp;""' and Col6 = ""&amp;M192&amp;"" and Col4 = date '""&amp;YEAR(C192)&amp;""-""&amp;MONTH(C192)&amp;""-""&amp;DAY(C192)&amp;""'""))&gt;0,""Caixa Atendimento"",""Caixa Sangria"")),""""),""Caixa Sangria"")"),"")</f>
        <v/>
      </c>
      <c r="M192" s="185" t="str">
        <f>IFERROR(__xludf.DUMMYFUNCTION("ifna(VALUE(REGEXEXTRACT(E192,""[0-9.]+[,]+[0-9]+"")))"),"")</f>
        <v/>
      </c>
      <c r="N192" s="185"/>
      <c r="O192" s="185"/>
      <c r="P192" s="185"/>
      <c r="Q192" s="185"/>
      <c r="R192" s="185"/>
      <c r="S192" s="185"/>
      <c r="T192" s="185"/>
      <c r="U192" s="185"/>
      <c r="V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184" t="str">
        <f>IFERROR(__xludf.DUMMYFUNCTION("ifna(IF(and(D193=""Saída"",J193=""Sangria""),if(sum(QUERY(IMPORTRANGE(""https://docs.google.com/spreadsheets/d/1E4szPcLzsqlw4uyBAoJ61L1ChCgpz4wVP8tHfHW1g_c"",""BD M Sangrias!a:i""),""select Col6 where Col7 = 'Depositada' and Col9 = '""&amp;K193&amp;""' and Col6 ="&amp;" ""&amp;M193&amp;"" and Col4 = date '""&amp;YEAR(C193)&amp;""-""&amp;MONTH(C193)&amp;""-""&amp;DAY(C193)&amp;""'""))&gt;0,""Depositada"",if(sum(QUERY(IMPORTRANGE(""https://docs.google.com/spreadsheets/d/1EcLIvUgMoBC5as4ikW0wuQsGH5yVZ6cQ1y16qEfgPnk"",""BD M Sangrias!a:i""),""select Col6 whe"&amp;"re Col7 = 'Caixa Atendimento' and Col9 = '""&amp;K193&amp;""' and Col6 = ""&amp;M193&amp;"" and Col4 = date '""&amp;YEAR(C193)&amp;""-""&amp;MONTH(C193)&amp;""-""&amp;DAY(C193)&amp;""'""))&gt;0,""Caixa Atendimento"",""Caixa Sangria"")),""""),""Caixa Sangria"")"),"")</f>
        <v/>
      </c>
      <c r="M193" s="185" t="str">
        <f>IFERROR(__xludf.DUMMYFUNCTION("ifna(VALUE(REGEXEXTRACT(E193,""[0-9.]+[,]+[0-9]+"")))"),"")</f>
        <v/>
      </c>
      <c r="N193" s="185"/>
      <c r="O193" s="185"/>
      <c r="P193" s="185"/>
      <c r="Q193" s="185"/>
      <c r="R193" s="185"/>
      <c r="S193" s="185"/>
      <c r="T193" s="185"/>
      <c r="U193" s="185"/>
      <c r="V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184" t="str">
        <f>IFERROR(__xludf.DUMMYFUNCTION("ifna(IF(and(D194=""Saída"",J194=""Sangria""),if(sum(QUERY(IMPORTRANGE(""https://docs.google.com/spreadsheets/d/1E4szPcLzsqlw4uyBAoJ61L1ChCgpz4wVP8tHfHW1g_c"",""BD M Sangrias!a:i""),""select Col6 where Col7 = 'Depositada' and Col9 = '""&amp;K194&amp;""' and Col6 ="&amp;" ""&amp;M194&amp;"" and Col4 = date '""&amp;YEAR(C194)&amp;""-""&amp;MONTH(C194)&amp;""-""&amp;DAY(C194)&amp;""'""))&gt;0,""Depositada"",if(sum(QUERY(IMPORTRANGE(""https://docs.google.com/spreadsheets/d/1EcLIvUgMoBC5as4ikW0wuQsGH5yVZ6cQ1y16qEfgPnk"",""BD M Sangrias!a:i""),""select Col6 whe"&amp;"re Col7 = 'Caixa Atendimento' and Col9 = '""&amp;K194&amp;""' and Col6 = ""&amp;M194&amp;"" and Col4 = date '""&amp;YEAR(C194)&amp;""-""&amp;MONTH(C194)&amp;""-""&amp;DAY(C194)&amp;""'""))&gt;0,""Caixa Atendimento"",""Caixa Sangria"")),""""),""Caixa Sangria"")"),"")</f>
        <v/>
      </c>
      <c r="M194" s="185" t="str">
        <f>IFERROR(__xludf.DUMMYFUNCTION("ifna(VALUE(REGEXEXTRACT(E194,""[0-9.]+[,]+[0-9]+"")))"),"")</f>
        <v/>
      </c>
      <c r="N194" s="185"/>
      <c r="O194" s="185"/>
      <c r="P194" s="185"/>
      <c r="Q194" s="185"/>
      <c r="R194" s="185"/>
      <c r="S194" s="185"/>
      <c r="T194" s="185"/>
      <c r="U194" s="185"/>
      <c r="V194" s="185"/>
    </row>
    <row r="195" ht="14.25" customHeight="1">
      <c r="A195" s="178"/>
      <c r="B195" s="12"/>
      <c r="C195" s="13"/>
      <c r="D195" s="179"/>
      <c r="E195" s="180"/>
      <c r="F195" s="188"/>
      <c r="G195" s="179"/>
      <c r="H195" s="190"/>
      <c r="I195" s="190"/>
      <c r="J195" s="187"/>
      <c r="K195" s="187"/>
      <c r="L195" s="184" t="str">
        <f>IFERROR(__xludf.DUMMYFUNCTION("ifna(IF(and(D195=""Saída"",J195=""Sangria""),if(sum(QUERY(IMPORTRANGE(""https://docs.google.com/spreadsheets/d/1E4szPcLzsqlw4uyBAoJ61L1ChCgpz4wVP8tHfHW1g_c"",""BD M Sangrias!a:i""),""select Col6 where Col7 = 'Depositada' and Col9 = '""&amp;K195&amp;""' and Col6 ="&amp;" ""&amp;M195&amp;"" and Col4 = date '""&amp;YEAR(C195)&amp;""-""&amp;MONTH(C195)&amp;""-""&amp;DAY(C195)&amp;""'""))&gt;0,""Depositada"",if(sum(QUERY(IMPORTRANGE(""https://docs.google.com/spreadsheets/d/1EcLIvUgMoBC5as4ikW0wuQsGH5yVZ6cQ1y16qEfgPnk"",""BD M Sangrias!a:i""),""select Col6 whe"&amp;"re Col7 = 'Caixa Atendimento' and Col9 = '""&amp;K195&amp;""' and Col6 = ""&amp;M195&amp;"" and Col4 = date '""&amp;YEAR(C195)&amp;""-""&amp;MONTH(C195)&amp;""-""&amp;DAY(C195)&amp;""'""))&gt;0,""Caixa Atendimento"",""Caixa Sangria"")),""""),""Caixa Sangria"")"),"")</f>
        <v/>
      </c>
      <c r="M195" s="185" t="str">
        <f>IFERROR(__xludf.DUMMYFUNCTION("ifna(VALUE(REGEXEXTRACT(E195,""[0-9.]+[,]+[0-9]+"")))"),"")</f>
        <v/>
      </c>
      <c r="N195" s="185"/>
      <c r="O195" s="185"/>
      <c r="P195" s="185"/>
      <c r="Q195" s="185"/>
      <c r="R195" s="185"/>
      <c r="S195" s="185"/>
      <c r="T195" s="185"/>
      <c r="U195" s="185"/>
      <c r="V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K196" s="187"/>
      <c r="L196" s="184" t="str">
        <f>IFERROR(__xludf.DUMMYFUNCTION("ifna(IF(and(D196=""Saída"",J197=""Sangria""),if(sum(QUERY(IMPORTRANGE(""https://docs.google.com/spreadsheets/d/1E4szPcLzsqlw4uyBAoJ61L1ChCgpz4wVP8tHfHW1g_c"",""BD M Sangrias!a:i""),""select Col6 where Col7 = 'Depositada' and Col9 = '""&amp;K196&amp;""' and Col6 ="&amp;" ""&amp;M196&amp;"" and Col4 = date '""&amp;YEAR(C196)&amp;""-""&amp;MONTH(C196)&amp;""-""&amp;DAY(C196)&amp;""'""))&gt;0,""Depositada"",if(sum(QUERY(IMPORTRANGE(""https://docs.google.com/spreadsheets/d/1EcLIvUgMoBC5as4ikW0wuQsGH5yVZ6cQ1y16qEfgPnk"",""BD M Sangrias!a:i""),""select Col6 whe"&amp;"re Col7 = 'Caixa Atendimento' and Col9 = '""&amp;K196&amp;""' and Col6 = ""&amp;M196&amp;"" and Col4 = date '""&amp;YEAR(C196)&amp;""-""&amp;MONTH(C196)&amp;""-""&amp;DAY(C196)&amp;""'""))&gt;0,""Caixa Atendimento"",""Caixa Sangria"")),""""),""Caixa Sangria"")"),"")</f>
        <v/>
      </c>
      <c r="M196" s="185" t="str">
        <f>IFERROR(__xludf.DUMMYFUNCTION("ifna(VALUE(REGEXEXTRACT(E196,""[0-9.]+[,]+[0-9]+"")))"),"")</f>
        <v/>
      </c>
      <c r="N196" s="185"/>
      <c r="O196" s="185"/>
      <c r="P196" s="185"/>
      <c r="Q196" s="185"/>
      <c r="R196" s="185"/>
      <c r="S196" s="185"/>
      <c r="T196" s="185"/>
      <c r="U196" s="185"/>
      <c r="V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184" t="str">
        <f>IFERROR(__xludf.DUMMYFUNCTION("ifna(IF(and(D197=""Saída"",J198=""Sangria""),if(sum(QUERY(IMPORTRANGE(""https://docs.google.com/spreadsheets/d/1E4szPcLzsqlw4uyBAoJ61L1ChCgpz4wVP8tHfHW1g_c"",""BD M Sangrias!a:i""),""select Col6 where Col7 = 'Depositada' and Col9 = '""&amp;K197&amp;""' and Col6 ="&amp;" ""&amp;M197&amp;"" and Col4 = date '""&amp;YEAR(C197)&amp;""-""&amp;MONTH(C197)&amp;""-""&amp;DAY(C197)&amp;""'""))&gt;0,""Depositada"",if(sum(QUERY(IMPORTRANGE(""https://docs.google.com/spreadsheets/d/1EcLIvUgMoBC5as4ikW0wuQsGH5yVZ6cQ1y16qEfgPnk"",""BD M Sangrias!a:i""),""select Col6 whe"&amp;"re Col7 = 'Caixa Atendimento' and Col9 = '""&amp;K197&amp;""' and Col6 = ""&amp;M197&amp;"" and Col4 = date '""&amp;YEAR(C197)&amp;""-""&amp;MONTH(C197)&amp;""-""&amp;DAY(C197)&amp;""'""))&gt;0,""Caixa Atendimento"",""Caixa Sangria"")),""""),""Caixa Sangria"")"),"")</f>
        <v/>
      </c>
      <c r="M197" s="185" t="str">
        <f>IFERROR(__xludf.DUMMYFUNCTION("ifna(VALUE(REGEXEXTRACT(E197,""[0-9.]+[,]+[0-9]+"")))"),"")</f>
        <v/>
      </c>
      <c r="N197" s="185"/>
      <c r="O197" s="185"/>
      <c r="P197" s="185"/>
      <c r="Q197" s="185"/>
      <c r="R197" s="185"/>
      <c r="S197" s="185"/>
      <c r="T197" s="185"/>
      <c r="U197" s="185"/>
      <c r="V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184"/>
      <c r="M198" s="185" t="str">
        <f>IFERROR(__xludf.DUMMYFUNCTION("ifna(VALUE(REGEXEXTRACT(E198,""[0-9.]+[,]+[0-9]+"")))"),"")</f>
        <v/>
      </c>
      <c r="N198" s="185"/>
      <c r="O198" s="185"/>
      <c r="P198" s="185"/>
      <c r="Q198" s="185"/>
      <c r="R198" s="185"/>
      <c r="S198" s="185"/>
      <c r="T198" s="185"/>
      <c r="U198" s="185"/>
      <c r="V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184" t="str">
        <f>IFERROR(__xludf.DUMMYFUNCTION("ifna(IF(and(D199=""Saída"",J199=""Sangria""),if(sum(QUERY(IMPORTRANGE(""https://docs.google.com/spreadsheets/d/1E4szPcLzsqlw4uyBAoJ61L1ChCgpz4wVP8tHfHW1g_c"",""BD M Sangrias!a:i""),""select Col6 where Col7 = 'Depositada' and Col9 = '""&amp;K199&amp;""' and Col6 ="&amp;" ""&amp;M199&amp;"" and Col4 = date '""&amp;YEAR(C199)&amp;""-""&amp;MONTH(C199)&amp;""-""&amp;DAY(C199)&amp;""'""))&gt;0,""Depositada"",if(sum(QUERY(IMPORTRANGE(""https://docs.google.com/spreadsheets/d/1EcLIvUgMoBC5as4ikW0wuQsGH5yVZ6cQ1y16qEfgPnk"",""BD M Sangrias!a:i""),""select Col6 whe"&amp;"re Col7 = 'Caixa Atendimento' and Col9 = '""&amp;K199&amp;""' and Col6 = ""&amp;M199&amp;"" and Col4 = date '""&amp;YEAR(C199)&amp;""-""&amp;MONTH(C199)&amp;""-""&amp;DAY(C199)&amp;""'""))&gt;0,""Caixa Atendimento"",""Caixa Sangria"")),""""),""Caixa Sangria"")"),"")</f>
        <v/>
      </c>
      <c r="M199" s="185" t="str">
        <f>IFERROR(__xludf.DUMMYFUNCTION("ifna(VALUE(REGEXEXTRACT(E199,""[0-9.]+[,]+[0-9]+"")))"),"")</f>
        <v/>
      </c>
      <c r="N199" s="185"/>
      <c r="O199" s="185"/>
      <c r="P199" s="185"/>
      <c r="Q199" s="185"/>
      <c r="R199" s="185"/>
      <c r="S199" s="185"/>
      <c r="T199" s="185"/>
      <c r="U199" s="185"/>
      <c r="V199" s="185"/>
    </row>
    <row r="200" ht="14.25" customHeight="1">
      <c r="A200" s="178"/>
      <c r="B200" s="12"/>
      <c r="C200" s="13"/>
      <c r="D200" s="179"/>
      <c r="E200" s="180"/>
      <c r="F200" s="181"/>
      <c r="G200" s="179"/>
      <c r="H200" s="190"/>
      <c r="I200" s="190"/>
      <c r="J200" s="187"/>
      <c r="K200" s="187"/>
      <c r="L200" s="184" t="str">
        <f>IFERROR(__xludf.DUMMYFUNCTION("ifna(IF(and(D200=""Saída"",J200=""Sangria""),if(sum(QUERY(IMPORTRANGE(""https://docs.google.com/spreadsheets/d/1E4szPcLzsqlw4uyBAoJ61L1ChCgpz4wVP8tHfHW1g_c"",""BD M Sangrias!a:i""),""select Col6 where Col7 = 'Depositada' and Col9 = '""&amp;K200&amp;""' and Col6 ="&amp;" ""&amp;M200&amp;"" and Col4 = date '""&amp;YEAR(C200)&amp;""-""&amp;MONTH(C200)&amp;""-""&amp;DAY(C200)&amp;""'""))&gt;0,""Depositada"",if(sum(QUERY(IMPORTRANGE(""https://docs.google.com/spreadsheets/d/1EcLIvUgMoBC5as4ikW0wuQsGH5yVZ6cQ1y16qEfgPnk"",""BD M Sangrias!a:i""),""select Col6 whe"&amp;"re Col7 = 'Caixa Atendimento' and Col9 = '""&amp;K200&amp;""' and Col6 = ""&amp;M200&amp;"" and Col4 = date '""&amp;YEAR(C200)&amp;""-""&amp;MONTH(C200)&amp;""-""&amp;DAY(C200)&amp;""'""))&gt;0,""Caixa Atendimento"",""Caixa Sangria"")),""""),""Caixa Sangria"")"),"")</f>
        <v/>
      </c>
      <c r="M200" s="185" t="str">
        <f>IFERROR(__xludf.DUMMYFUNCTION("ifna(VALUE(REGEXEXTRACT(E200,""[0-9.]+[,]+[0-9]+"")))"),"")</f>
        <v/>
      </c>
      <c r="N200" s="185"/>
      <c r="O200" s="185"/>
      <c r="P200" s="185"/>
      <c r="Q200" s="185"/>
      <c r="R200" s="185"/>
      <c r="S200" s="185"/>
      <c r="T200" s="185"/>
      <c r="U200" s="185"/>
      <c r="V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184" t="str">
        <f>IFERROR(__xludf.DUMMYFUNCTION("ifna(IF(and(D201=""Saída"",J201=""Sangria""),if(sum(QUERY(IMPORTRANGE(""https://docs.google.com/spreadsheets/d/1E4szPcLzsqlw4uyBAoJ61L1ChCgpz4wVP8tHfHW1g_c"",""BD M Sangrias!a:i""),""select Col6 where Col7 = 'Depositada' and Col9 = '""&amp;K201&amp;""' and Col6 ="&amp;" ""&amp;M201&amp;"" and Col4 = date '""&amp;YEAR(C201)&amp;""-""&amp;MONTH(C201)&amp;""-""&amp;DAY(C201)&amp;""'""))&gt;0,""Depositada"",if(sum(QUERY(IMPORTRANGE(""https://docs.google.com/spreadsheets/d/1EcLIvUgMoBC5as4ikW0wuQsGH5yVZ6cQ1y16qEfgPnk"",""BD M Sangrias!a:i""),""select Col6 whe"&amp;"re Col7 = 'Caixa Atendimento' and Col9 = '""&amp;K201&amp;""' and Col6 = ""&amp;M201&amp;"" and Col4 = date '""&amp;YEAR(C201)&amp;""-""&amp;MONTH(C201)&amp;""-""&amp;DAY(C201)&amp;""'""))&gt;0,""Caixa Atendimento"",""Caixa Sangria"")),""""),""Caixa Sangria"")"),"")</f>
        <v/>
      </c>
      <c r="M201" s="185" t="str">
        <f>IFERROR(__xludf.DUMMYFUNCTION("ifna(VALUE(REGEXEXTRACT(E201,""[0-9.]+[,]+[0-9]+"")))"),"")</f>
        <v/>
      </c>
      <c r="N201" s="185"/>
      <c r="O201" s="185"/>
      <c r="P201" s="185"/>
      <c r="Q201" s="185"/>
      <c r="R201" s="185"/>
      <c r="S201" s="185"/>
      <c r="T201" s="185"/>
      <c r="U201" s="185"/>
      <c r="V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184" t="str">
        <f>IFERROR(__xludf.DUMMYFUNCTION("ifna(IF(and(D202=""Saída"",J202=""Sangria""),if(sum(QUERY(IMPORTRANGE(""https://docs.google.com/spreadsheets/d/1E4szPcLzsqlw4uyBAoJ61L1ChCgpz4wVP8tHfHW1g_c"",""BD M Sangrias!a:i""),""select Col6 where Col7 = 'Depositada' and Col9 = '""&amp;K202&amp;""' and Col6 ="&amp;" ""&amp;M202&amp;"" and Col4 = date '""&amp;YEAR(C202)&amp;""-""&amp;MONTH(C202)&amp;""-""&amp;DAY(C202)&amp;""'""))&gt;0,""Depositada"",if(sum(QUERY(IMPORTRANGE(""https://docs.google.com/spreadsheets/d/1EcLIvUgMoBC5as4ikW0wuQsGH5yVZ6cQ1y16qEfgPnk"",""BD M Sangrias!a:i""),""select Col6 whe"&amp;"re Col7 = 'Caixa Atendimento' and Col9 = '""&amp;K202&amp;""' and Col6 = ""&amp;M202&amp;"" and Col4 = date '""&amp;YEAR(C202)&amp;""-""&amp;MONTH(C202)&amp;""-""&amp;DAY(C202)&amp;""'""))&gt;0,""Caixa Atendimento"",""Caixa Sangria"")),""""),""Caixa Sangria"")"),"")</f>
        <v/>
      </c>
      <c r="M202" s="185" t="str">
        <f>IFERROR(__xludf.DUMMYFUNCTION("ifna(VALUE(REGEXEXTRACT(E202,""[0-9.]+[,]+[0-9]+"")))"),"")</f>
        <v/>
      </c>
      <c r="N202" s="185"/>
      <c r="O202" s="185"/>
      <c r="P202" s="185"/>
      <c r="Q202" s="185"/>
      <c r="R202" s="185"/>
      <c r="S202" s="185"/>
      <c r="T202" s="185"/>
      <c r="U202" s="185"/>
      <c r="V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184" t="str">
        <f>IFERROR(__xludf.DUMMYFUNCTION("ifna(IF(and(D203=""Saída"",J203=""Sangria""),if(sum(QUERY(IMPORTRANGE(""https://docs.google.com/spreadsheets/d/1E4szPcLzsqlw4uyBAoJ61L1ChCgpz4wVP8tHfHW1g_c"",""BD M Sangrias!a:i""),""select Col6 where Col7 = 'Depositada' and Col9 = '""&amp;K203&amp;""' and Col6 ="&amp;" ""&amp;M203&amp;"" and Col4 = date '""&amp;YEAR(C203)&amp;""-""&amp;MONTH(C203)&amp;""-""&amp;DAY(C203)&amp;""'""))&gt;0,""Depositada"",if(sum(QUERY(IMPORTRANGE(""https://docs.google.com/spreadsheets/d/1EcLIvUgMoBC5as4ikW0wuQsGH5yVZ6cQ1y16qEfgPnk"",""BD M Sangrias!a:i""),""select Col6 whe"&amp;"re Col7 = 'Caixa Atendimento' and Col9 = '""&amp;K203&amp;""' and Col6 = ""&amp;M203&amp;"" and Col4 = date '""&amp;YEAR(C203)&amp;""-""&amp;MONTH(C203)&amp;""-""&amp;DAY(C203)&amp;""'""))&gt;0,""Caixa Atendimento"",""Caixa Sangria"")),""""),""Caixa Sangria"")"),"")</f>
        <v/>
      </c>
      <c r="M203" s="185" t="str">
        <f>IFERROR(__xludf.DUMMYFUNCTION("ifna(VALUE(REGEXEXTRACT(E203,""[0-9.]+[,]+[0-9]+"")))"),"")</f>
        <v/>
      </c>
      <c r="N203" s="185"/>
      <c r="O203" s="185"/>
      <c r="P203" s="185"/>
      <c r="Q203" s="185"/>
      <c r="R203" s="185"/>
      <c r="S203" s="185"/>
      <c r="T203" s="185"/>
      <c r="U203" s="185"/>
      <c r="V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184" t="str">
        <f>IFERROR(__xludf.DUMMYFUNCTION("ifna(IF(and(D204=""Saída"",J204=""Sangria""),if(sum(QUERY(IMPORTRANGE(""https://docs.google.com/spreadsheets/d/1E4szPcLzsqlw4uyBAoJ61L1ChCgpz4wVP8tHfHW1g_c"",""BD M Sangrias!a:i""),""select Col6 where Col7 = 'Depositada' and Col9 = '""&amp;K204&amp;""' and Col6 ="&amp;" ""&amp;M204&amp;"" and Col4 = date '""&amp;YEAR(C204)&amp;""-""&amp;MONTH(C204)&amp;""-""&amp;DAY(C204)&amp;""'""))&gt;0,""Depositada"",if(sum(QUERY(IMPORTRANGE(""https://docs.google.com/spreadsheets/d/1EcLIvUgMoBC5as4ikW0wuQsGH5yVZ6cQ1y16qEfgPnk"",""BD M Sangrias!a:i""),""select Col6 whe"&amp;"re Col7 = 'Caixa Atendimento' and Col9 = '""&amp;K204&amp;""' and Col6 = ""&amp;M204&amp;"" and Col4 = date '""&amp;YEAR(C204)&amp;""-""&amp;MONTH(C204)&amp;""-""&amp;DAY(C204)&amp;""'""))&gt;0,""Caixa Atendimento"",""Caixa Sangria"")),""""),""Caixa Sangria"")"),"")</f>
        <v/>
      </c>
      <c r="M204" s="185" t="str">
        <f>IFERROR(__xludf.DUMMYFUNCTION("ifna(VALUE(REGEXEXTRACT(E204,""[0-9.]+[,]+[0-9]+"")))"),"")</f>
        <v/>
      </c>
      <c r="N204" s="185"/>
      <c r="O204" s="185"/>
      <c r="P204" s="185"/>
      <c r="Q204" s="185"/>
      <c r="R204" s="185"/>
      <c r="S204" s="185"/>
      <c r="T204" s="185"/>
      <c r="U204" s="185"/>
      <c r="V204" s="185"/>
    </row>
    <row r="205" ht="14.25" customHeight="1">
      <c r="A205" s="178"/>
      <c r="B205" s="12"/>
      <c r="C205" s="13"/>
      <c r="D205" s="179"/>
      <c r="E205" s="180"/>
      <c r="F205" s="188"/>
      <c r="G205" s="179"/>
      <c r="H205" s="190"/>
      <c r="I205" s="190"/>
      <c r="J205" s="187"/>
      <c r="K205" s="187"/>
      <c r="L205" s="184" t="str">
        <f>IFERROR(__xludf.DUMMYFUNCTION("ifna(IF(and(D205=""Saída"",J205=""Sangria""),if(sum(QUERY(IMPORTRANGE(""https://docs.google.com/spreadsheets/d/1E4szPcLzsqlw4uyBAoJ61L1ChCgpz4wVP8tHfHW1g_c"",""BD M Sangrias!a:i""),""select Col6 where Col7 = 'Depositada' and Col9 = '""&amp;K205&amp;""' and Col6 ="&amp;" ""&amp;M205&amp;"" and Col4 = date '""&amp;YEAR(C205)&amp;""-""&amp;MONTH(C205)&amp;""-""&amp;DAY(C205)&amp;""'""))&gt;0,""Depositada"",if(sum(QUERY(IMPORTRANGE(""https://docs.google.com/spreadsheets/d/1EcLIvUgMoBC5as4ikW0wuQsGH5yVZ6cQ1y16qEfgPnk"",""BD M Sangrias!a:i""),""select Col6 whe"&amp;"re Col7 = 'Caixa Atendimento' and Col9 = '""&amp;K205&amp;""' and Col6 = ""&amp;M205&amp;"" and Col4 = date '""&amp;YEAR(C205)&amp;""-""&amp;MONTH(C205)&amp;""-""&amp;DAY(C205)&amp;""'""))&gt;0,""Caixa Atendimento"",""Caixa Sangria"")),""""),""Caixa Sangria"")"),"")</f>
        <v/>
      </c>
      <c r="M205" s="185" t="str">
        <f>IFERROR(__xludf.DUMMYFUNCTION("ifna(VALUE(REGEXEXTRACT(E205,""[0-9.]+[,]+[0-9]+"")))"),"")</f>
        <v/>
      </c>
      <c r="N205" s="185"/>
      <c r="O205" s="185"/>
      <c r="P205" s="185"/>
      <c r="Q205" s="185"/>
      <c r="R205" s="185"/>
      <c r="S205" s="185"/>
      <c r="T205" s="185"/>
      <c r="U205" s="185"/>
      <c r="V205" s="185"/>
    </row>
    <row r="206" ht="14.25" customHeight="1">
      <c r="A206" s="178"/>
      <c r="B206" s="12"/>
      <c r="C206" s="13"/>
      <c r="D206" s="179"/>
      <c r="E206" s="180"/>
      <c r="F206" s="181"/>
      <c r="G206" s="179"/>
      <c r="H206" s="190"/>
      <c r="I206" s="190"/>
      <c r="J206" s="187"/>
      <c r="K206" s="187"/>
      <c r="L206" s="184" t="str">
        <f>IFERROR(__xludf.DUMMYFUNCTION("ifna(IF(and(D206=""Saída"",J206=""Sangria""),if(sum(QUERY(IMPORTRANGE(""https://docs.google.com/spreadsheets/d/1E4szPcLzsqlw4uyBAoJ61L1ChCgpz4wVP8tHfHW1g_c"",""BD M Sangrias!a:i""),""select Col6 where Col7 = 'Depositada' and Col9 = '""&amp;K206&amp;""' and Col6 ="&amp;" ""&amp;M206&amp;"" and Col4 = date '""&amp;YEAR(C206)&amp;""-""&amp;MONTH(C206)&amp;""-""&amp;DAY(C206)&amp;""'""))&gt;0,""Depositada"",if(sum(QUERY(IMPORTRANGE(""https://docs.google.com/spreadsheets/d/1EcLIvUgMoBC5as4ikW0wuQsGH5yVZ6cQ1y16qEfgPnk"",""BD M Sangrias!a:i""),""select Col6 whe"&amp;"re Col7 = 'Caixa Atendimento' and Col9 = '""&amp;K206&amp;""' and Col6 = ""&amp;M206&amp;"" and Col4 = date '""&amp;YEAR(C206)&amp;""-""&amp;MONTH(C206)&amp;""-""&amp;DAY(C206)&amp;""'""))&gt;0,""Caixa Atendimento"",""Caixa Sangria"")),""""),""Caixa Sangria"")"),"")</f>
        <v/>
      </c>
      <c r="M206" s="185" t="str">
        <f>IFERROR(__xludf.DUMMYFUNCTION("ifna(VALUE(REGEXEXTRACT(E206,""[0-9.]+[,]+[0-9]+"")))"),"")</f>
        <v/>
      </c>
      <c r="N206" s="185"/>
      <c r="O206" s="185"/>
      <c r="P206" s="185"/>
      <c r="Q206" s="185"/>
      <c r="R206" s="185"/>
      <c r="S206" s="185"/>
      <c r="T206" s="185"/>
      <c r="U206" s="185"/>
      <c r="V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184" t="str">
        <f>IFERROR(__xludf.DUMMYFUNCTION("ifna(IF(and(D207=""Saída"",J207=""Sangria""),if(sum(QUERY(IMPORTRANGE(""https://docs.google.com/spreadsheets/d/1E4szPcLzsqlw4uyBAoJ61L1ChCgpz4wVP8tHfHW1g_c"",""BD M Sangrias!a:i""),""select Col6 where Col7 = 'Depositada' and Col9 = '""&amp;K207&amp;""' and Col6 ="&amp;" ""&amp;M207&amp;"" and Col4 = date '""&amp;YEAR(C207)&amp;""-""&amp;MONTH(C207)&amp;""-""&amp;DAY(C207)&amp;""'""))&gt;0,""Depositada"",if(sum(QUERY(IMPORTRANGE(""https://docs.google.com/spreadsheets/d/1EcLIvUgMoBC5as4ikW0wuQsGH5yVZ6cQ1y16qEfgPnk"",""BD M Sangrias!a:i""),""select Col6 whe"&amp;"re Col7 = 'Caixa Atendimento' and Col9 = '""&amp;K207&amp;""' and Col6 = ""&amp;M207&amp;"" and Col4 = date '""&amp;YEAR(C207)&amp;""-""&amp;MONTH(C207)&amp;""-""&amp;DAY(C207)&amp;""'""))&gt;0,""Caixa Atendimento"",""Caixa Sangria"")),""""),""Caixa Sangria"")"),"")</f>
        <v/>
      </c>
      <c r="M207" s="185" t="str">
        <f>IFERROR(__xludf.DUMMYFUNCTION("ifna(VALUE(REGEXEXTRACT(E207,""[0-9.]+[,]+[0-9]+"")))"),"")</f>
        <v/>
      </c>
      <c r="N207" s="185"/>
      <c r="O207" s="185"/>
      <c r="P207" s="185"/>
      <c r="Q207" s="185"/>
      <c r="R207" s="185"/>
      <c r="S207" s="185"/>
      <c r="T207" s="185"/>
      <c r="U207" s="185"/>
      <c r="V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184"/>
      <c r="M208" s="185" t="str">
        <f>IFERROR(__xludf.DUMMYFUNCTION("ifna(VALUE(REGEXEXTRACT(E208,""[0-9.]+[,]+[0-9]+"")))"),"")</f>
        <v/>
      </c>
      <c r="N208" s="185"/>
      <c r="O208" s="185"/>
      <c r="P208" s="185"/>
      <c r="Q208" s="185"/>
      <c r="R208" s="185"/>
      <c r="S208" s="185"/>
      <c r="T208" s="185"/>
      <c r="U208" s="185"/>
      <c r="V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184" t="str">
        <f>IFERROR(__xludf.DUMMYFUNCTION("ifna(IF(and(D209=""Saída"",J208=""Sangria""),if(sum(QUERY(IMPORTRANGE(""https://docs.google.com/spreadsheets/d/1E4szPcLzsqlw4uyBAoJ61L1ChCgpz4wVP8tHfHW1g_c"",""BD M Sangrias!a:i""),""select Col6 where Col7 = 'Depositada' and Col9 = '""&amp;K209&amp;""' and Col6 ="&amp;" ""&amp;M209&amp;"" and Col4 = date '""&amp;YEAR(C209)&amp;""-""&amp;MONTH(C209)&amp;""-""&amp;DAY(C209)&amp;""'""))&gt;0,""Depositada"",if(sum(QUERY(IMPORTRANGE(""https://docs.google.com/spreadsheets/d/1EcLIvUgMoBC5as4ikW0wuQsGH5yVZ6cQ1y16qEfgPnk"",""BD M Sangrias!a:i""),""select Col6 whe"&amp;"re Col7 = 'Caixa Atendimento' and Col9 = '""&amp;K209&amp;""' and Col6 = ""&amp;M209&amp;"" and Col4 = date '""&amp;YEAR(C209)&amp;""-""&amp;MONTH(C209)&amp;""-""&amp;DAY(C209)&amp;""'""))&gt;0,""Caixa Atendimento"",""Caixa Sangria"")),""""),""Caixa Sangria"")"),"")</f>
        <v/>
      </c>
      <c r="M209" s="185" t="str">
        <f>IFERROR(__xludf.DUMMYFUNCTION("ifna(VALUE(REGEXEXTRACT(E209,""[0-9.]+[,]+[0-9]+"")))"),"")</f>
        <v/>
      </c>
      <c r="N209" s="185"/>
      <c r="O209" s="185"/>
      <c r="P209" s="185"/>
      <c r="Q209" s="185"/>
      <c r="R209" s="185"/>
      <c r="S209" s="185"/>
      <c r="T209" s="185"/>
      <c r="U209" s="185"/>
      <c r="V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184" t="str">
        <f>IFERROR(__xludf.DUMMYFUNCTION("ifna(IF(and(D210=""Saída"",J210=""Sangria""),if(sum(QUERY(IMPORTRANGE(""https://docs.google.com/spreadsheets/d/1E4szPcLzsqlw4uyBAoJ61L1ChCgpz4wVP8tHfHW1g_c"",""BD M Sangrias!a:i""),""select Col6 where Col7 = 'Depositada' and Col9 = '""&amp;K210&amp;""' and Col6 ="&amp;" ""&amp;M210&amp;"" and Col4 = date '""&amp;YEAR(C210)&amp;""-""&amp;MONTH(C210)&amp;""-""&amp;DAY(C210)&amp;""'""))&gt;0,""Depositada"",if(sum(QUERY(IMPORTRANGE(""https://docs.google.com/spreadsheets/d/1EcLIvUgMoBC5as4ikW0wuQsGH5yVZ6cQ1y16qEfgPnk"",""BD M Sangrias!a:i""),""select Col6 whe"&amp;"re Col7 = 'Caixa Atendimento' and Col9 = '""&amp;K210&amp;""' and Col6 = ""&amp;M210&amp;"" and Col4 = date '""&amp;YEAR(C210)&amp;""-""&amp;MONTH(C210)&amp;""-""&amp;DAY(C210)&amp;""'""))&gt;0,""Caixa Atendimento"",""Caixa Sangria"")),""""),""Caixa Sangria"")"),"")</f>
        <v/>
      </c>
      <c r="M210" s="185" t="str">
        <f>IFERROR(__xludf.DUMMYFUNCTION("ifna(VALUE(REGEXEXTRACT(E210,""[0-9.]+[,]+[0-9]+"")))"),"")</f>
        <v/>
      </c>
      <c r="N210" s="185"/>
      <c r="O210" s="185"/>
      <c r="P210" s="185"/>
      <c r="Q210" s="185"/>
      <c r="R210" s="185"/>
      <c r="S210" s="185"/>
      <c r="T210" s="185"/>
      <c r="U210" s="185"/>
      <c r="V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184" t="str">
        <f>IFERROR(__xludf.DUMMYFUNCTION("ifna(IF(and(D211=""Saída"",J211=""Sangria""),if(sum(QUERY(IMPORTRANGE(""https://docs.google.com/spreadsheets/d/1E4szPcLzsqlw4uyBAoJ61L1ChCgpz4wVP8tHfHW1g_c"",""BD M Sangrias!a:i""),""select Col6 where Col7 = 'Depositada' and Col9 = '""&amp;K211&amp;""' and Col6 ="&amp;" ""&amp;M211&amp;"" and Col4 = date '""&amp;YEAR(C211)&amp;""-""&amp;MONTH(C211)&amp;""-""&amp;DAY(C211)&amp;""'""))&gt;0,""Depositada"",if(sum(QUERY(IMPORTRANGE(""https://docs.google.com/spreadsheets/d/1EcLIvUgMoBC5as4ikW0wuQsGH5yVZ6cQ1y16qEfgPnk"",""BD M Sangrias!a:i""),""select Col6 whe"&amp;"re Col7 = 'Caixa Atendimento' and Col9 = '""&amp;K211&amp;""' and Col6 = ""&amp;M211&amp;"" and Col4 = date '""&amp;YEAR(C211)&amp;""-""&amp;MONTH(C211)&amp;""-""&amp;DAY(C211)&amp;""'""))&gt;0,""Caixa Atendimento"",""Caixa Sangria"")),""""),""Caixa Sangria"")"),"")</f>
        <v/>
      </c>
      <c r="M211" s="185" t="str">
        <f>IFERROR(__xludf.DUMMYFUNCTION("ifna(VALUE(REGEXEXTRACT(E211,""[0-9.]+[,]+[0-9]+"")))"),"")</f>
        <v/>
      </c>
      <c r="N211" s="185"/>
      <c r="O211" s="185"/>
      <c r="P211" s="185"/>
      <c r="Q211" s="185"/>
      <c r="R211" s="185"/>
      <c r="S211" s="185"/>
      <c r="T211" s="185"/>
      <c r="U211" s="185"/>
      <c r="V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184" t="str">
        <f>IFERROR(__xludf.DUMMYFUNCTION("ifna(IF(and(D212=""Saída"",J212=""Sangria""),if(sum(QUERY(IMPORTRANGE(""https://docs.google.com/spreadsheets/d/1E4szPcLzsqlw4uyBAoJ61L1ChCgpz4wVP8tHfHW1g_c"",""BD M Sangrias!a:i""),""select Col6 where Col7 = 'Depositada' and Col9 = '""&amp;K212&amp;""' and Col6 ="&amp;" ""&amp;M212&amp;"" and Col4 = date '""&amp;YEAR(C212)&amp;""-""&amp;MONTH(C212)&amp;""-""&amp;DAY(C212)&amp;""'""))&gt;0,""Depositada"",if(sum(QUERY(IMPORTRANGE(""https://docs.google.com/spreadsheets/d/1EcLIvUgMoBC5as4ikW0wuQsGH5yVZ6cQ1y16qEfgPnk"",""BD M Sangrias!a:i""),""select Col6 whe"&amp;"re Col7 = 'Caixa Atendimento' and Col9 = '""&amp;K212&amp;""' and Col6 = ""&amp;M212&amp;"" and Col4 = date '""&amp;YEAR(C212)&amp;""-""&amp;MONTH(C212)&amp;""-""&amp;DAY(C212)&amp;""'""))&gt;0,""Caixa Atendimento"",""Caixa Sangria"")),""""),""Caixa Sangria"")"),"")</f>
        <v/>
      </c>
      <c r="M212" s="185" t="str">
        <f>IFERROR(__xludf.DUMMYFUNCTION("ifna(VALUE(REGEXEXTRACT(E212,""[0-9.]+[,]+[0-9]+"")))"),"")</f>
        <v/>
      </c>
      <c r="N212" s="185"/>
      <c r="O212" s="185"/>
      <c r="P212" s="185"/>
      <c r="Q212" s="185"/>
      <c r="R212" s="185"/>
      <c r="S212" s="185"/>
      <c r="T212" s="185"/>
      <c r="U212" s="185"/>
      <c r="V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184" t="str">
        <f>IFERROR(__xludf.DUMMYFUNCTION("ifna(IF(and(D213=""Saída"",J213=""Sangria""),if(sum(QUERY(IMPORTRANGE(""https://docs.google.com/spreadsheets/d/1E4szPcLzsqlw4uyBAoJ61L1ChCgpz4wVP8tHfHW1g_c"",""BD M Sangrias!a:i""),""select Col6 where Col7 = 'Depositada' and Col9 = '""&amp;K213&amp;""' and Col6 ="&amp;" ""&amp;M213&amp;"" and Col4 = date '""&amp;YEAR(C213)&amp;""-""&amp;MONTH(C213)&amp;""-""&amp;DAY(C213)&amp;""'""))&gt;0,""Depositada"",if(sum(QUERY(IMPORTRANGE(""https://docs.google.com/spreadsheets/d/1EcLIvUgMoBC5as4ikW0wuQsGH5yVZ6cQ1y16qEfgPnk"",""BD M Sangrias!a:i""),""select Col6 whe"&amp;"re Col7 = 'Caixa Atendimento' and Col9 = '""&amp;K213&amp;""' and Col6 = ""&amp;M213&amp;"" and Col4 = date '""&amp;YEAR(C213)&amp;""-""&amp;MONTH(C213)&amp;""-""&amp;DAY(C213)&amp;""'""))&gt;0,""Caixa Atendimento"",""Caixa Sangria"")),""""),""Caixa Sangria"")"),"")</f>
        <v/>
      </c>
      <c r="M213" s="185" t="str">
        <f>IFERROR(__xludf.DUMMYFUNCTION("ifna(VALUE(REGEXEXTRACT(E213,""[0-9.]+[,]+[0-9]+"")))"),"")</f>
        <v/>
      </c>
      <c r="N213" s="185"/>
      <c r="O213" s="185"/>
      <c r="P213" s="185"/>
      <c r="Q213" s="185"/>
      <c r="R213" s="185"/>
      <c r="S213" s="185"/>
      <c r="T213" s="185"/>
      <c r="U213" s="185"/>
      <c r="V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184" t="str">
        <f>IFERROR(__xludf.DUMMYFUNCTION("ifna(IF(and(D214=""Saída"",J214=""Sangria""),if(sum(QUERY(IMPORTRANGE(""https://docs.google.com/spreadsheets/d/1E4szPcLzsqlw4uyBAoJ61L1ChCgpz4wVP8tHfHW1g_c"",""BD M Sangrias!a:i""),""select Col6 where Col7 = 'Depositada' and Col9 = '""&amp;K214&amp;""' and Col6 ="&amp;" ""&amp;M214&amp;"" and Col4 = date '""&amp;YEAR(C214)&amp;""-""&amp;MONTH(C214)&amp;""-""&amp;DAY(C214)&amp;""'""))&gt;0,""Depositada"",if(sum(QUERY(IMPORTRANGE(""https://docs.google.com/spreadsheets/d/1EcLIvUgMoBC5as4ikW0wuQsGH5yVZ6cQ1y16qEfgPnk"",""BD M Sangrias!a:i""),""select Col6 whe"&amp;"re Col7 = 'Caixa Atendimento' and Col9 = '""&amp;K214&amp;""' and Col6 = ""&amp;M214&amp;"" and Col4 = date '""&amp;YEAR(C214)&amp;""-""&amp;MONTH(C214)&amp;""-""&amp;DAY(C214)&amp;""'""))&gt;0,""Caixa Atendimento"",""Caixa Sangria"")),""""),""Caixa Sangria"")"),"")</f>
        <v/>
      </c>
      <c r="M214" s="185" t="str">
        <f>IFERROR(__xludf.DUMMYFUNCTION("ifna(VALUE(REGEXEXTRACT(#REF!,""[0-9.]+[,]+[0-9]+"")))"),"#REF!")</f>
        <v>#REF!</v>
      </c>
      <c r="N214" s="185"/>
      <c r="O214" s="185"/>
      <c r="P214" s="185"/>
      <c r="Q214" s="185"/>
      <c r="R214" s="185"/>
      <c r="S214" s="185"/>
      <c r="T214" s="185"/>
      <c r="U214" s="185"/>
      <c r="V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184" t="str">
        <f>IFERROR(__xludf.DUMMYFUNCTION("ifna(IF(and(D215=""Saída"",J215=""Sangria""),if(sum(QUERY(IMPORTRANGE(""https://docs.google.com/spreadsheets/d/1E4szPcLzsqlw4uyBAoJ61L1ChCgpz4wVP8tHfHW1g_c"",""BD M Sangrias!a:i""),""select Col6 where Col7 = 'Depositada' and Col9 = '""&amp;K215&amp;""' and Col6 ="&amp;" ""&amp;M215&amp;"" and Col4 = date '""&amp;YEAR(C215)&amp;""-""&amp;MONTH(C215)&amp;""-""&amp;DAY(C215)&amp;""'""))&gt;0,""Depositada"",if(sum(QUERY(IMPORTRANGE(""https://docs.google.com/spreadsheets/d/1EcLIvUgMoBC5as4ikW0wuQsGH5yVZ6cQ1y16qEfgPnk"",""BD M Sangrias!a:i""),""select Col6 whe"&amp;"re Col7 = 'Caixa Atendimento' and Col9 = '""&amp;K215&amp;""' and Col6 = ""&amp;M215&amp;"" and Col4 = date '""&amp;YEAR(C215)&amp;""-""&amp;MONTH(C215)&amp;""-""&amp;DAY(C215)&amp;""'""))&gt;0,""Caixa Atendimento"",""Caixa Sangria"")),""""),""Caixa Sangria"")"),"")</f>
        <v/>
      </c>
      <c r="M215" s="185" t="str">
        <f>IFERROR(__xludf.DUMMYFUNCTION("ifna(VALUE(REGEXEXTRACT(E214,""[0-9.]+[,]+[0-9]+"")))"),"")</f>
        <v/>
      </c>
      <c r="N215" s="185"/>
      <c r="O215" s="185"/>
      <c r="P215" s="185"/>
      <c r="Q215" s="185"/>
      <c r="R215" s="185"/>
      <c r="S215" s="185"/>
      <c r="T215" s="185"/>
      <c r="U215" s="185"/>
      <c r="V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184" t="str">
        <f>IFERROR(__xludf.DUMMYFUNCTION("ifna(IF(and(D216=""Saída"",J216=""Sangria""),if(sum(QUERY(IMPORTRANGE(""https://docs.google.com/spreadsheets/d/1E4szPcLzsqlw4uyBAoJ61L1ChCgpz4wVP8tHfHW1g_c"",""BD M Sangrias!a:i""),""select Col6 where Col7 = 'Depositada' and Col9 = '""&amp;K216&amp;""' and Col6 ="&amp;" ""&amp;M216&amp;"" and Col4 = date '""&amp;YEAR(C216)&amp;""-""&amp;MONTH(C216)&amp;""-""&amp;DAY(C216)&amp;""'""))&gt;0,""Depositada"",if(sum(QUERY(IMPORTRANGE(""https://docs.google.com/spreadsheets/d/1EcLIvUgMoBC5as4ikW0wuQsGH5yVZ6cQ1y16qEfgPnk"",""BD M Sangrias!a:i""),""select Col6 whe"&amp;"re Col7 = 'Caixa Atendimento' and Col9 = '""&amp;K216&amp;""' and Col6 = ""&amp;M216&amp;"" and Col4 = date '""&amp;YEAR(C216)&amp;""-""&amp;MONTH(C216)&amp;""-""&amp;DAY(C216)&amp;""'""))&gt;0,""Caixa Atendimento"",""Caixa Sangria"")),""""),""Caixa Sangria"")"),"")</f>
        <v/>
      </c>
      <c r="M216" s="185" t="str">
        <f>IFERROR(__xludf.DUMMYFUNCTION("ifna(VALUE(REGEXEXTRACT(E216,""[0-9.]+[,]+[0-9]+"")))"),"")</f>
        <v/>
      </c>
      <c r="N216" s="185"/>
      <c r="O216" s="185"/>
      <c r="P216" s="185"/>
      <c r="Q216" s="185"/>
      <c r="R216" s="185"/>
      <c r="S216" s="185"/>
      <c r="T216" s="185"/>
      <c r="U216" s="185"/>
      <c r="V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184" t="str">
        <f>IFERROR(__xludf.DUMMYFUNCTION("ifna(IF(and(D217=""Saída"",J217=""Sangria""),if(sum(QUERY(IMPORTRANGE(""https://docs.google.com/spreadsheets/d/1E4szPcLzsqlw4uyBAoJ61L1ChCgpz4wVP8tHfHW1g_c"",""BD M Sangrias!a:i""),""select Col6 where Col7 = 'Depositada' and Col9 = '""&amp;K217&amp;""' and Col6 ="&amp;" ""&amp;M217&amp;"" and Col4 = date '""&amp;YEAR(C217)&amp;""-""&amp;MONTH(C217)&amp;""-""&amp;DAY(C217)&amp;""'""))&gt;0,""Depositada"",if(sum(QUERY(IMPORTRANGE(""https://docs.google.com/spreadsheets/d/1EcLIvUgMoBC5as4ikW0wuQsGH5yVZ6cQ1y16qEfgPnk"",""BD M Sangrias!a:i""),""select Col6 whe"&amp;"re Col7 = 'Caixa Atendimento' and Col9 = '""&amp;K217&amp;""' and Col6 = ""&amp;M217&amp;"" and Col4 = date '""&amp;YEAR(C217)&amp;""-""&amp;MONTH(C217)&amp;""-""&amp;DAY(C217)&amp;""'""))&gt;0,""Caixa Atendimento"",""Caixa Sangria"")),""""),""Caixa Sangria"")"),"")</f>
        <v/>
      </c>
      <c r="M217" s="185" t="str">
        <f>IFERROR(__xludf.DUMMYFUNCTION("ifna(VALUE(REGEXEXTRACT(E217,""[0-9.]+[,]+[0-9]+"")))"),"")</f>
        <v/>
      </c>
      <c r="N217" s="185"/>
      <c r="O217" s="185"/>
      <c r="P217" s="185"/>
      <c r="Q217" s="185"/>
      <c r="R217" s="185"/>
      <c r="S217" s="185"/>
      <c r="T217" s="185"/>
      <c r="U217" s="185"/>
      <c r="V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184" t="str">
        <f>IFERROR(__xludf.DUMMYFUNCTION("ifna(IF(and(D218=""Saída"",J218=""Sangria""),if(sum(QUERY(IMPORTRANGE(""https://docs.google.com/spreadsheets/d/1E4szPcLzsqlw4uyBAoJ61L1ChCgpz4wVP8tHfHW1g_c"",""BD M Sangrias!a:i""),""select Col6 where Col7 = 'Depositada' and Col9 = '""&amp;K218&amp;""' and Col6 ="&amp;" ""&amp;M218&amp;"" and Col4 = date '""&amp;YEAR(C218)&amp;""-""&amp;MONTH(C218)&amp;""-""&amp;DAY(C218)&amp;""'""))&gt;0,""Depositada"",if(sum(QUERY(IMPORTRANGE(""https://docs.google.com/spreadsheets/d/1EcLIvUgMoBC5as4ikW0wuQsGH5yVZ6cQ1y16qEfgPnk"",""BD M Sangrias!a:i""),""select Col6 whe"&amp;"re Col7 = 'Caixa Atendimento' and Col9 = '""&amp;K218&amp;""' and Col6 = ""&amp;M218&amp;"" and Col4 = date '""&amp;YEAR(C218)&amp;""-""&amp;MONTH(C218)&amp;""-""&amp;DAY(C218)&amp;""'""))&gt;0,""Caixa Atendimento"",""Caixa Sangria"")),""""),""Caixa Sangria"")"),"")</f>
        <v/>
      </c>
      <c r="M218" s="185" t="str">
        <f>IFERROR(__xludf.DUMMYFUNCTION("ifna(VALUE(REGEXEXTRACT(E218,""[0-9.]+[,]+[0-9]+"")))"),"")</f>
        <v/>
      </c>
      <c r="N218" s="185"/>
      <c r="O218" s="185"/>
      <c r="P218" s="185"/>
      <c r="Q218" s="185"/>
      <c r="R218" s="185"/>
      <c r="S218" s="185"/>
      <c r="T218" s="185"/>
      <c r="U218" s="185"/>
      <c r="V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184" t="str">
        <f>IFERROR(__xludf.DUMMYFUNCTION("ifna(IF(and(D219=""Saída"",J219=""Sangria""),if(sum(QUERY(IMPORTRANGE(""https://docs.google.com/spreadsheets/d/1E4szPcLzsqlw4uyBAoJ61L1ChCgpz4wVP8tHfHW1g_c"",""BD M Sangrias!a:i""),""select Col6 where Col7 = 'Depositada' and Col9 = '""&amp;K219&amp;""' and Col6 ="&amp;" ""&amp;M219&amp;"" and Col4 = date '""&amp;YEAR(C219)&amp;""-""&amp;MONTH(C219)&amp;""-""&amp;DAY(C219)&amp;""'""))&gt;0,""Depositada"",if(sum(QUERY(IMPORTRANGE(""https://docs.google.com/spreadsheets/d/1EcLIvUgMoBC5as4ikW0wuQsGH5yVZ6cQ1y16qEfgPnk"",""BD M Sangrias!a:i""),""select Col6 whe"&amp;"re Col7 = 'Caixa Atendimento' and Col9 = '""&amp;K219&amp;""' and Col6 = ""&amp;M219&amp;"" and Col4 = date '""&amp;YEAR(C219)&amp;""-""&amp;MONTH(C219)&amp;""-""&amp;DAY(C219)&amp;""'""))&gt;0,""Caixa Atendimento"",""Caixa Sangria"")),""""),""Caixa Sangria"")"),"")</f>
        <v/>
      </c>
      <c r="M219" s="185" t="str">
        <f>IFERROR(__xludf.DUMMYFUNCTION("ifna(VALUE(REGEXEXTRACT(E219,""[0-9.]+[,]+[0-9]+"")))"),"")</f>
        <v/>
      </c>
      <c r="N219" s="185"/>
      <c r="O219" s="185"/>
      <c r="P219" s="185"/>
      <c r="Q219" s="185"/>
      <c r="R219" s="185"/>
      <c r="S219" s="185"/>
      <c r="T219" s="185"/>
      <c r="U219" s="185"/>
      <c r="V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184" t="str">
        <f>IFERROR(__xludf.DUMMYFUNCTION("ifna(IF(and(D220=""Saída"",J220=""Sangria""),if(sum(QUERY(IMPORTRANGE(""https://docs.google.com/spreadsheets/d/1E4szPcLzsqlw4uyBAoJ61L1ChCgpz4wVP8tHfHW1g_c"",""BD M Sangrias!a:i""),""select Col6 where Col7 = 'Depositada' and Col9 = '""&amp;K220&amp;""' and Col6 ="&amp;" ""&amp;M220&amp;"" and Col4 = date '""&amp;YEAR(C220)&amp;""-""&amp;MONTH(C220)&amp;""-""&amp;DAY(C220)&amp;""'""))&gt;0,""Depositada"",if(sum(QUERY(IMPORTRANGE(""https://docs.google.com/spreadsheets/d/1EcLIvUgMoBC5as4ikW0wuQsGH5yVZ6cQ1y16qEfgPnk"",""BD M Sangrias!a:i""),""select Col6 whe"&amp;"re Col7 = 'Caixa Atendimento' and Col9 = '""&amp;K220&amp;""' and Col6 = ""&amp;M220&amp;"" and Col4 = date '""&amp;YEAR(C220)&amp;""-""&amp;MONTH(C220)&amp;""-""&amp;DAY(C220)&amp;""'""))&gt;0,""Caixa Atendimento"",""Caixa Sangria"")),""""),""Caixa Sangria"")"),"")</f>
        <v/>
      </c>
      <c r="M220" s="185" t="str">
        <f>IFERROR(__xludf.DUMMYFUNCTION("ifna(VALUE(REGEXEXTRACT(E220,""[0-9.]+[,]+[0-9]+"")))"),"")</f>
        <v/>
      </c>
      <c r="N220" s="185"/>
      <c r="O220" s="185"/>
      <c r="P220" s="185"/>
      <c r="Q220" s="185"/>
      <c r="R220" s="185"/>
      <c r="S220" s="185"/>
      <c r="T220" s="185"/>
      <c r="U220" s="185"/>
      <c r="V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184" t="str">
        <f>IFERROR(__xludf.DUMMYFUNCTION("ifna(IF(and(D221=""Saída"",J221=""Sangria""),if(sum(QUERY(IMPORTRANGE(""https://docs.google.com/spreadsheets/d/1E4szPcLzsqlw4uyBAoJ61L1ChCgpz4wVP8tHfHW1g_c"",""BD M Sangrias!a:i""),""select Col6 where Col7 = 'Depositada' and Col9 = '""&amp;K221&amp;""' and Col6 ="&amp;" ""&amp;M221&amp;"" and Col4 = date '""&amp;YEAR(C221)&amp;""-""&amp;MONTH(C221)&amp;""-""&amp;DAY(C221)&amp;""'""))&gt;0,""Depositada"",if(sum(QUERY(IMPORTRANGE(""https://docs.google.com/spreadsheets/d/1EcLIvUgMoBC5as4ikW0wuQsGH5yVZ6cQ1y16qEfgPnk"",""BD M Sangrias!a:i""),""select Col6 whe"&amp;"re Col7 = 'Caixa Atendimento' and Col9 = '""&amp;K221&amp;""' and Col6 = ""&amp;M221&amp;"" and Col4 = date '""&amp;YEAR(C221)&amp;""-""&amp;MONTH(C221)&amp;""-""&amp;DAY(C221)&amp;""'""))&gt;0,""Caixa Atendimento"",""Caixa Sangria"")),""""),""Caixa Sangria"")"),"")</f>
        <v/>
      </c>
      <c r="M221" s="185" t="str">
        <f>IFERROR(__xludf.DUMMYFUNCTION("ifna(VALUE(REGEXEXTRACT(E221,""[0-9.]+[,]+[0-9]+"")))"),"")</f>
        <v/>
      </c>
      <c r="N221" s="185"/>
      <c r="O221" s="185"/>
      <c r="P221" s="185"/>
      <c r="Q221" s="185"/>
      <c r="R221" s="185"/>
      <c r="S221" s="185"/>
      <c r="T221" s="185"/>
      <c r="U221" s="185"/>
      <c r="V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184" t="str">
        <f>IFERROR(__xludf.DUMMYFUNCTION("ifna(IF(and(D222=""Saída"",J222=""Sangria""),if(sum(QUERY(IMPORTRANGE(""https://docs.google.com/spreadsheets/d/1E4szPcLzsqlw4uyBAoJ61L1ChCgpz4wVP8tHfHW1g_c"",""BD M Sangrias!a:i""),""select Col6 where Col7 = 'Depositada' and Col9 = '""&amp;K222&amp;""' and Col6 ="&amp;" ""&amp;M222&amp;"" and Col4 = date '""&amp;YEAR(C222)&amp;""-""&amp;MONTH(C222)&amp;""-""&amp;DAY(C222)&amp;""'""))&gt;0,""Depositada"",if(sum(QUERY(IMPORTRANGE(""https://docs.google.com/spreadsheets/d/1EcLIvUgMoBC5as4ikW0wuQsGH5yVZ6cQ1y16qEfgPnk"",""BD M Sangrias!a:i""),""select Col6 whe"&amp;"re Col7 = 'Caixa Atendimento' and Col9 = '""&amp;K222&amp;""' and Col6 = ""&amp;M222&amp;"" and Col4 = date '""&amp;YEAR(C222)&amp;""-""&amp;MONTH(C222)&amp;""-""&amp;DAY(C222)&amp;""'""))&gt;0,""Caixa Atendimento"",""Caixa Sangria"")),""""),""Caixa Sangria"")"),"")</f>
        <v/>
      </c>
      <c r="M222" s="185" t="str">
        <f>IFERROR(__xludf.DUMMYFUNCTION("ifna(VALUE(REGEXEXTRACT(E222,""[0-9.]+[,]+[0-9]+"")))"),"")</f>
        <v/>
      </c>
      <c r="N222" s="185"/>
      <c r="O222" s="185"/>
      <c r="P222" s="185"/>
      <c r="Q222" s="185"/>
      <c r="R222" s="185"/>
      <c r="S222" s="185"/>
      <c r="T222" s="185"/>
      <c r="U222" s="185"/>
      <c r="V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184" t="str">
        <f>IFERROR(__xludf.DUMMYFUNCTION("ifna(IF(and(D223=""Saída"",J223=""Sangria""),if(sum(QUERY(IMPORTRANGE(""https://docs.google.com/spreadsheets/d/1E4szPcLzsqlw4uyBAoJ61L1ChCgpz4wVP8tHfHW1g_c"",""BD M Sangrias!a:i""),""select Col6 where Col7 = 'Depositada' and Col9 = '""&amp;K223&amp;""' and Col6 ="&amp;" ""&amp;M223&amp;"" and Col4 = date '""&amp;YEAR(C223)&amp;""-""&amp;MONTH(C223)&amp;""-""&amp;DAY(C223)&amp;""'""))&gt;0,""Depositada"",if(sum(QUERY(IMPORTRANGE(""https://docs.google.com/spreadsheets/d/1EcLIvUgMoBC5as4ikW0wuQsGH5yVZ6cQ1y16qEfgPnk"",""BD M Sangrias!a:i""),""select Col6 whe"&amp;"re Col7 = 'Caixa Atendimento' and Col9 = '""&amp;K223&amp;""' and Col6 = ""&amp;M223&amp;"" and Col4 = date '""&amp;YEAR(C223)&amp;""-""&amp;MONTH(C223)&amp;""-""&amp;DAY(C223)&amp;""'""))&gt;0,""Caixa Atendimento"",""Caixa Sangria"")),""""),""Caixa Sangria"")"),"")</f>
        <v/>
      </c>
      <c r="M223" s="185" t="str">
        <f>IFERROR(__xludf.DUMMYFUNCTION("ifna(VALUE(REGEXEXTRACT(E223,""[0-9.]+[,]+[0-9]+"")))"),"")</f>
        <v/>
      </c>
      <c r="N223" s="185"/>
      <c r="O223" s="185"/>
      <c r="P223" s="185"/>
      <c r="Q223" s="185"/>
      <c r="R223" s="185"/>
      <c r="S223" s="185"/>
      <c r="T223" s="185"/>
      <c r="U223" s="185"/>
      <c r="V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184" t="str">
        <f>IFERROR(__xludf.DUMMYFUNCTION("ifna(IF(and(D224=""Saída"",J224=""Sangria""),if(sum(QUERY(IMPORTRANGE(""https://docs.google.com/spreadsheets/d/1E4szPcLzsqlw4uyBAoJ61L1ChCgpz4wVP8tHfHW1g_c"",""BD M Sangrias!a:i""),""select Col6 where Col7 = 'Depositada' and Col9 = '""&amp;K224&amp;""' and Col6 ="&amp;" ""&amp;M224&amp;"" and Col4 = date '""&amp;YEAR(C224)&amp;""-""&amp;MONTH(C224)&amp;""-""&amp;DAY(C224)&amp;""'""))&gt;0,""Depositada"",if(sum(QUERY(IMPORTRANGE(""https://docs.google.com/spreadsheets/d/1EcLIvUgMoBC5as4ikW0wuQsGH5yVZ6cQ1y16qEfgPnk"",""BD M Sangrias!a:i""),""select Col6 whe"&amp;"re Col7 = 'Caixa Atendimento' and Col9 = '""&amp;K224&amp;""' and Col6 = ""&amp;M224&amp;"" and Col4 = date '""&amp;YEAR(C224)&amp;""-""&amp;MONTH(C224)&amp;""-""&amp;DAY(C224)&amp;""'""))&gt;0,""Caixa Atendimento"",""Caixa Sangria"")),""""),""Caixa Sangria"")"),"")</f>
        <v/>
      </c>
      <c r="M224" s="185" t="str">
        <f>IFERROR(__xludf.DUMMYFUNCTION("ifna(VALUE(REGEXEXTRACT(E224,""[0-9.]+[,]+[0-9]+"")))"),"")</f>
        <v/>
      </c>
      <c r="N224" s="185"/>
      <c r="O224" s="185"/>
      <c r="P224" s="185"/>
      <c r="Q224" s="185"/>
      <c r="R224" s="185"/>
      <c r="S224" s="185"/>
      <c r="T224" s="185"/>
      <c r="U224" s="185"/>
      <c r="V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184" t="str">
        <f>IFERROR(__xludf.DUMMYFUNCTION("ifna(IF(and(D225=""Saída"",J225=""Sangria""),if(sum(QUERY(IMPORTRANGE(""https://docs.google.com/spreadsheets/d/1E4szPcLzsqlw4uyBAoJ61L1ChCgpz4wVP8tHfHW1g_c"",""BD M Sangrias!a:i""),""select Col6 where Col7 = 'Depositada' and Col9 = '""&amp;K225&amp;""' and Col6 ="&amp;" ""&amp;M225&amp;"" and Col4 = date '""&amp;YEAR(C225)&amp;""-""&amp;MONTH(C225)&amp;""-""&amp;DAY(C225)&amp;""'""))&gt;0,""Depositada"",if(sum(QUERY(IMPORTRANGE(""https://docs.google.com/spreadsheets/d/1EcLIvUgMoBC5as4ikW0wuQsGH5yVZ6cQ1y16qEfgPnk"",""BD M Sangrias!a:i""),""select Col6 whe"&amp;"re Col7 = 'Caixa Atendimento' and Col9 = '""&amp;K225&amp;""' and Col6 = ""&amp;M225&amp;"" and Col4 = date '""&amp;YEAR(C225)&amp;""-""&amp;MONTH(C225)&amp;""-""&amp;DAY(C225)&amp;""'""))&gt;0,""Caixa Atendimento"",""Caixa Sangria"")),""""),""Caixa Sangria"")"),"")</f>
        <v/>
      </c>
      <c r="M225" s="185" t="str">
        <f>IFERROR(__xludf.DUMMYFUNCTION("ifna(VALUE(REGEXEXTRACT(E225,""[0-9.]+[,]+[0-9]+"")))"),"")</f>
        <v/>
      </c>
      <c r="N225" s="185"/>
      <c r="O225" s="185"/>
      <c r="P225" s="185"/>
      <c r="Q225" s="185"/>
      <c r="R225" s="185"/>
      <c r="S225" s="185"/>
      <c r="T225" s="185"/>
      <c r="U225" s="185"/>
      <c r="V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184" t="str">
        <f>IFERROR(__xludf.DUMMYFUNCTION("ifna(IF(and(D226=""Saída"",J226=""Sangria""),if(sum(QUERY(IMPORTRANGE(""https://docs.google.com/spreadsheets/d/1E4szPcLzsqlw4uyBAoJ61L1ChCgpz4wVP8tHfHW1g_c"",""BD M Sangrias!a:i""),""select Col6 where Col7 = 'Depositada' and Col9 = '""&amp;K226&amp;""' and Col6 ="&amp;" ""&amp;M226&amp;"" and Col4 = date '""&amp;YEAR(C226)&amp;""-""&amp;MONTH(C226)&amp;""-""&amp;DAY(C226)&amp;""'""))&gt;0,""Depositada"",if(sum(QUERY(IMPORTRANGE(""https://docs.google.com/spreadsheets/d/1EcLIvUgMoBC5as4ikW0wuQsGH5yVZ6cQ1y16qEfgPnk"",""BD M Sangrias!a:i""),""select Col6 whe"&amp;"re Col7 = 'Caixa Atendimento' and Col9 = '""&amp;K226&amp;""' and Col6 = ""&amp;M226&amp;"" and Col4 = date '""&amp;YEAR(C226)&amp;""-""&amp;MONTH(C226)&amp;""-""&amp;DAY(C226)&amp;""'""))&gt;0,""Caixa Atendimento"",""Caixa Sangria"")),""""),""Caixa Sangria"")"),"")</f>
        <v/>
      </c>
      <c r="M226" s="185" t="str">
        <f>IFERROR(__xludf.DUMMYFUNCTION("ifna(VALUE(REGEXEXTRACT(E226,""[0-9.]+[,]+[0-9]+"")))"),"")</f>
        <v/>
      </c>
      <c r="N226" s="185"/>
      <c r="O226" s="185"/>
      <c r="P226" s="185"/>
      <c r="Q226" s="185"/>
      <c r="R226" s="185"/>
      <c r="S226" s="185"/>
      <c r="T226" s="185"/>
      <c r="U226" s="185"/>
      <c r="V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184" t="str">
        <f>IFERROR(__xludf.DUMMYFUNCTION("ifna(IF(and(D227=""Saída"",J227=""Sangria""),if(sum(QUERY(IMPORTRANGE(""https://docs.google.com/spreadsheets/d/1E4szPcLzsqlw4uyBAoJ61L1ChCgpz4wVP8tHfHW1g_c"",""BD M Sangrias!a:i""),""select Col6 where Col7 = 'Depositada' and Col9 = '""&amp;K227&amp;""' and Col6 ="&amp;" ""&amp;M227&amp;"" and Col4 = date '""&amp;YEAR(C227)&amp;""-""&amp;MONTH(C227)&amp;""-""&amp;DAY(C227)&amp;""'""))&gt;0,""Depositada"",if(sum(QUERY(IMPORTRANGE(""https://docs.google.com/spreadsheets/d/1EcLIvUgMoBC5as4ikW0wuQsGH5yVZ6cQ1y16qEfgPnk"",""BD M Sangrias!a:i""),""select Col6 whe"&amp;"re Col7 = 'Caixa Atendimento' and Col9 = '""&amp;K227&amp;""' and Col6 = ""&amp;M227&amp;"" and Col4 = date '""&amp;YEAR(C227)&amp;""-""&amp;MONTH(C227)&amp;""-""&amp;DAY(C227)&amp;""'""))&gt;0,""Caixa Atendimento"",""Caixa Sangria"")),""""),""Caixa Sangria"")"),"")</f>
        <v/>
      </c>
      <c r="M227" s="185" t="str">
        <f>IFERROR(__xludf.DUMMYFUNCTION("ifna(VALUE(REGEXEXTRACT(E227,""[0-9.]+[,]+[0-9]+"")))"),"")</f>
        <v/>
      </c>
      <c r="N227" s="185"/>
      <c r="O227" s="185"/>
      <c r="P227" s="185"/>
      <c r="Q227" s="185"/>
      <c r="R227" s="185"/>
      <c r="S227" s="185"/>
      <c r="T227" s="185"/>
      <c r="U227" s="185"/>
      <c r="V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184" t="str">
        <f>IFERROR(__xludf.DUMMYFUNCTION("ifna(IF(and(D228=""Saída"",J228=""Sangria""),if(sum(QUERY(IMPORTRANGE(""https://docs.google.com/spreadsheets/d/1E4szPcLzsqlw4uyBAoJ61L1ChCgpz4wVP8tHfHW1g_c"",""BD M Sangrias!a:i""),""select Col6 where Col7 = 'Depositada' and Col9 = '""&amp;K228&amp;""' and Col6 ="&amp;" ""&amp;M228&amp;"" and Col4 = date '""&amp;YEAR(C228)&amp;""-""&amp;MONTH(C228)&amp;""-""&amp;DAY(C228)&amp;""'""))&gt;0,""Depositada"",if(sum(QUERY(IMPORTRANGE(""https://docs.google.com/spreadsheets/d/1EcLIvUgMoBC5as4ikW0wuQsGH5yVZ6cQ1y16qEfgPnk"",""BD M Sangrias!a:i""),""select Col6 whe"&amp;"re Col7 = 'Caixa Atendimento' and Col9 = '""&amp;K228&amp;""' and Col6 = ""&amp;M228&amp;"" and Col4 = date '""&amp;YEAR(C228)&amp;""-""&amp;MONTH(C228)&amp;""-""&amp;DAY(C228)&amp;""'""))&gt;0,""Caixa Atendimento"",""Caixa Sangria"")),""""),""Caixa Sangria"")"),"")</f>
        <v/>
      </c>
      <c r="M228" s="185" t="str">
        <f>IFERROR(__xludf.DUMMYFUNCTION("ifna(VALUE(REGEXEXTRACT(E228,""[0-9.]+[,]+[0-9]+"")))"),"")</f>
        <v/>
      </c>
      <c r="N228" s="185"/>
      <c r="O228" s="185"/>
      <c r="P228" s="185"/>
      <c r="Q228" s="185"/>
      <c r="R228" s="185"/>
      <c r="S228" s="185"/>
      <c r="T228" s="185"/>
      <c r="U228" s="185"/>
      <c r="V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184" t="str">
        <f>IFERROR(__xludf.DUMMYFUNCTION("ifna(IF(and(D229=""Saída"",J229=""Sangria""),if(sum(QUERY(IMPORTRANGE(""https://docs.google.com/spreadsheets/d/1E4szPcLzsqlw4uyBAoJ61L1ChCgpz4wVP8tHfHW1g_c"",""BD M Sangrias!a:i""),""select Col6 where Col7 = 'Depositada' and Col9 = '""&amp;K229&amp;""' and Col6 ="&amp;" ""&amp;M229&amp;"" and Col4 = date '""&amp;YEAR(C229)&amp;""-""&amp;MONTH(C229)&amp;""-""&amp;DAY(C229)&amp;""'""))&gt;0,""Depositada"",if(sum(QUERY(IMPORTRANGE(""https://docs.google.com/spreadsheets/d/1EcLIvUgMoBC5as4ikW0wuQsGH5yVZ6cQ1y16qEfgPnk"",""BD M Sangrias!a:i""),""select Col6 whe"&amp;"re Col7 = 'Caixa Atendimento' and Col9 = '""&amp;K229&amp;""' and Col6 = ""&amp;M229&amp;"" and Col4 = date '""&amp;YEAR(C229)&amp;""-""&amp;MONTH(C229)&amp;""-""&amp;DAY(C229)&amp;""'""))&gt;0,""Caixa Atendimento"",""Caixa Sangria"")),""""),""Caixa Sangria"")"),"")</f>
        <v/>
      </c>
      <c r="M229" s="185" t="str">
        <f>IFERROR(__xludf.DUMMYFUNCTION("ifna(VALUE(REGEXEXTRACT(E229,""[0-9.]+[,]+[0-9]+"")))"),"")</f>
        <v/>
      </c>
      <c r="N229" s="185"/>
      <c r="O229" s="185"/>
      <c r="P229" s="185"/>
      <c r="Q229" s="185"/>
      <c r="R229" s="185"/>
      <c r="S229" s="185"/>
      <c r="T229" s="185"/>
      <c r="U229" s="185"/>
      <c r="V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184" t="str">
        <f>IFERROR(__xludf.DUMMYFUNCTION("ifna(IF(and(D230=""Saída"",J230=""Sangria""),if(sum(QUERY(IMPORTRANGE(""https://docs.google.com/spreadsheets/d/1E4szPcLzsqlw4uyBAoJ61L1ChCgpz4wVP8tHfHW1g_c"",""BD M Sangrias!a:i""),""select Col6 where Col7 = 'Depositada' and Col9 = '""&amp;K230&amp;""' and Col6 ="&amp;" ""&amp;M230&amp;"" and Col4 = date '""&amp;YEAR(C230)&amp;""-""&amp;MONTH(C230)&amp;""-""&amp;DAY(C230)&amp;""'""))&gt;0,""Depositada"",if(sum(QUERY(IMPORTRANGE(""https://docs.google.com/spreadsheets/d/1EcLIvUgMoBC5as4ikW0wuQsGH5yVZ6cQ1y16qEfgPnk"",""BD M Sangrias!a:i""),""select Col6 whe"&amp;"re Col7 = 'Caixa Atendimento' and Col9 = '""&amp;K230&amp;""' and Col6 = ""&amp;M230&amp;"" and Col4 = date '""&amp;YEAR(C230)&amp;""-""&amp;MONTH(C230)&amp;""-""&amp;DAY(C230)&amp;""'""))&gt;0,""Caixa Atendimento"",""Caixa Sangria"")),""""),""Caixa Sangria"")"),"")</f>
        <v/>
      </c>
      <c r="M230" s="185" t="str">
        <f>IFERROR(__xludf.DUMMYFUNCTION("ifna(VALUE(REGEXEXTRACT(E230,""[0-9.]+[,]+[0-9]+"")))"),"")</f>
        <v/>
      </c>
      <c r="N230" s="185"/>
      <c r="O230" s="185"/>
      <c r="P230" s="185"/>
      <c r="Q230" s="185"/>
      <c r="R230" s="185"/>
      <c r="S230" s="185"/>
      <c r="T230" s="185"/>
      <c r="U230" s="185"/>
      <c r="V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184" t="str">
        <f>IFERROR(__xludf.DUMMYFUNCTION("ifna(IF(and(D231=""Saída"",J231=""Sangria""),if(sum(QUERY(IMPORTRANGE(""https://docs.google.com/spreadsheets/d/1E4szPcLzsqlw4uyBAoJ61L1ChCgpz4wVP8tHfHW1g_c"",""BD M Sangrias!a:i""),""select Col6 where Col7 = 'Depositada' and Col9 = '""&amp;K231&amp;""' and Col6 ="&amp;" ""&amp;M231&amp;"" and Col4 = date '""&amp;YEAR(C231)&amp;""-""&amp;MONTH(C231)&amp;""-""&amp;DAY(C231)&amp;""'""))&gt;0,""Depositada"",if(sum(QUERY(IMPORTRANGE(""https://docs.google.com/spreadsheets/d/1EcLIvUgMoBC5as4ikW0wuQsGH5yVZ6cQ1y16qEfgPnk"",""BD M Sangrias!a:i""),""select Col6 whe"&amp;"re Col7 = 'Caixa Atendimento' and Col9 = '""&amp;K231&amp;""' and Col6 = ""&amp;M231&amp;"" and Col4 = date '""&amp;YEAR(C231)&amp;""-""&amp;MONTH(C231)&amp;""-""&amp;DAY(C231)&amp;""'""))&gt;0,""Caixa Atendimento"",""Caixa Sangria"")),""""),""Caixa Sangria"")"),"")</f>
        <v/>
      </c>
      <c r="M231" s="185" t="str">
        <f>IFERROR(__xludf.DUMMYFUNCTION("ifna(VALUE(REGEXEXTRACT(E231,""[0-9.]+[,]+[0-9]+"")))"),"")</f>
        <v/>
      </c>
      <c r="N231" s="185"/>
      <c r="O231" s="185"/>
      <c r="P231" s="185"/>
      <c r="Q231" s="185"/>
      <c r="R231" s="185"/>
      <c r="S231" s="185"/>
      <c r="T231" s="185"/>
      <c r="U231" s="185"/>
      <c r="V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184" t="str">
        <f>IFERROR(__xludf.DUMMYFUNCTION("ifna(IF(and(D232=""Saída"",J232=""Sangria""),if(sum(QUERY(IMPORTRANGE(""https://docs.google.com/spreadsheets/d/1E4szPcLzsqlw4uyBAoJ61L1ChCgpz4wVP8tHfHW1g_c"",""BD M Sangrias!a:i""),""select Col6 where Col7 = 'Depositada' and Col9 = '""&amp;K232&amp;""' and Col6 ="&amp;" ""&amp;M232&amp;"" and Col4 = date '""&amp;YEAR(C232)&amp;""-""&amp;MONTH(C232)&amp;""-""&amp;DAY(C232)&amp;""'""))&gt;0,""Depositada"",if(sum(QUERY(IMPORTRANGE(""https://docs.google.com/spreadsheets/d/1EcLIvUgMoBC5as4ikW0wuQsGH5yVZ6cQ1y16qEfgPnk"",""BD M Sangrias!a:i""),""select Col6 whe"&amp;"re Col7 = 'Caixa Atendimento' and Col9 = '""&amp;K232&amp;""' and Col6 = ""&amp;M232&amp;"" and Col4 = date '""&amp;YEAR(C232)&amp;""-""&amp;MONTH(C232)&amp;""-""&amp;DAY(C232)&amp;""'""))&gt;0,""Caixa Atendimento"",""Caixa Sangria"")),""""),""Caixa Sangria"")"),"")</f>
        <v/>
      </c>
      <c r="M232" s="185" t="str">
        <f>IFERROR(__xludf.DUMMYFUNCTION("ifna(VALUE(REGEXEXTRACT(E232,""[0-9.]+[,]+[0-9]+"")))"),"")</f>
        <v/>
      </c>
      <c r="N232" s="185"/>
      <c r="O232" s="185"/>
      <c r="P232" s="185"/>
      <c r="Q232" s="185"/>
      <c r="R232" s="185"/>
      <c r="S232" s="185"/>
      <c r="T232" s="185"/>
      <c r="U232" s="185"/>
      <c r="V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184" t="str">
        <f>IFERROR(__xludf.DUMMYFUNCTION("ifna(IF(and(D233=""Saída"",J233=""Sangria""),if(sum(QUERY(IMPORTRANGE(""https://docs.google.com/spreadsheets/d/1E4szPcLzsqlw4uyBAoJ61L1ChCgpz4wVP8tHfHW1g_c"",""BD M Sangrias!a:i""),""select Col6 where Col7 = 'Depositada' and Col9 = '""&amp;K233&amp;""' and Col6 ="&amp;" ""&amp;M233&amp;"" and Col4 = date '""&amp;YEAR(C233)&amp;""-""&amp;MONTH(C233)&amp;""-""&amp;DAY(C233)&amp;""'""))&gt;0,""Depositada"",if(sum(QUERY(IMPORTRANGE(""https://docs.google.com/spreadsheets/d/1EcLIvUgMoBC5as4ikW0wuQsGH5yVZ6cQ1y16qEfgPnk"",""BD M Sangrias!a:i""),""select Col6 whe"&amp;"re Col7 = 'Caixa Atendimento' and Col9 = '""&amp;K233&amp;""' and Col6 = ""&amp;M233&amp;"" and Col4 = date '""&amp;YEAR(C233)&amp;""-""&amp;MONTH(C233)&amp;""-""&amp;DAY(C233)&amp;""'""))&gt;0,""Caixa Atendimento"",""Caixa Sangria"")),""""),""Caixa Sangria"")"),"")</f>
        <v/>
      </c>
      <c r="M233" s="185" t="str">
        <f>IFERROR(__xludf.DUMMYFUNCTION("ifna(VALUE(REGEXEXTRACT(E233,""[0-9.]+[,]+[0-9]+"")))"),"")</f>
        <v/>
      </c>
      <c r="N233" s="185"/>
      <c r="O233" s="185"/>
      <c r="P233" s="185"/>
      <c r="Q233" s="185"/>
      <c r="R233" s="185"/>
      <c r="S233" s="185"/>
      <c r="T233" s="185"/>
      <c r="U233" s="185"/>
      <c r="V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184" t="str">
        <f>IFERROR(__xludf.DUMMYFUNCTION("ifna(IF(and(D234=""Saída"",J234=""Sangria""),if(sum(QUERY(IMPORTRANGE(""https://docs.google.com/spreadsheets/d/1E4szPcLzsqlw4uyBAoJ61L1ChCgpz4wVP8tHfHW1g_c"",""BD M Sangrias!a:i""),""select Col6 where Col7 = 'Depositada' and Col9 = '""&amp;K234&amp;""' and Col6 ="&amp;" ""&amp;M234&amp;"" and Col4 = date '""&amp;YEAR(C234)&amp;""-""&amp;MONTH(C234)&amp;""-""&amp;DAY(C234)&amp;""'""))&gt;0,""Depositada"",if(sum(QUERY(IMPORTRANGE(""https://docs.google.com/spreadsheets/d/1EcLIvUgMoBC5as4ikW0wuQsGH5yVZ6cQ1y16qEfgPnk"",""BD M Sangrias!a:i""),""select Col6 whe"&amp;"re Col7 = 'Caixa Atendimento' and Col9 = '""&amp;K234&amp;""' and Col6 = ""&amp;M234&amp;"" and Col4 = date '""&amp;YEAR(C234)&amp;""-""&amp;MONTH(C234)&amp;""-""&amp;DAY(C234)&amp;""'""))&gt;0,""Caixa Atendimento"",""Caixa Sangria"")),""""),""Caixa Sangria"")"),"")</f>
        <v/>
      </c>
      <c r="M234" s="185" t="str">
        <f>IFERROR(__xludf.DUMMYFUNCTION("ifna(VALUE(REGEXEXTRACT(E234,""[0-9.]+[,]+[0-9]+"")))"),"")</f>
        <v/>
      </c>
      <c r="N234" s="185"/>
      <c r="O234" s="185"/>
      <c r="P234" s="185"/>
      <c r="Q234" s="185"/>
      <c r="R234" s="185"/>
      <c r="S234" s="185"/>
      <c r="T234" s="185"/>
      <c r="U234" s="185"/>
      <c r="V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184" t="str">
        <f>IFERROR(__xludf.DUMMYFUNCTION("ifna(IF(and(D235=""Saída"",J235=""Sangria""),if(sum(QUERY(IMPORTRANGE(""https://docs.google.com/spreadsheets/d/1E4szPcLzsqlw4uyBAoJ61L1ChCgpz4wVP8tHfHW1g_c"",""BD M Sangrias!a:i""),""select Col6 where Col7 = 'Depositada' and Col9 = '""&amp;K235&amp;""' and Col6 ="&amp;" ""&amp;M235&amp;"" and Col4 = date '""&amp;YEAR(C235)&amp;""-""&amp;MONTH(C235)&amp;""-""&amp;DAY(C235)&amp;""'""))&gt;0,""Depositada"",if(sum(QUERY(IMPORTRANGE(""https://docs.google.com/spreadsheets/d/1EcLIvUgMoBC5as4ikW0wuQsGH5yVZ6cQ1y16qEfgPnk"",""BD M Sangrias!a:i""),""select Col6 whe"&amp;"re Col7 = 'Caixa Atendimento' and Col9 = '""&amp;K235&amp;""' and Col6 = ""&amp;M235&amp;"" and Col4 = date '""&amp;YEAR(C235)&amp;""-""&amp;MONTH(C235)&amp;""-""&amp;DAY(C235)&amp;""'""))&gt;0,""Caixa Atendimento"",""Caixa Sangria"")),""""),""Caixa Sangria"")"),"")</f>
        <v/>
      </c>
      <c r="M235" s="185" t="str">
        <f>IFERROR(__xludf.DUMMYFUNCTION("ifna(VALUE(REGEXEXTRACT(E235,""[0-9.]+[,]+[0-9]+"")))"),"")</f>
        <v/>
      </c>
      <c r="N235" s="185"/>
      <c r="O235" s="185"/>
      <c r="P235" s="185"/>
      <c r="Q235" s="185"/>
      <c r="R235" s="185"/>
      <c r="S235" s="185"/>
      <c r="T235" s="185"/>
      <c r="U235" s="185"/>
      <c r="V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184" t="str">
        <f>IFERROR(__xludf.DUMMYFUNCTION("ifna(IF(and(D236=""Saída"",J236=""Sangria""),if(sum(QUERY(IMPORTRANGE(""https://docs.google.com/spreadsheets/d/1E4szPcLzsqlw4uyBAoJ61L1ChCgpz4wVP8tHfHW1g_c"",""BD M Sangrias!a:i""),""select Col6 where Col7 = 'Depositada' and Col9 = '""&amp;K236&amp;""' and Col6 ="&amp;" ""&amp;M236&amp;"" and Col4 = date '""&amp;YEAR(C236)&amp;""-""&amp;MONTH(C236)&amp;""-""&amp;DAY(C236)&amp;""'""))&gt;0,""Depositada"",if(sum(QUERY(IMPORTRANGE(""https://docs.google.com/spreadsheets/d/1EcLIvUgMoBC5as4ikW0wuQsGH5yVZ6cQ1y16qEfgPnk"",""BD M Sangrias!a:i""),""select Col6 whe"&amp;"re Col7 = 'Caixa Atendimento' and Col9 = '""&amp;K236&amp;""' and Col6 = ""&amp;M236&amp;"" and Col4 = date '""&amp;YEAR(C236)&amp;""-""&amp;MONTH(C236)&amp;""-""&amp;DAY(C236)&amp;""'""))&gt;0,""Caixa Atendimento"",""Caixa Sangria"")),""""),""Caixa Sangria"")"),"")</f>
        <v/>
      </c>
      <c r="M236" s="185" t="str">
        <f>IFERROR(__xludf.DUMMYFUNCTION("ifna(VALUE(REGEXEXTRACT(E236,""[0-9.]+[,]+[0-9]+"")))"),"")</f>
        <v/>
      </c>
      <c r="N236" s="185"/>
      <c r="O236" s="185"/>
      <c r="P236" s="185"/>
      <c r="Q236" s="185"/>
      <c r="R236" s="185"/>
      <c r="S236" s="185"/>
      <c r="T236" s="185"/>
      <c r="U236" s="185"/>
      <c r="V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184" t="str">
        <f>IFERROR(__xludf.DUMMYFUNCTION("ifna(IF(and(D237=""Saída"",J237=""Sangria""),if(sum(QUERY(IMPORTRANGE(""https://docs.google.com/spreadsheets/d/1E4szPcLzsqlw4uyBAoJ61L1ChCgpz4wVP8tHfHW1g_c"",""BD M Sangrias!a:i""),""select Col6 where Col7 = 'Depositada' and Col9 = '""&amp;K237&amp;""' and Col6 ="&amp;" ""&amp;M237&amp;"" and Col4 = date '""&amp;YEAR(C237)&amp;""-""&amp;MONTH(C237)&amp;""-""&amp;DAY(C237)&amp;""'""))&gt;0,""Depositada"",if(sum(QUERY(IMPORTRANGE(""https://docs.google.com/spreadsheets/d/1EcLIvUgMoBC5as4ikW0wuQsGH5yVZ6cQ1y16qEfgPnk"",""BD M Sangrias!a:i""),""select Col6 whe"&amp;"re Col7 = 'Caixa Atendimento' and Col9 = '""&amp;K237&amp;""' and Col6 = ""&amp;M237&amp;"" and Col4 = date '""&amp;YEAR(C237)&amp;""-""&amp;MONTH(C237)&amp;""-""&amp;DAY(C237)&amp;""'""))&gt;0,""Caixa Atendimento"",""Caixa Sangria"")),""""),""Caixa Sangria"")"),"")</f>
        <v/>
      </c>
      <c r="M237" s="185" t="str">
        <f>IFERROR(__xludf.DUMMYFUNCTION("ifna(VALUE(REGEXEXTRACT(E237,""[0-9.]+[,]+[0-9]+"")))"),"")</f>
        <v/>
      </c>
      <c r="N237" s="185"/>
      <c r="O237" s="185"/>
      <c r="P237" s="185"/>
      <c r="Q237" s="185"/>
      <c r="R237" s="185"/>
      <c r="S237" s="185"/>
      <c r="T237" s="185"/>
      <c r="U237" s="185"/>
      <c r="V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184" t="str">
        <f>IFERROR(__xludf.DUMMYFUNCTION("ifna(IF(and(D238=""Saída"",J238=""Sangria""),if(sum(QUERY(IMPORTRANGE(""https://docs.google.com/spreadsheets/d/1E4szPcLzsqlw4uyBAoJ61L1ChCgpz4wVP8tHfHW1g_c"",""BD M Sangrias!a:i""),""select Col6 where Col7 = 'Depositada' and Col9 = '""&amp;K238&amp;""' and Col6 ="&amp;" ""&amp;M238&amp;"" and Col4 = date '""&amp;YEAR(C238)&amp;""-""&amp;MONTH(C238)&amp;""-""&amp;DAY(C238)&amp;""'""))&gt;0,""Depositada"",if(sum(QUERY(IMPORTRANGE(""https://docs.google.com/spreadsheets/d/1EcLIvUgMoBC5as4ikW0wuQsGH5yVZ6cQ1y16qEfgPnk"",""BD M Sangrias!a:i""),""select Col6 whe"&amp;"re Col7 = 'Caixa Atendimento' and Col9 = '""&amp;K238&amp;""' and Col6 = ""&amp;M238&amp;"" and Col4 = date '""&amp;YEAR(C238)&amp;""-""&amp;MONTH(C238)&amp;""-""&amp;DAY(C238)&amp;""'""))&gt;0,""Caixa Atendimento"",""Caixa Sangria"")),""""),""Caixa Sangria"")"),"")</f>
        <v/>
      </c>
      <c r="M238" s="185" t="str">
        <f>IFERROR(__xludf.DUMMYFUNCTION("ifna(VALUE(REGEXEXTRACT(E238,""[0-9.]+[,]+[0-9]+"")))"),"")</f>
        <v/>
      </c>
      <c r="N238" s="185"/>
      <c r="O238" s="185"/>
      <c r="P238" s="185"/>
      <c r="Q238" s="185"/>
      <c r="R238" s="185"/>
      <c r="S238" s="185"/>
      <c r="T238" s="185"/>
      <c r="U238" s="185"/>
      <c r="V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184" t="str">
        <f>IFERROR(__xludf.DUMMYFUNCTION("ifna(IF(and(D239=""Saída"",J239=""Sangria""),if(sum(QUERY(IMPORTRANGE(""https://docs.google.com/spreadsheets/d/1E4szPcLzsqlw4uyBAoJ61L1ChCgpz4wVP8tHfHW1g_c"",""BD M Sangrias!a:i""),""select Col6 where Col7 = 'Depositada' and Col9 = '""&amp;K239&amp;""' and Col6 ="&amp;" ""&amp;M239&amp;"" and Col4 = date '""&amp;YEAR(C239)&amp;""-""&amp;MONTH(C239)&amp;""-""&amp;DAY(C239)&amp;""'""))&gt;0,""Depositada"",if(sum(QUERY(IMPORTRANGE(""https://docs.google.com/spreadsheets/d/1EcLIvUgMoBC5as4ikW0wuQsGH5yVZ6cQ1y16qEfgPnk"",""BD M Sangrias!a:i""),""select Col6 whe"&amp;"re Col7 = 'Caixa Atendimento' and Col9 = '""&amp;K239&amp;""' and Col6 = ""&amp;M239&amp;"" and Col4 = date '""&amp;YEAR(C239)&amp;""-""&amp;MONTH(C239)&amp;""-""&amp;DAY(C239)&amp;""'""))&gt;0,""Caixa Atendimento"",""Caixa Sangria"")),""""),""Caixa Sangria"")"),"")</f>
        <v/>
      </c>
      <c r="M239" s="185" t="str">
        <f>IFERROR(__xludf.DUMMYFUNCTION("ifna(VALUE(REGEXEXTRACT(E239,""[0-9.]+[,]+[0-9]+"")))"),"")</f>
        <v/>
      </c>
      <c r="N239" s="185"/>
      <c r="O239" s="185"/>
      <c r="P239" s="185"/>
      <c r="Q239" s="185"/>
      <c r="R239" s="185"/>
      <c r="S239" s="185"/>
      <c r="T239" s="185"/>
      <c r="U239" s="185"/>
      <c r="V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184" t="str">
        <f>IFERROR(__xludf.DUMMYFUNCTION("ifna(IF(and(D240=""Saída"",J240=""Sangria""),if(sum(QUERY(IMPORTRANGE(""https://docs.google.com/spreadsheets/d/1E4szPcLzsqlw4uyBAoJ61L1ChCgpz4wVP8tHfHW1g_c"",""BD M Sangrias!a:i""),""select Col6 where Col7 = 'Depositada' and Col9 = '""&amp;K240&amp;""' and Col6 ="&amp;" ""&amp;M240&amp;"" and Col4 = date '""&amp;YEAR(C240)&amp;""-""&amp;MONTH(C240)&amp;""-""&amp;DAY(C240)&amp;""'""))&gt;0,""Depositada"",if(sum(QUERY(IMPORTRANGE(""https://docs.google.com/spreadsheets/d/1EcLIvUgMoBC5as4ikW0wuQsGH5yVZ6cQ1y16qEfgPnk"",""BD M Sangrias!a:i""),""select Col6 whe"&amp;"re Col7 = 'Caixa Atendimento' and Col9 = '""&amp;K240&amp;""' and Col6 = ""&amp;M240&amp;"" and Col4 = date '""&amp;YEAR(C240)&amp;""-""&amp;MONTH(C240)&amp;""-""&amp;DAY(C240)&amp;""'""))&gt;0,""Caixa Atendimento"",""Caixa Sangria"")),""""),""Caixa Sangria"")"),"")</f>
        <v/>
      </c>
      <c r="M240" s="185" t="str">
        <f>IFERROR(__xludf.DUMMYFUNCTION("ifna(VALUE(REGEXEXTRACT(E240,""[0-9.]+[,]+[0-9]+"")))"),"")</f>
        <v/>
      </c>
      <c r="N240" s="185"/>
      <c r="O240" s="185"/>
      <c r="P240" s="185"/>
      <c r="Q240" s="185"/>
      <c r="R240" s="185"/>
      <c r="S240" s="185"/>
      <c r="T240" s="185"/>
      <c r="U240" s="185"/>
      <c r="V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184" t="str">
        <f>IFERROR(__xludf.DUMMYFUNCTION("ifna(IF(and(D241=""Saída"",J241=""Sangria""),if(sum(QUERY(IMPORTRANGE(""https://docs.google.com/spreadsheets/d/1E4szPcLzsqlw4uyBAoJ61L1ChCgpz4wVP8tHfHW1g_c"",""BD M Sangrias!a:i""),""select Col6 where Col7 = 'Depositada' and Col9 = '""&amp;K241&amp;""' and Col6 ="&amp;" ""&amp;M241&amp;"" and Col4 = date '""&amp;YEAR(C241)&amp;""-""&amp;MONTH(C241)&amp;""-""&amp;DAY(C241)&amp;""'""))&gt;0,""Depositada"",if(sum(QUERY(IMPORTRANGE(""https://docs.google.com/spreadsheets/d/1EcLIvUgMoBC5as4ikW0wuQsGH5yVZ6cQ1y16qEfgPnk"",""BD M Sangrias!a:i""),""select Col6 whe"&amp;"re Col7 = 'Caixa Atendimento' and Col9 = '""&amp;K241&amp;""' and Col6 = ""&amp;M241&amp;"" and Col4 = date '""&amp;YEAR(C241)&amp;""-""&amp;MONTH(C241)&amp;""-""&amp;DAY(C241)&amp;""'""))&gt;0,""Caixa Atendimento"",""Caixa Sangria"")),""""),""Caixa Sangria"")"),"")</f>
        <v/>
      </c>
      <c r="M241" s="185" t="str">
        <f>IFERROR(__xludf.DUMMYFUNCTION("ifna(VALUE(REGEXEXTRACT(E241,""[0-9.]+[,]+[0-9]+"")))"),"")</f>
        <v/>
      </c>
      <c r="N241" s="185"/>
      <c r="O241" s="185"/>
      <c r="P241" s="185"/>
      <c r="Q241" s="185"/>
      <c r="R241" s="185"/>
      <c r="S241" s="185"/>
      <c r="T241" s="185"/>
      <c r="U241" s="185"/>
      <c r="V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184" t="str">
        <f>IFERROR(__xludf.DUMMYFUNCTION("ifna(IF(and(D242=""Saída"",J242=""Sangria""),if(sum(QUERY(IMPORTRANGE(""https://docs.google.com/spreadsheets/d/1E4szPcLzsqlw4uyBAoJ61L1ChCgpz4wVP8tHfHW1g_c"",""BD M Sangrias!a:i""),""select Col6 where Col7 = 'Depositada' and Col9 = '""&amp;K242&amp;""' and Col6 ="&amp;" ""&amp;M242&amp;"" and Col4 = date '""&amp;YEAR(C242)&amp;""-""&amp;MONTH(C242)&amp;""-""&amp;DAY(C242)&amp;""'""))&gt;0,""Depositada"",if(sum(QUERY(IMPORTRANGE(""https://docs.google.com/spreadsheets/d/1EcLIvUgMoBC5as4ikW0wuQsGH5yVZ6cQ1y16qEfgPnk"",""BD M Sangrias!a:i""),""select Col6 whe"&amp;"re Col7 = 'Caixa Atendimento' and Col9 = '""&amp;K242&amp;""' and Col6 = ""&amp;M242&amp;"" and Col4 = date '""&amp;YEAR(C242)&amp;""-""&amp;MONTH(C242)&amp;""-""&amp;DAY(C242)&amp;""'""))&gt;0,""Caixa Atendimento"",""Caixa Sangria"")),""""),""Caixa Sangria"")"),"")</f>
        <v/>
      </c>
      <c r="M242" s="185" t="str">
        <f>IFERROR(__xludf.DUMMYFUNCTION("ifna(VALUE(REGEXEXTRACT(E242,""[0-9.]+[,]+[0-9]+"")))"),"")</f>
        <v/>
      </c>
      <c r="N242" s="185"/>
      <c r="O242" s="185"/>
      <c r="P242" s="185"/>
      <c r="Q242" s="185"/>
      <c r="R242" s="185"/>
      <c r="S242" s="185"/>
      <c r="T242" s="185"/>
      <c r="U242" s="185"/>
      <c r="V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184" t="str">
        <f>IFERROR(__xludf.DUMMYFUNCTION("ifna(IF(and(D243=""Saída"",J243=""Sangria""),if(sum(QUERY(IMPORTRANGE(""https://docs.google.com/spreadsheets/d/1E4szPcLzsqlw4uyBAoJ61L1ChCgpz4wVP8tHfHW1g_c"",""BD M Sangrias!a:i""),""select Col6 where Col7 = 'Depositada' and Col9 = '""&amp;K243&amp;""' and Col6 ="&amp;" ""&amp;M243&amp;"" and Col4 = date '""&amp;YEAR(C243)&amp;""-""&amp;MONTH(C243)&amp;""-""&amp;DAY(C243)&amp;""'""))&gt;0,""Depositada"",if(sum(QUERY(IMPORTRANGE(""https://docs.google.com/spreadsheets/d/1EcLIvUgMoBC5as4ikW0wuQsGH5yVZ6cQ1y16qEfgPnk"",""BD M Sangrias!a:i""),""select Col6 whe"&amp;"re Col7 = 'Caixa Atendimento' and Col9 = '""&amp;K243&amp;""' and Col6 = ""&amp;M243&amp;"" and Col4 = date '""&amp;YEAR(C243)&amp;""-""&amp;MONTH(C243)&amp;""-""&amp;DAY(C243)&amp;""'""))&gt;0,""Caixa Atendimento"",""Caixa Sangria"")),""""),""Caixa Sangria"")"),"")</f>
        <v/>
      </c>
      <c r="M243" s="185" t="str">
        <f>IFERROR(__xludf.DUMMYFUNCTION("ifna(VALUE(REGEXEXTRACT(E243,""[0-9.]+[,]+[0-9]+"")))"),"")</f>
        <v/>
      </c>
      <c r="N243" s="185"/>
      <c r="O243" s="185"/>
      <c r="P243" s="185"/>
      <c r="Q243" s="185"/>
      <c r="R243" s="185"/>
      <c r="S243" s="185"/>
      <c r="T243" s="185"/>
      <c r="U243" s="185"/>
      <c r="V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184" t="str">
        <f>IFERROR(__xludf.DUMMYFUNCTION("ifna(IF(and(D244=""Saída"",J244=""Sangria""),if(sum(QUERY(IMPORTRANGE(""https://docs.google.com/spreadsheets/d/1E4szPcLzsqlw4uyBAoJ61L1ChCgpz4wVP8tHfHW1g_c"",""BD M Sangrias!a:i""),""select Col6 where Col7 = 'Depositada' and Col9 = '""&amp;K244&amp;""' and Col6 ="&amp;" ""&amp;M244&amp;"" and Col4 = date '""&amp;YEAR(C244)&amp;""-""&amp;MONTH(C244)&amp;""-""&amp;DAY(C244)&amp;""'""))&gt;0,""Depositada"",if(sum(QUERY(IMPORTRANGE(""https://docs.google.com/spreadsheets/d/1EcLIvUgMoBC5as4ikW0wuQsGH5yVZ6cQ1y16qEfgPnk"",""BD M Sangrias!a:i""),""select Col6 whe"&amp;"re Col7 = 'Caixa Atendimento' and Col9 = '""&amp;K244&amp;""' and Col6 = ""&amp;M244&amp;"" and Col4 = date '""&amp;YEAR(C244)&amp;""-""&amp;MONTH(C244)&amp;""-""&amp;DAY(C244)&amp;""'""))&gt;0,""Caixa Atendimento"",""Caixa Sangria"")),""""),""Caixa Sangria"")"),"")</f>
        <v/>
      </c>
      <c r="M244" s="185" t="str">
        <f>IFERROR(__xludf.DUMMYFUNCTION("ifna(VALUE(REGEXEXTRACT(E244,""[0-9.]+[,]+[0-9]+"")))"),"")</f>
        <v/>
      </c>
      <c r="N244" s="185"/>
      <c r="O244" s="185"/>
      <c r="P244" s="185"/>
      <c r="Q244" s="185"/>
      <c r="R244" s="185"/>
      <c r="S244" s="185"/>
      <c r="T244" s="185"/>
      <c r="U244" s="185"/>
      <c r="V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184" t="str">
        <f>IFERROR(__xludf.DUMMYFUNCTION("ifna(IF(and(D245=""Saída"",J245=""Sangria""),if(sum(QUERY(IMPORTRANGE(""https://docs.google.com/spreadsheets/d/1E4szPcLzsqlw4uyBAoJ61L1ChCgpz4wVP8tHfHW1g_c"",""BD M Sangrias!a:i""),""select Col6 where Col7 = 'Depositada' and Col9 = '""&amp;K245&amp;""' and Col6 ="&amp;" ""&amp;M245&amp;"" and Col4 = date '""&amp;YEAR(C245)&amp;""-""&amp;MONTH(C245)&amp;""-""&amp;DAY(C245)&amp;""'""))&gt;0,""Depositada"",if(sum(QUERY(IMPORTRANGE(""https://docs.google.com/spreadsheets/d/1EcLIvUgMoBC5as4ikW0wuQsGH5yVZ6cQ1y16qEfgPnk"",""BD M Sangrias!a:i""),""select Col6 whe"&amp;"re Col7 = 'Caixa Atendimento' and Col9 = '""&amp;K245&amp;""' and Col6 = ""&amp;M245&amp;"" and Col4 = date '""&amp;YEAR(C245)&amp;""-""&amp;MONTH(C245)&amp;""-""&amp;DAY(C245)&amp;""'""))&gt;0,""Caixa Atendimento"",""Caixa Sangria"")),""""),""Caixa Sangria"")"),"")</f>
        <v/>
      </c>
      <c r="M245" s="185" t="str">
        <f>IFERROR(__xludf.DUMMYFUNCTION("ifna(VALUE(REGEXEXTRACT(E245,""[0-9.]+[,]+[0-9]+"")))"),"")</f>
        <v/>
      </c>
      <c r="N245" s="185"/>
      <c r="O245" s="185"/>
      <c r="P245" s="185"/>
      <c r="Q245" s="185"/>
      <c r="R245" s="185"/>
      <c r="S245" s="185"/>
      <c r="T245" s="185"/>
      <c r="U245" s="185"/>
      <c r="V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184" t="str">
        <f>IFERROR(__xludf.DUMMYFUNCTION("ifna(IF(and(D246=""Saída"",J246=""Sangria""),if(sum(QUERY(IMPORTRANGE(""https://docs.google.com/spreadsheets/d/1E4szPcLzsqlw4uyBAoJ61L1ChCgpz4wVP8tHfHW1g_c"",""BD M Sangrias!a:i""),""select Col6 where Col7 = 'Depositada' and Col9 = '""&amp;K246&amp;""' and Col6 ="&amp;" ""&amp;M246&amp;"" and Col4 = date '""&amp;YEAR(C246)&amp;""-""&amp;MONTH(C246)&amp;""-""&amp;DAY(C246)&amp;""'""))&gt;0,""Depositada"",if(sum(QUERY(IMPORTRANGE(""https://docs.google.com/spreadsheets/d/1EcLIvUgMoBC5as4ikW0wuQsGH5yVZ6cQ1y16qEfgPnk"",""BD M Sangrias!a:i""),""select Col6 whe"&amp;"re Col7 = 'Caixa Atendimento' and Col9 = '""&amp;K246&amp;""' and Col6 = ""&amp;M246&amp;"" and Col4 = date '""&amp;YEAR(C246)&amp;""-""&amp;MONTH(C246)&amp;""-""&amp;DAY(C246)&amp;""'""))&gt;0,""Caixa Atendimento"",""Caixa Sangria"")),""""),""Caixa Sangria"")"),"")</f>
        <v/>
      </c>
      <c r="M246" s="185" t="str">
        <f>IFERROR(__xludf.DUMMYFUNCTION("ifna(VALUE(REGEXEXTRACT(E246,""[0-9.]+[,]+[0-9]+"")))"),"")</f>
        <v/>
      </c>
      <c r="N246" s="185"/>
      <c r="O246" s="185"/>
      <c r="P246" s="185"/>
      <c r="Q246" s="185"/>
      <c r="R246" s="185"/>
      <c r="S246" s="185"/>
      <c r="T246" s="185"/>
      <c r="U246" s="185"/>
      <c r="V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184" t="str">
        <f>IFERROR(__xludf.DUMMYFUNCTION("ifna(IF(and(D247=""Saída"",J247=""Sangria""),if(sum(QUERY(IMPORTRANGE(""https://docs.google.com/spreadsheets/d/1E4szPcLzsqlw4uyBAoJ61L1ChCgpz4wVP8tHfHW1g_c"",""BD M Sangrias!a:i""),""select Col6 where Col7 = 'Depositada' and Col9 = '""&amp;K247&amp;""' and Col6 ="&amp;" ""&amp;M247&amp;"" and Col4 = date '""&amp;YEAR(C247)&amp;""-""&amp;MONTH(C247)&amp;""-""&amp;DAY(C247)&amp;""'""))&gt;0,""Depositada"",if(sum(QUERY(IMPORTRANGE(""https://docs.google.com/spreadsheets/d/1EcLIvUgMoBC5as4ikW0wuQsGH5yVZ6cQ1y16qEfgPnk"",""BD M Sangrias!a:i""),""select Col6 whe"&amp;"re Col7 = 'Caixa Atendimento' and Col9 = '""&amp;K247&amp;""' and Col6 = ""&amp;M247&amp;"" and Col4 = date '""&amp;YEAR(C247)&amp;""-""&amp;MONTH(C247)&amp;""-""&amp;DAY(C247)&amp;""'""))&gt;0,""Caixa Atendimento"",""Caixa Sangria"")),""""),""Caixa Sangria"")"),"")</f>
        <v/>
      </c>
      <c r="M247" s="185" t="str">
        <f>IFERROR(__xludf.DUMMYFUNCTION("ifna(VALUE(REGEXEXTRACT(E247,""[0-9.]+[,]+[0-9]+"")))"),"")</f>
        <v/>
      </c>
      <c r="N247" s="185"/>
      <c r="O247" s="185"/>
      <c r="P247" s="185"/>
      <c r="Q247" s="185"/>
      <c r="R247" s="185"/>
      <c r="S247" s="185"/>
      <c r="T247" s="185"/>
      <c r="U247" s="185"/>
      <c r="V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184" t="str">
        <f>IFERROR(__xludf.DUMMYFUNCTION("ifna(IF(and(D248=""Saída"",J248=""Sangria""),if(sum(QUERY(IMPORTRANGE(""https://docs.google.com/spreadsheets/d/1E4szPcLzsqlw4uyBAoJ61L1ChCgpz4wVP8tHfHW1g_c"",""BD M Sangrias!a:i""),""select Col6 where Col7 = 'Depositada' and Col9 = '""&amp;K248&amp;""' and Col6 ="&amp;" ""&amp;M248&amp;"" and Col4 = date '""&amp;YEAR(C248)&amp;""-""&amp;MONTH(C248)&amp;""-""&amp;DAY(C248)&amp;""'""))&gt;0,""Depositada"",if(sum(QUERY(IMPORTRANGE(""https://docs.google.com/spreadsheets/d/1EcLIvUgMoBC5as4ikW0wuQsGH5yVZ6cQ1y16qEfgPnk"",""BD M Sangrias!a:i""),""select Col6 whe"&amp;"re Col7 = 'Caixa Atendimento' and Col9 = '""&amp;K248&amp;""' and Col6 = ""&amp;M248&amp;"" and Col4 = date '""&amp;YEAR(C248)&amp;""-""&amp;MONTH(C248)&amp;""-""&amp;DAY(C248)&amp;""'""))&gt;0,""Caixa Atendimento"",""Caixa Sangria"")),""""),""Caixa Sangria"")"),"")</f>
        <v/>
      </c>
      <c r="M248" s="185" t="str">
        <f>IFERROR(__xludf.DUMMYFUNCTION("ifna(VALUE(REGEXEXTRACT(E248,""[0-9.]+[,]+[0-9]+"")))"),"")</f>
        <v/>
      </c>
      <c r="N248" s="185"/>
      <c r="O248" s="185"/>
      <c r="P248" s="185"/>
      <c r="Q248" s="185"/>
      <c r="R248" s="185"/>
      <c r="S248" s="185"/>
      <c r="T248" s="185"/>
      <c r="U248" s="185"/>
      <c r="V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184" t="str">
        <f>IFERROR(__xludf.DUMMYFUNCTION("ifna(IF(and(D249=""Saída"",J249=""Sangria""),if(sum(QUERY(IMPORTRANGE(""https://docs.google.com/spreadsheets/d/1E4szPcLzsqlw4uyBAoJ61L1ChCgpz4wVP8tHfHW1g_c"",""BD M Sangrias!a:i""),""select Col6 where Col7 = 'Depositada' and Col9 = '""&amp;K249&amp;""' and Col6 ="&amp;" ""&amp;M249&amp;"" and Col4 = date '""&amp;YEAR(C249)&amp;""-""&amp;MONTH(C249)&amp;""-""&amp;DAY(C249)&amp;""'""))&gt;0,""Depositada"",if(sum(QUERY(IMPORTRANGE(""https://docs.google.com/spreadsheets/d/1EcLIvUgMoBC5as4ikW0wuQsGH5yVZ6cQ1y16qEfgPnk"",""BD M Sangrias!a:i""),""select Col6 whe"&amp;"re Col7 = 'Caixa Atendimento' and Col9 = '""&amp;K249&amp;""' and Col6 = ""&amp;M249&amp;"" and Col4 = date '""&amp;YEAR(C249)&amp;""-""&amp;MONTH(C249)&amp;""-""&amp;DAY(C249)&amp;""'""))&gt;0,""Caixa Atendimento"",""Caixa Sangria"")),""""),""Caixa Sangria"")"),"")</f>
        <v/>
      </c>
      <c r="M249" s="185" t="str">
        <f>IFERROR(__xludf.DUMMYFUNCTION("ifna(VALUE(REGEXEXTRACT(E249,""[0-9.]+[,]+[0-9]+"")))"),"")</f>
        <v/>
      </c>
      <c r="N249" s="185"/>
      <c r="O249" s="185"/>
      <c r="P249" s="185"/>
      <c r="Q249" s="185"/>
      <c r="R249" s="185"/>
      <c r="S249" s="185"/>
      <c r="T249" s="185"/>
      <c r="U249" s="185"/>
      <c r="V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184" t="str">
        <f>IFERROR(__xludf.DUMMYFUNCTION("ifna(IF(and(D250=""Saída"",J250=""Sangria""),if(sum(QUERY(IMPORTRANGE(""https://docs.google.com/spreadsheets/d/1E4szPcLzsqlw4uyBAoJ61L1ChCgpz4wVP8tHfHW1g_c"",""BD M Sangrias!a:i""),""select Col6 where Col7 = 'Depositada' and Col9 = '""&amp;K250&amp;""' and Col6 ="&amp;" ""&amp;M250&amp;"" and Col4 = date '""&amp;YEAR(C250)&amp;""-""&amp;MONTH(C250)&amp;""-""&amp;DAY(C250)&amp;""'""))&gt;0,""Depositada"",if(sum(QUERY(IMPORTRANGE(""https://docs.google.com/spreadsheets/d/1EcLIvUgMoBC5as4ikW0wuQsGH5yVZ6cQ1y16qEfgPnk"",""BD M Sangrias!a:i""),""select Col6 whe"&amp;"re Col7 = 'Caixa Atendimento' and Col9 = '""&amp;K250&amp;""' and Col6 = ""&amp;M250&amp;"" and Col4 = date '""&amp;YEAR(C250)&amp;""-""&amp;MONTH(C250)&amp;""-""&amp;DAY(C250)&amp;""'""))&gt;0,""Caixa Atendimento"",""Caixa Sangria"")),""""),""Caixa Sangria"")"),"")</f>
        <v/>
      </c>
      <c r="M250" s="185" t="str">
        <f>IFERROR(__xludf.DUMMYFUNCTION("ifna(VALUE(REGEXEXTRACT(E250,""[0-9.]+[,]+[0-9]+"")))"),"")</f>
        <v/>
      </c>
      <c r="N250" s="185"/>
      <c r="O250" s="185"/>
      <c r="P250" s="185"/>
      <c r="Q250" s="185"/>
      <c r="R250" s="185"/>
      <c r="S250" s="185"/>
      <c r="T250" s="185"/>
      <c r="U250" s="185"/>
      <c r="V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184" t="str">
        <f>IFERROR(__xludf.DUMMYFUNCTION("ifna(IF(and(D251=""Saída"",J251=""Sangria""),if(sum(QUERY(IMPORTRANGE(""https://docs.google.com/spreadsheets/d/1E4szPcLzsqlw4uyBAoJ61L1ChCgpz4wVP8tHfHW1g_c"",""BD M Sangrias!a:i""),""select Col6 where Col7 = 'Depositada' and Col9 = '""&amp;K251&amp;""' and Col6 ="&amp;" ""&amp;M251&amp;"" and Col4 = date '""&amp;YEAR(C251)&amp;""-""&amp;MONTH(C251)&amp;""-""&amp;DAY(C251)&amp;""'""))&gt;0,""Depositada"",if(sum(QUERY(IMPORTRANGE(""https://docs.google.com/spreadsheets/d/1EcLIvUgMoBC5as4ikW0wuQsGH5yVZ6cQ1y16qEfgPnk"",""BD M Sangrias!a:i""),""select Col6 whe"&amp;"re Col7 = 'Caixa Atendimento' and Col9 = '""&amp;K251&amp;""' and Col6 = ""&amp;M251&amp;"" and Col4 = date '""&amp;YEAR(C251)&amp;""-""&amp;MONTH(C251)&amp;""-""&amp;DAY(C251)&amp;""'""))&gt;0,""Caixa Atendimento"",""Caixa Sangria"")),""""),""Caixa Sangria"")"),"")</f>
        <v/>
      </c>
      <c r="M251" s="185" t="str">
        <f>IFERROR(__xludf.DUMMYFUNCTION("ifna(VALUE(REGEXEXTRACT(E251,""[0-9.]+[,]+[0-9]+"")))"),"")</f>
        <v/>
      </c>
      <c r="N251" s="185"/>
      <c r="O251" s="185"/>
      <c r="P251" s="185"/>
      <c r="Q251" s="185"/>
      <c r="R251" s="185"/>
      <c r="S251" s="185"/>
      <c r="T251" s="185"/>
      <c r="U251" s="185"/>
      <c r="V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184" t="str">
        <f>IFERROR(__xludf.DUMMYFUNCTION("ifna(IF(and(D252=""Saída"",J252=""Sangria""),if(sum(QUERY(IMPORTRANGE(""https://docs.google.com/spreadsheets/d/1E4szPcLzsqlw4uyBAoJ61L1ChCgpz4wVP8tHfHW1g_c"",""BD M Sangrias!a:i""),""select Col6 where Col7 = 'Depositada' and Col9 = '""&amp;K252&amp;""' and Col6 ="&amp;" ""&amp;M252&amp;"" and Col4 = date '""&amp;YEAR(C252)&amp;""-""&amp;MONTH(C252)&amp;""-""&amp;DAY(C252)&amp;""'""))&gt;0,""Depositada"",if(sum(QUERY(IMPORTRANGE(""https://docs.google.com/spreadsheets/d/1EcLIvUgMoBC5as4ikW0wuQsGH5yVZ6cQ1y16qEfgPnk"",""BD M Sangrias!a:i""),""select Col6 whe"&amp;"re Col7 = 'Caixa Atendimento' and Col9 = '""&amp;K252&amp;""' and Col6 = ""&amp;M252&amp;"" and Col4 = date '""&amp;YEAR(C252)&amp;""-""&amp;MONTH(C252)&amp;""-""&amp;DAY(C252)&amp;""'""))&gt;0,""Caixa Atendimento"",""Caixa Sangria"")),""""),""Caixa Sangria"")"),"")</f>
        <v/>
      </c>
      <c r="M252" s="185" t="str">
        <f>IFERROR(__xludf.DUMMYFUNCTION("ifna(VALUE(REGEXEXTRACT(E252,""[0-9.]+[,]+[0-9]+"")))"),"")</f>
        <v/>
      </c>
      <c r="N252" s="185"/>
      <c r="O252" s="185"/>
      <c r="P252" s="185"/>
      <c r="Q252" s="185"/>
      <c r="R252" s="185"/>
      <c r="S252" s="185"/>
      <c r="T252" s="185"/>
      <c r="U252" s="185"/>
      <c r="V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184" t="str">
        <f>IFERROR(__xludf.DUMMYFUNCTION("ifna(IF(and(D253=""Saída"",J253=""Sangria""),if(sum(QUERY(IMPORTRANGE(""https://docs.google.com/spreadsheets/d/1E4szPcLzsqlw4uyBAoJ61L1ChCgpz4wVP8tHfHW1g_c"",""BD M Sangrias!a:i""),""select Col6 where Col7 = 'Depositada' and Col9 = '""&amp;K253&amp;""' and Col6 ="&amp;" ""&amp;M253&amp;"" and Col4 = date '""&amp;YEAR(C253)&amp;""-""&amp;MONTH(C253)&amp;""-""&amp;DAY(C253)&amp;""'""))&gt;0,""Depositada"",if(sum(QUERY(IMPORTRANGE(""https://docs.google.com/spreadsheets/d/1EcLIvUgMoBC5as4ikW0wuQsGH5yVZ6cQ1y16qEfgPnk"",""BD M Sangrias!a:i""),""select Col6 whe"&amp;"re Col7 = 'Caixa Atendimento' and Col9 = '""&amp;K253&amp;""' and Col6 = ""&amp;M253&amp;"" and Col4 = date '""&amp;YEAR(C253)&amp;""-""&amp;MONTH(C253)&amp;""-""&amp;DAY(C253)&amp;""'""))&gt;0,""Caixa Atendimento"",""Caixa Sangria"")),""""),""Caixa Sangria"")"),"")</f>
        <v/>
      </c>
      <c r="M253" s="185" t="str">
        <f>IFERROR(__xludf.DUMMYFUNCTION("ifna(VALUE(REGEXEXTRACT(E253,""[0-9.]+[,]+[0-9]+"")))"),"")</f>
        <v/>
      </c>
      <c r="N253" s="185"/>
      <c r="O253" s="185"/>
      <c r="P253" s="185"/>
      <c r="Q253" s="185"/>
      <c r="R253" s="185"/>
      <c r="S253" s="185"/>
      <c r="T253" s="185"/>
      <c r="U253" s="185"/>
      <c r="V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184" t="str">
        <f>IFERROR(__xludf.DUMMYFUNCTION("ifna(IF(and(D254=""Saída"",J254=""Sangria""),if(sum(QUERY(IMPORTRANGE(""https://docs.google.com/spreadsheets/d/1E4szPcLzsqlw4uyBAoJ61L1ChCgpz4wVP8tHfHW1g_c"",""BD M Sangrias!a:i""),""select Col6 where Col7 = 'Depositada' and Col9 = '""&amp;K254&amp;""' and Col6 ="&amp;" ""&amp;M254&amp;"" and Col4 = date '""&amp;YEAR(C254)&amp;""-""&amp;MONTH(C254)&amp;""-""&amp;DAY(C254)&amp;""'""))&gt;0,""Depositada"",if(sum(QUERY(IMPORTRANGE(""https://docs.google.com/spreadsheets/d/1EcLIvUgMoBC5as4ikW0wuQsGH5yVZ6cQ1y16qEfgPnk"",""BD M Sangrias!a:i""),""select Col6 whe"&amp;"re Col7 = 'Caixa Atendimento' and Col9 = '""&amp;K254&amp;""' and Col6 = ""&amp;M254&amp;"" and Col4 = date '""&amp;YEAR(C254)&amp;""-""&amp;MONTH(C254)&amp;""-""&amp;DAY(C254)&amp;""'""))&gt;0,""Caixa Atendimento"",""Caixa Sangria"")),""""),""Caixa Sangria"")"),"")</f>
        <v/>
      </c>
      <c r="M254" s="185" t="str">
        <f>IFERROR(__xludf.DUMMYFUNCTION("ifna(VALUE(REGEXEXTRACT(E254,""[0-9.]+[,]+[0-9]+"")))"),"")</f>
        <v/>
      </c>
      <c r="N254" s="185"/>
      <c r="O254" s="185"/>
      <c r="P254" s="185"/>
      <c r="Q254" s="185"/>
      <c r="R254" s="185"/>
      <c r="S254" s="185"/>
      <c r="T254" s="185"/>
      <c r="U254" s="185"/>
      <c r="V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184" t="str">
        <f>IFERROR(__xludf.DUMMYFUNCTION("ifna(IF(and(D255=""Saída"",J255=""Sangria""),if(sum(QUERY(IMPORTRANGE(""https://docs.google.com/spreadsheets/d/1E4szPcLzsqlw4uyBAoJ61L1ChCgpz4wVP8tHfHW1g_c"",""BD M Sangrias!a:i""),""select Col6 where Col7 = 'Depositada' and Col9 = '""&amp;K255&amp;""' and Col6 ="&amp;" ""&amp;M255&amp;"" and Col4 = date '""&amp;YEAR(C255)&amp;""-""&amp;MONTH(C255)&amp;""-""&amp;DAY(C255)&amp;""'""))&gt;0,""Depositada"",if(sum(QUERY(IMPORTRANGE(""https://docs.google.com/spreadsheets/d/1EcLIvUgMoBC5as4ikW0wuQsGH5yVZ6cQ1y16qEfgPnk"",""BD M Sangrias!a:i""),""select Col6 whe"&amp;"re Col7 = 'Caixa Atendimento' and Col9 = '""&amp;K255&amp;""' and Col6 = ""&amp;M255&amp;"" and Col4 = date '""&amp;YEAR(C255)&amp;""-""&amp;MONTH(C255)&amp;""-""&amp;DAY(C255)&amp;""'""))&gt;0,""Caixa Atendimento"",""Caixa Sangria"")),""""),""Caixa Sangria"")"),"")</f>
        <v/>
      </c>
      <c r="M255" s="185" t="str">
        <f>IFERROR(__xludf.DUMMYFUNCTION("ifna(VALUE(REGEXEXTRACT(E255,""[0-9.]+[,]+[0-9]+"")))"),"")</f>
        <v/>
      </c>
      <c r="N255" s="185"/>
      <c r="O255" s="185"/>
      <c r="P255" s="185"/>
      <c r="Q255" s="185"/>
      <c r="R255" s="185"/>
      <c r="S255" s="185"/>
      <c r="T255" s="185"/>
      <c r="U255" s="185"/>
      <c r="V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184" t="str">
        <f>IFERROR(__xludf.DUMMYFUNCTION("ifna(IF(and(D256=""Saída"",J256=""Sangria""),if(sum(QUERY(IMPORTRANGE(""https://docs.google.com/spreadsheets/d/1E4szPcLzsqlw4uyBAoJ61L1ChCgpz4wVP8tHfHW1g_c"",""BD M Sangrias!a:i""),""select Col6 where Col7 = 'Depositada' and Col9 = '""&amp;K256&amp;""' and Col6 ="&amp;" ""&amp;M256&amp;"" and Col4 = date '""&amp;YEAR(C256)&amp;""-""&amp;MONTH(C256)&amp;""-""&amp;DAY(C256)&amp;""'""))&gt;0,""Depositada"",if(sum(QUERY(IMPORTRANGE(""https://docs.google.com/spreadsheets/d/1EcLIvUgMoBC5as4ikW0wuQsGH5yVZ6cQ1y16qEfgPnk"",""BD M Sangrias!a:i""),""select Col6 whe"&amp;"re Col7 = 'Caixa Atendimento' and Col9 = '""&amp;K256&amp;""' and Col6 = ""&amp;M256&amp;"" and Col4 = date '""&amp;YEAR(C256)&amp;""-""&amp;MONTH(C256)&amp;""-""&amp;DAY(C256)&amp;""'""))&gt;0,""Caixa Atendimento"",""Caixa Sangria"")),""""),""Caixa Sangria"")"),"")</f>
        <v/>
      </c>
      <c r="M256" s="185" t="str">
        <f>IFERROR(__xludf.DUMMYFUNCTION("ifna(VALUE(REGEXEXTRACT(E256,""[0-9.]+[,]+[0-9]+"")))"),"")</f>
        <v/>
      </c>
      <c r="N256" s="185"/>
      <c r="O256" s="185"/>
      <c r="P256" s="185"/>
      <c r="Q256" s="185"/>
      <c r="R256" s="185"/>
      <c r="S256" s="185"/>
      <c r="T256" s="185"/>
      <c r="U256" s="185"/>
      <c r="V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184" t="str">
        <f>IFERROR(__xludf.DUMMYFUNCTION("ifna(IF(and(D257=""Saída"",J257=""Sangria""),if(sum(QUERY(IMPORTRANGE(""https://docs.google.com/spreadsheets/d/1E4szPcLzsqlw4uyBAoJ61L1ChCgpz4wVP8tHfHW1g_c"",""BD M Sangrias!a:i""),""select Col6 where Col7 = 'Depositada' and Col9 = '""&amp;K257&amp;""' and Col6 ="&amp;" ""&amp;M257&amp;"" and Col4 = date '""&amp;YEAR(C257)&amp;""-""&amp;MONTH(C257)&amp;""-""&amp;DAY(C257)&amp;""'""))&gt;0,""Depositada"",if(sum(QUERY(IMPORTRANGE(""https://docs.google.com/spreadsheets/d/1EcLIvUgMoBC5as4ikW0wuQsGH5yVZ6cQ1y16qEfgPnk"",""BD M Sangrias!a:i""),""select Col6 whe"&amp;"re Col7 = 'Caixa Atendimento' and Col9 = '""&amp;K257&amp;""' and Col6 = ""&amp;M257&amp;"" and Col4 = date '""&amp;YEAR(C257)&amp;""-""&amp;MONTH(C257)&amp;""-""&amp;DAY(C257)&amp;""'""))&gt;0,""Caixa Atendimento"",""Caixa Sangria"")),""""),""Caixa Sangria"")"),"")</f>
        <v/>
      </c>
      <c r="M257" s="185" t="str">
        <f>IFERROR(__xludf.DUMMYFUNCTION("ifna(VALUE(REGEXEXTRACT(E257,""[0-9.]+[,]+[0-9]+"")))"),"")</f>
        <v/>
      </c>
      <c r="N257" s="185"/>
      <c r="O257" s="185"/>
      <c r="P257" s="185"/>
      <c r="Q257" s="185"/>
      <c r="R257" s="185"/>
      <c r="S257" s="185"/>
      <c r="T257" s="185"/>
      <c r="U257" s="185"/>
      <c r="V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184" t="str">
        <f>IFERROR(__xludf.DUMMYFUNCTION("ifna(IF(and(D258=""Saída"",J258=""Sangria""),if(sum(QUERY(IMPORTRANGE(""https://docs.google.com/spreadsheets/d/1E4szPcLzsqlw4uyBAoJ61L1ChCgpz4wVP8tHfHW1g_c"",""BD M Sangrias!a:i""),""select Col6 where Col7 = 'Depositada' and Col9 = '""&amp;K258&amp;""' and Col6 ="&amp;" ""&amp;M258&amp;"" and Col4 = date '""&amp;YEAR(C258)&amp;""-""&amp;MONTH(C258)&amp;""-""&amp;DAY(C258)&amp;""'""))&gt;0,""Depositada"",if(sum(QUERY(IMPORTRANGE(""https://docs.google.com/spreadsheets/d/1EcLIvUgMoBC5as4ikW0wuQsGH5yVZ6cQ1y16qEfgPnk"",""BD M Sangrias!a:i""),""select Col6 whe"&amp;"re Col7 = 'Caixa Atendimento' and Col9 = '""&amp;K258&amp;""' and Col6 = ""&amp;M258&amp;"" and Col4 = date '""&amp;YEAR(C258)&amp;""-""&amp;MONTH(C258)&amp;""-""&amp;DAY(C258)&amp;""'""))&gt;0,""Caixa Atendimento"",""Caixa Sangria"")),""""),""Caixa Sangria"")"),"")</f>
        <v/>
      </c>
      <c r="M258" s="185" t="str">
        <f>IFERROR(__xludf.DUMMYFUNCTION("ifna(VALUE(REGEXEXTRACT(E258,""[0-9.]+[,]+[0-9]+"")))"),"")</f>
        <v/>
      </c>
      <c r="N258" s="185"/>
      <c r="O258" s="185"/>
      <c r="P258" s="185"/>
      <c r="Q258" s="185"/>
      <c r="R258" s="185"/>
      <c r="S258" s="185"/>
      <c r="T258" s="185"/>
      <c r="U258" s="185"/>
      <c r="V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184" t="str">
        <f>IFERROR(__xludf.DUMMYFUNCTION("ifna(IF(and(D259=""Saída"",J259=""Sangria""),if(sum(QUERY(IMPORTRANGE(""https://docs.google.com/spreadsheets/d/1E4szPcLzsqlw4uyBAoJ61L1ChCgpz4wVP8tHfHW1g_c"",""BD M Sangrias!a:i""),""select Col6 where Col7 = 'Depositada' and Col9 = '""&amp;K259&amp;""' and Col6 ="&amp;" ""&amp;M259&amp;"" and Col4 = date '""&amp;YEAR(C259)&amp;""-""&amp;MONTH(C259)&amp;""-""&amp;DAY(C259)&amp;""'""))&gt;0,""Depositada"",if(sum(QUERY(IMPORTRANGE(""https://docs.google.com/spreadsheets/d/1EcLIvUgMoBC5as4ikW0wuQsGH5yVZ6cQ1y16qEfgPnk"",""BD M Sangrias!a:i""),""select Col6 whe"&amp;"re Col7 = 'Caixa Atendimento' and Col9 = '""&amp;K259&amp;""' and Col6 = ""&amp;M259&amp;"" and Col4 = date '""&amp;YEAR(C259)&amp;""-""&amp;MONTH(C259)&amp;""-""&amp;DAY(C259)&amp;""'""))&gt;0,""Caixa Atendimento"",""Caixa Sangria"")),""""),""Caixa Sangria"")"),"")</f>
        <v/>
      </c>
      <c r="M259" s="185" t="str">
        <f>IFERROR(__xludf.DUMMYFUNCTION("ifna(VALUE(REGEXEXTRACT(E259,""[0-9.]+[,]+[0-9]+"")))"),"")</f>
        <v/>
      </c>
      <c r="N259" s="185"/>
      <c r="O259" s="185"/>
      <c r="P259" s="185"/>
      <c r="Q259" s="185"/>
      <c r="R259" s="185"/>
      <c r="S259" s="185"/>
      <c r="T259" s="185"/>
      <c r="U259" s="185"/>
      <c r="V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184" t="str">
        <f>IFERROR(__xludf.DUMMYFUNCTION("ifna(IF(and(D260=""Saída"",J260=""Sangria""),if(sum(QUERY(IMPORTRANGE(""https://docs.google.com/spreadsheets/d/1E4szPcLzsqlw4uyBAoJ61L1ChCgpz4wVP8tHfHW1g_c"",""BD M Sangrias!a:i""),""select Col6 where Col7 = 'Depositada' and Col9 = '""&amp;K260&amp;""' and Col6 ="&amp;" ""&amp;M260&amp;"" and Col4 = date '""&amp;YEAR(C260)&amp;""-""&amp;MONTH(C260)&amp;""-""&amp;DAY(C260)&amp;""'""))&gt;0,""Depositada"",if(sum(QUERY(IMPORTRANGE(""https://docs.google.com/spreadsheets/d/1EcLIvUgMoBC5as4ikW0wuQsGH5yVZ6cQ1y16qEfgPnk"",""BD M Sangrias!a:i""),""select Col6 whe"&amp;"re Col7 = 'Caixa Atendimento' and Col9 = '""&amp;K260&amp;""' and Col6 = ""&amp;M260&amp;"" and Col4 = date '""&amp;YEAR(C260)&amp;""-""&amp;MONTH(C260)&amp;""-""&amp;DAY(C260)&amp;""'""))&gt;0,""Caixa Atendimento"",""Caixa Sangria"")),""""),""Caixa Sangria"")"),"")</f>
        <v/>
      </c>
      <c r="M260" s="185" t="str">
        <f>IFERROR(__xludf.DUMMYFUNCTION("ifna(VALUE(REGEXEXTRACT(E260,""[0-9.]+[,]+[0-9]+"")))"),"")</f>
        <v/>
      </c>
      <c r="N260" s="185"/>
      <c r="O260" s="185"/>
      <c r="P260" s="185"/>
      <c r="Q260" s="185"/>
      <c r="R260" s="185"/>
      <c r="S260" s="185"/>
      <c r="T260" s="185"/>
      <c r="U260" s="185"/>
      <c r="V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184" t="str">
        <f>IFERROR(__xludf.DUMMYFUNCTION("ifna(IF(and(D261=""Saída"",J261=""Sangria""),if(sum(QUERY(IMPORTRANGE(""https://docs.google.com/spreadsheets/d/1E4szPcLzsqlw4uyBAoJ61L1ChCgpz4wVP8tHfHW1g_c"",""BD M Sangrias!a:i""),""select Col6 where Col7 = 'Depositada' and Col9 = '""&amp;K261&amp;""' and Col6 ="&amp;" ""&amp;M261&amp;"" and Col4 = date '""&amp;YEAR(C261)&amp;""-""&amp;MONTH(C261)&amp;""-""&amp;DAY(C261)&amp;""'""))&gt;0,""Depositada"",if(sum(QUERY(IMPORTRANGE(""https://docs.google.com/spreadsheets/d/1EcLIvUgMoBC5as4ikW0wuQsGH5yVZ6cQ1y16qEfgPnk"",""BD M Sangrias!a:i""),""select Col6 whe"&amp;"re Col7 = 'Caixa Atendimento' and Col9 = '""&amp;K261&amp;""' and Col6 = ""&amp;M261&amp;"" and Col4 = date '""&amp;YEAR(C261)&amp;""-""&amp;MONTH(C261)&amp;""-""&amp;DAY(C261)&amp;""'""))&gt;0,""Caixa Atendimento"",""Caixa Sangria"")),""""),""Caixa Sangria"")"),"")</f>
        <v/>
      </c>
      <c r="M261" s="185" t="str">
        <f>IFERROR(__xludf.DUMMYFUNCTION("ifna(VALUE(REGEXEXTRACT(E261,""[0-9.]+[,]+[0-9]+"")))"),"")</f>
        <v/>
      </c>
      <c r="N261" s="185"/>
      <c r="O261" s="185"/>
      <c r="P261" s="185"/>
      <c r="Q261" s="185"/>
      <c r="R261" s="185"/>
      <c r="S261" s="185"/>
      <c r="T261" s="185"/>
      <c r="U261" s="185"/>
      <c r="V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184" t="str">
        <f>IFERROR(__xludf.DUMMYFUNCTION("ifna(IF(and(D262=""Saída"",J262=""Sangria""),if(sum(QUERY(IMPORTRANGE(""https://docs.google.com/spreadsheets/d/1E4szPcLzsqlw4uyBAoJ61L1ChCgpz4wVP8tHfHW1g_c"",""BD M Sangrias!a:i""),""select Col6 where Col7 = 'Depositada' and Col9 = '""&amp;K262&amp;""' and Col6 ="&amp;" ""&amp;M262&amp;"" and Col4 = date '""&amp;YEAR(C262)&amp;""-""&amp;MONTH(C262)&amp;""-""&amp;DAY(C262)&amp;""'""))&gt;0,""Depositada"",if(sum(QUERY(IMPORTRANGE(""https://docs.google.com/spreadsheets/d/1EcLIvUgMoBC5as4ikW0wuQsGH5yVZ6cQ1y16qEfgPnk"",""BD M Sangrias!a:i""),""select Col6 whe"&amp;"re Col7 = 'Caixa Atendimento' and Col9 = '""&amp;K262&amp;""' and Col6 = ""&amp;M262&amp;"" and Col4 = date '""&amp;YEAR(C262)&amp;""-""&amp;MONTH(C262)&amp;""-""&amp;DAY(C262)&amp;""'""))&gt;0,""Caixa Atendimento"",""Caixa Sangria"")),""""),""Caixa Sangria"")"),"")</f>
        <v/>
      </c>
      <c r="M262" s="185" t="str">
        <f>IFERROR(__xludf.DUMMYFUNCTION("ifna(VALUE(REGEXEXTRACT(E262,""[0-9.]+[,]+[0-9]+"")))"),"")</f>
        <v/>
      </c>
      <c r="N262" s="185"/>
      <c r="O262" s="185"/>
      <c r="P262" s="185"/>
      <c r="Q262" s="185"/>
      <c r="R262" s="185"/>
      <c r="S262" s="185"/>
      <c r="T262" s="185"/>
      <c r="U262" s="185"/>
      <c r="V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184" t="str">
        <f>IFERROR(__xludf.DUMMYFUNCTION("ifna(IF(and(D263=""Saída"",J263=""Sangria""),if(sum(QUERY(IMPORTRANGE(""https://docs.google.com/spreadsheets/d/1E4szPcLzsqlw4uyBAoJ61L1ChCgpz4wVP8tHfHW1g_c"",""BD M Sangrias!a:i""),""select Col6 where Col7 = 'Depositada' and Col9 = '""&amp;K263&amp;""' and Col6 ="&amp;" ""&amp;M263&amp;"" and Col4 = date '""&amp;YEAR(C263)&amp;""-""&amp;MONTH(C263)&amp;""-""&amp;DAY(C263)&amp;""'""))&gt;0,""Depositada"",if(sum(QUERY(IMPORTRANGE(""https://docs.google.com/spreadsheets/d/1EcLIvUgMoBC5as4ikW0wuQsGH5yVZ6cQ1y16qEfgPnk"",""BD M Sangrias!a:i""),""select Col6 whe"&amp;"re Col7 = 'Caixa Atendimento' and Col9 = '""&amp;K263&amp;""' and Col6 = ""&amp;M263&amp;"" and Col4 = date '""&amp;YEAR(C263)&amp;""-""&amp;MONTH(C263)&amp;""-""&amp;DAY(C263)&amp;""'""))&gt;0,""Caixa Atendimento"",""Caixa Sangria"")),""""),""Caixa Sangria"")"),"")</f>
        <v/>
      </c>
      <c r="M263" s="185" t="str">
        <f>IFERROR(__xludf.DUMMYFUNCTION("ifna(VALUE(REGEXEXTRACT(E263,""[0-9.]+[,]+[0-9]+"")))"),"")</f>
        <v/>
      </c>
      <c r="N263" s="185"/>
      <c r="O263" s="185"/>
      <c r="P263" s="185"/>
      <c r="Q263" s="185"/>
      <c r="R263" s="185"/>
      <c r="S263" s="185"/>
      <c r="T263" s="185"/>
      <c r="U263" s="185"/>
      <c r="V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184" t="str">
        <f>IFERROR(__xludf.DUMMYFUNCTION("ifna(IF(and(D264=""Saída"",J264=""Sangria""),if(sum(QUERY(IMPORTRANGE(""https://docs.google.com/spreadsheets/d/1E4szPcLzsqlw4uyBAoJ61L1ChCgpz4wVP8tHfHW1g_c"",""BD M Sangrias!a:i""),""select Col6 where Col7 = 'Depositada' and Col9 = '""&amp;K264&amp;""' and Col6 ="&amp;" ""&amp;M264&amp;"" and Col4 = date '""&amp;YEAR(C264)&amp;""-""&amp;MONTH(C264)&amp;""-""&amp;DAY(C264)&amp;""'""))&gt;0,""Depositada"",if(sum(QUERY(IMPORTRANGE(""https://docs.google.com/spreadsheets/d/1EcLIvUgMoBC5as4ikW0wuQsGH5yVZ6cQ1y16qEfgPnk"",""BD M Sangrias!a:i""),""select Col6 whe"&amp;"re Col7 = 'Caixa Atendimento' and Col9 = '""&amp;K264&amp;""' and Col6 = ""&amp;M264&amp;"" and Col4 = date '""&amp;YEAR(C264)&amp;""-""&amp;MONTH(C264)&amp;""-""&amp;DAY(C264)&amp;""'""))&gt;0,""Caixa Atendimento"",""Caixa Sangria"")),""""),""Caixa Sangria"")"),"")</f>
        <v/>
      </c>
      <c r="M264" s="185" t="str">
        <f>IFERROR(__xludf.DUMMYFUNCTION("ifna(VALUE(REGEXEXTRACT(E264,""[0-9.]+[,]+[0-9]+"")))"),"")</f>
        <v/>
      </c>
      <c r="N264" s="185"/>
      <c r="O264" s="185"/>
      <c r="P264" s="185"/>
      <c r="Q264" s="185"/>
      <c r="R264" s="185"/>
      <c r="S264" s="185"/>
      <c r="T264" s="185"/>
      <c r="U264" s="185"/>
      <c r="V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184" t="str">
        <f>IFERROR(__xludf.DUMMYFUNCTION("ifna(IF(and(D265=""Saída"",J265=""Sangria""),if(sum(QUERY(IMPORTRANGE(""https://docs.google.com/spreadsheets/d/1E4szPcLzsqlw4uyBAoJ61L1ChCgpz4wVP8tHfHW1g_c"",""BD M Sangrias!a:i""),""select Col6 where Col7 = 'Depositada' and Col9 = '""&amp;K265&amp;""' and Col6 ="&amp;" ""&amp;M265&amp;"" and Col4 = date '""&amp;YEAR(C265)&amp;""-""&amp;MONTH(C265)&amp;""-""&amp;DAY(C265)&amp;""'""))&gt;0,""Depositada"",if(sum(QUERY(IMPORTRANGE(""https://docs.google.com/spreadsheets/d/1EcLIvUgMoBC5as4ikW0wuQsGH5yVZ6cQ1y16qEfgPnk"",""BD M Sangrias!a:i""),""select Col6 whe"&amp;"re Col7 = 'Caixa Atendimento' and Col9 = '""&amp;K265&amp;""' and Col6 = ""&amp;M265&amp;"" and Col4 = date '""&amp;YEAR(C265)&amp;""-""&amp;MONTH(C265)&amp;""-""&amp;DAY(C265)&amp;""'""))&gt;0,""Caixa Atendimento"",""Caixa Sangria"")),""""),""Caixa Sangria"")"),"")</f>
        <v/>
      </c>
      <c r="M265" s="185" t="str">
        <f>IFERROR(__xludf.DUMMYFUNCTION("ifna(VALUE(REGEXEXTRACT(E265,""[0-9.]+[,]+[0-9]+"")))"),"")</f>
        <v/>
      </c>
      <c r="N265" s="185"/>
      <c r="O265" s="185"/>
      <c r="P265" s="185"/>
      <c r="Q265" s="185"/>
      <c r="R265" s="185"/>
      <c r="S265" s="185"/>
      <c r="T265" s="185"/>
      <c r="U265" s="185"/>
      <c r="V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184" t="str">
        <f>IFERROR(__xludf.DUMMYFUNCTION("ifna(IF(and(D266=""Saída"",J266=""Sangria""),if(sum(QUERY(IMPORTRANGE(""https://docs.google.com/spreadsheets/d/1E4szPcLzsqlw4uyBAoJ61L1ChCgpz4wVP8tHfHW1g_c"",""BD M Sangrias!a:i""),""select Col6 where Col7 = 'Depositada' and Col9 = '""&amp;K266&amp;""' and Col6 ="&amp;" ""&amp;M266&amp;"" and Col4 = date '""&amp;YEAR(C266)&amp;""-""&amp;MONTH(C266)&amp;""-""&amp;DAY(C266)&amp;""'""))&gt;0,""Depositada"",if(sum(QUERY(IMPORTRANGE(""https://docs.google.com/spreadsheets/d/1EcLIvUgMoBC5as4ikW0wuQsGH5yVZ6cQ1y16qEfgPnk"",""BD M Sangrias!a:i""),""select Col6 whe"&amp;"re Col7 = 'Caixa Atendimento' and Col9 = '""&amp;K266&amp;""' and Col6 = ""&amp;M266&amp;"" and Col4 = date '""&amp;YEAR(C266)&amp;""-""&amp;MONTH(C266)&amp;""-""&amp;DAY(C266)&amp;""'""))&gt;0,""Caixa Atendimento"",""Caixa Sangria"")),""""),""Caixa Sangria"")"),"")</f>
        <v/>
      </c>
      <c r="M266" s="185" t="str">
        <f>IFERROR(__xludf.DUMMYFUNCTION("ifna(VALUE(REGEXEXTRACT(E266,""[0-9.]+[,]+[0-9]+"")))"),"")</f>
        <v/>
      </c>
      <c r="N266" s="185"/>
      <c r="O266" s="185"/>
      <c r="P266" s="185"/>
      <c r="Q266" s="185"/>
      <c r="R266" s="185"/>
      <c r="S266" s="185"/>
      <c r="T266" s="185"/>
      <c r="U266" s="185"/>
      <c r="V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184" t="str">
        <f>IFERROR(__xludf.DUMMYFUNCTION("ifna(IF(and(D267=""Saída"",J267=""Sangria""),if(sum(QUERY(IMPORTRANGE(""https://docs.google.com/spreadsheets/d/1E4szPcLzsqlw4uyBAoJ61L1ChCgpz4wVP8tHfHW1g_c"",""BD M Sangrias!a:i""),""select Col6 where Col7 = 'Depositada' and Col9 = '""&amp;K267&amp;""' and Col6 ="&amp;" ""&amp;M267&amp;"" and Col4 = date '""&amp;YEAR(C267)&amp;""-""&amp;MONTH(C267)&amp;""-""&amp;DAY(C267)&amp;""'""))&gt;0,""Depositada"",if(sum(QUERY(IMPORTRANGE(""https://docs.google.com/spreadsheets/d/1EcLIvUgMoBC5as4ikW0wuQsGH5yVZ6cQ1y16qEfgPnk"",""BD M Sangrias!a:i""),""select Col6 whe"&amp;"re Col7 = 'Caixa Atendimento' and Col9 = '""&amp;K267&amp;""' and Col6 = ""&amp;M267&amp;"" and Col4 = date '""&amp;YEAR(C267)&amp;""-""&amp;MONTH(C267)&amp;""-""&amp;DAY(C267)&amp;""'""))&gt;0,""Caixa Atendimento"",""Caixa Sangria"")),""""),""Caixa Sangria"")"),"")</f>
        <v/>
      </c>
      <c r="M267" s="185" t="str">
        <f>IFERROR(__xludf.DUMMYFUNCTION("ifna(VALUE(REGEXEXTRACT(E267,""[0-9.]+[,]+[0-9]+"")))"),"")</f>
        <v/>
      </c>
      <c r="N267" s="185"/>
      <c r="O267" s="185"/>
      <c r="P267" s="185"/>
      <c r="Q267" s="185"/>
      <c r="R267" s="185"/>
      <c r="S267" s="185"/>
      <c r="T267" s="185"/>
      <c r="U267" s="185"/>
      <c r="V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184" t="str">
        <f>IFERROR(__xludf.DUMMYFUNCTION("ifna(IF(and(D268=""Saída"",J268=""Sangria""),if(sum(QUERY(IMPORTRANGE(""https://docs.google.com/spreadsheets/d/1E4szPcLzsqlw4uyBAoJ61L1ChCgpz4wVP8tHfHW1g_c"",""BD M Sangrias!a:i""),""select Col6 where Col7 = 'Depositada' and Col9 = '""&amp;K268&amp;""' and Col6 ="&amp;" ""&amp;M268&amp;"" and Col4 = date '""&amp;YEAR(C268)&amp;""-""&amp;MONTH(C268)&amp;""-""&amp;DAY(C268)&amp;""'""))&gt;0,""Depositada"",if(sum(QUERY(IMPORTRANGE(""https://docs.google.com/spreadsheets/d/1EcLIvUgMoBC5as4ikW0wuQsGH5yVZ6cQ1y16qEfgPnk"",""BD M Sangrias!a:i""),""select Col6 whe"&amp;"re Col7 = 'Caixa Atendimento' and Col9 = '""&amp;K268&amp;""' and Col6 = ""&amp;M268&amp;"" and Col4 = date '""&amp;YEAR(C268)&amp;""-""&amp;MONTH(C268)&amp;""-""&amp;DAY(C268)&amp;""'""))&gt;0,""Caixa Atendimento"",""Caixa Sangria"")),""""),""Caixa Sangria"")"),"")</f>
        <v/>
      </c>
      <c r="M268" s="185" t="str">
        <f>IFERROR(__xludf.DUMMYFUNCTION("ifna(VALUE(REGEXEXTRACT(E268,""[0-9.]+[,]+[0-9]+"")))"),"")</f>
        <v/>
      </c>
      <c r="N268" s="185"/>
      <c r="O268" s="185"/>
      <c r="P268" s="185"/>
      <c r="Q268" s="185"/>
      <c r="R268" s="185"/>
      <c r="S268" s="185"/>
      <c r="T268" s="185"/>
      <c r="U268" s="185"/>
      <c r="V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184" t="str">
        <f>IFERROR(__xludf.DUMMYFUNCTION("ifna(IF(and(D269=""Saída"",J269=""Sangria""),if(sum(QUERY(IMPORTRANGE(""https://docs.google.com/spreadsheets/d/1E4szPcLzsqlw4uyBAoJ61L1ChCgpz4wVP8tHfHW1g_c"",""BD M Sangrias!a:i""),""select Col6 where Col7 = 'Depositada' and Col9 = '""&amp;K269&amp;""' and Col6 ="&amp;" ""&amp;M269&amp;"" and Col4 = date '""&amp;YEAR(C269)&amp;""-""&amp;MONTH(C269)&amp;""-""&amp;DAY(C269)&amp;""'""))&gt;0,""Depositada"",if(sum(QUERY(IMPORTRANGE(""https://docs.google.com/spreadsheets/d/1EcLIvUgMoBC5as4ikW0wuQsGH5yVZ6cQ1y16qEfgPnk"",""BD M Sangrias!a:i""),""select Col6 whe"&amp;"re Col7 = 'Caixa Atendimento' and Col9 = '""&amp;K269&amp;""' and Col6 = ""&amp;M269&amp;"" and Col4 = date '""&amp;YEAR(C269)&amp;""-""&amp;MONTH(C269)&amp;""-""&amp;DAY(C269)&amp;""'""))&gt;0,""Caixa Atendimento"",""Caixa Sangria"")),""""),""Caixa Sangria"")"),"")</f>
        <v/>
      </c>
      <c r="M269" s="185" t="str">
        <f>IFERROR(__xludf.DUMMYFUNCTION("ifna(VALUE(REGEXEXTRACT(E269,""[0-9.]+[,]+[0-9]+"")))"),"")</f>
        <v/>
      </c>
      <c r="N269" s="185"/>
      <c r="O269" s="185"/>
      <c r="P269" s="185"/>
      <c r="Q269" s="185"/>
      <c r="R269" s="185"/>
      <c r="S269" s="185"/>
      <c r="T269" s="185"/>
      <c r="U269" s="185"/>
      <c r="V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184" t="str">
        <f>IFERROR(__xludf.DUMMYFUNCTION("ifna(IF(and(D270=""Saída"",J270=""Sangria""),if(sum(QUERY(IMPORTRANGE(""https://docs.google.com/spreadsheets/d/1E4szPcLzsqlw4uyBAoJ61L1ChCgpz4wVP8tHfHW1g_c"",""BD M Sangrias!a:i""),""select Col6 where Col7 = 'Depositada' and Col9 = '""&amp;K270&amp;""' and Col6 ="&amp;" ""&amp;M270&amp;"" and Col4 = date '""&amp;YEAR(C270)&amp;""-""&amp;MONTH(C270)&amp;""-""&amp;DAY(C270)&amp;""'""))&gt;0,""Depositada"",if(sum(QUERY(IMPORTRANGE(""https://docs.google.com/spreadsheets/d/1EcLIvUgMoBC5as4ikW0wuQsGH5yVZ6cQ1y16qEfgPnk"",""BD M Sangrias!a:i""),""select Col6 whe"&amp;"re Col7 = 'Caixa Atendimento' and Col9 = '""&amp;K270&amp;""' and Col6 = ""&amp;M270&amp;"" and Col4 = date '""&amp;YEAR(C270)&amp;""-""&amp;MONTH(C270)&amp;""-""&amp;DAY(C270)&amp;""'""))&gt;0,""Caixa Atendimento"",""Caixa Sangria"")),""""),""Caixa Sangria"")"),"")</f>
        <v/>
      </c>
      <c r="M270" s="185" t="str">
        <f>IFERROR(__xludf.DUMMYFUNCTION("ifna(VALUE(REGEXEXTRACT(E270,""[0-9.]+[,]+[0-9]+"")))"),"")</f>
        <v/>
      </c>
      <c r="N270" s="185"/>
      <c r="O270" s="185"/>
      <c r="P270" s="185"/>
      <c r="Q270" s="185"/>
      <c r="R270" s="185"/>
      <c r="S270" s="185"/>
      <c r="T270" s="185"/>
      <c r="U270" s="185"/>
      <c r="V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184" t="str">
        <f>IFERROR(__xludf.DUMMYFUNCTION("ifna(IF(and(D271=""Saída"",J271=""Sangria""),if(sum(QUERY(IMPORTRANGE(""https://docs.google.com/spreadsheets/d/1E4szPcLzsqlw4uyBAoJ61L1ChCgpz4wVP8tHfHW1g_c"",""BD M Sangrias!a:i""),""select Col6 where Col7 = 'Depositada' and Col9 = '""&amp;K271&amp;""' and Col6 ="&amp;" ""&amp;M271&amp;"" and Col4 = date '""&amp;YEAR(C271)&amp;""-""&amp;MONTH(C271)&amp;""-""&amp;DAY(C271)&amp;""'""))&gt;0,""Depositada"",if(sum(QUERY(IMPORTRANGE(""https://docs.google.com/spreadsheets/d/1EcLIvUgMoBC5as4ikW0wuQsGH5yVZ6cQ1y16qEfgPnk"",""BD M Sangrias!a:i""),""select Col6 whe"&amp;"re Col7 = 'Caixa Atendimento' and Col9 = '""&amp;K271&amp;""' and Col6 = ""&amp;M271&amp;"" and Col4 = date '""&amp;YEAR(C271)&amp;""-""&amp;MONTH(C271)&amp;""-""&amp;DAY(C271)&amp;""'""))&gt;0,""Caixa Atendimento"",""Caixa Sangria"")),""""),""Caixa Sangria"")"),"")</f>
        <v/>
      </c>
      <c r="M271" s="185" t="str">
        <f>IFERROR(__xludf.DUMMYFUNCTION("ifna(VALUE(REGEXEXTRACT(E271,""[0-9.]+[,]+[0-9]+"")))"),"")</f>
        <v/>
      </c>
      <c r="N271" s="185"/>
      <c r="O271" s="185"/>
      <c r="P271" s="185"/>
      <c r="Q271" s="185"/>
      <c r="R271" s="185"/>
      <c r="S271" s="185"/>
      <c r="T271" s="185"/>
      <c r="U271" s="185"/>
      <c r="V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184" t="str">
        <f>IFERROR(__xludf.DUMMYFUNCTION("ifna(IF(and(D272=""Saída"",J272=""Sangria""),if(sum(QUERY(IMPORTRANGE(""https://docs.google.com/spreadsheets/d/1E4szPcLzsqlw4uyBAoJ61L1ChCgpz4wVP8tHfHW1g_c"",""BD M Sangrias!a:i""),""select Col6 where Col7 = 'Depositada' and Col9 = '""&amp;K272&amp;""' and Col6 ="&amp;" ""&amp;M272&amp;"" and Col4 = date '""&amp;YEAR(C272)&amp;""-""&amp;MONTH(C272)&amp;""-""&amp;DAY(C272)&amp;""'""))&gt;0,""Depositada"",if(sum(QUERY(IMPORTRANGE(""https://docs.google.com/spreadsheets/d/1EcLIvUgMoBC5as4ikW0wuQsGH5yVZ6cQ1y16qEfgPnk"",""BD M Sangrias!a:i""),""select Col6 whe"&amp;"re Col7 = 'Caixa Atendimento' and Col9 = '""&amp;K272&amp;""' and Col6 = ""&amp;M272&amp;"" and Col4 = date '""&amp;YEAR(C272)&amp;""-""&amp;MONTH(C272)&amp;""-""&amp;DAY(C272)&amp;""'""))&gt;0,""Caixa Atendimento"",""Caixa Sangria"")),""""),""Caixa Sangria"")"),"")</f>
        <v/>
      </c>
      <c r="M272" s="185" t="str">
        <f>IFERROR(__xludf.DUMMYFUNCTION("ifna(VALUE(REGEXEXTRACT(E272,""[0-9.]+[,]+[0-9]+"")))"),"")</f>
        <v/>
      </c>
      <c r="N272" s="185"/>
      <c r="O272" s="185"/>
      <c r="P272" s="185"/>
      <c r="Q272" s="185"/>
      <c r="R272" s="185"/>
      <c r="S272" s="185"/>
      <c r="T272" s="185"/>
      <c r="U272" s="185"/>
      <c r="V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184" t="str">
        <f>IFERROR(__xludf.DUMMYFUNCTION("ifna(IF(and(D273=""Saída"",J273=""Sangria""),if(sum(QUERY(IMPORTRANGE(""https://docs.google.com/spreadsheets/d/1E4szPcLzsqlw4uyBAoJ61L1ChCgpz4wVP8tHfHW1g_c"",""BD M Sangrias!a:i""),""select Col6 where Col7 = 'Depositada' and Col9 = '""&amp;K273&amp;""' and Col6 ="&amp;" ""&amp;M273&amp;"" and Col4 = date '""&amp;YEAR(C273)&amp;""-""&amp;MONTH(C273)&amp;""-""&amp;DAY(C273)&amp;""'""))&gt;0,""Depositada"",if(sum(QUERY(IMPORTRANGE(""https://docs.google.com/spreadsheets/d/1EcLIvUgMoBC5as4ikW0wuQsGH5yVZ6cQ1y16qEfgPnk"",""BD M Sangrias!a:i""),""select Col6 whe"&amp;"re Col7 = 'Caixa Atendimento' and Col9 = '""&amp;K273&amp;""' and Col6 = ""&amp;M273&amp;"" and Col4 = date '""&amp;YEAR(C273)&amp;""-""&amp;MONTH(C273)&amp;""-""&amp;DAY(C273)&amp;""'""))&gt;0,""Caixa Atendimento"",""Caixa Sangria"")),""""),""Caixa Sangria"")"),"")</f>
        <v/>
      </c>
      <c r="M273" s="185" t="str">
        <f>IFERROR(__xludf.DUMMYFUNCTION("ifna(VALUE(REGEXEXTRACT(E273,""[0-9.]+[,]+[0-9]+"")))"),"")</f>
        <v/>
      </c>
      <c r="N273" s="185"/>
      <c r="O273" s="185"/>
      <c r="P273" s="185"/>
      <c r="Q273" s="185"/>
      <c r="R273" s="185"/>
      <c r="S273" s="185"/>
      <c r="T273" s="185"/>
      <c r="U273" s="185"/>
      <c r="V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184" t="str">
        <f>IFERROR(__xludf.DUMMYFUNCTION("ifna(IF(and(D274=""Saída"",J274=""Sangria""),if(sum(QUERY(IMPORTRANGE(""https://docs.google.com/spreadsheets/d/1E4szPcLzsqlw4uyBAoJ61L1ChCgpz4wVP8tHfHW1g_c"",""BD M Sangrias!a:i""),""select Col6 where Col7 = 'Depositada' and Col9 = '""&amp;K274&amp;""' and Col6 ="&amp;" ""&amp;M274&amp;"" and Col4 = date '""&amp;YEAR(C274)&amp;""-""&amp;MONTH(C274)&amp;""-""&amp;DAY(C274)&amp;""'""))&gt;0,""Depositada"",if(sum(QUERY(IMPORTRANGE(""https://docs.google.com/spreadsheets/d/1EcLIvUgMoBC5as4ikW0wuQsGH5yVZ6cQ1y16qEfgPnk"",""BD M Sangrias!a:i""),""select Col6 whe"&amp;"re Col7 = 'Caixa Atendimento' and Col9 = '""&amp;K274&amp;""' and Col6 = ""&amp;M274&amp;"" and Col4 = date '""&amp;YEAR(C274)&amp;""-""&amp;MONTH(C274)&amp;""-""&amp;DAY(C274)&amp;""'""))&gt;0,""Caixa Atendimento"",""Caixa Sangria"")),""""),""Caixa Sangria"")"),"")</f>
        <v/>
      </c>
      <c r="M274" s="185" t="str">
        <f>IFERROR(__xludf.DUMMYFUNCTION("ifna(VALUE(REGEXEXTRACT(E274,""[0-9.]+[,]+[0-9]+"")))"),"")</f>
        <v/>
      </c>
      <c r="N274" s="185"/>
      <c r="O274" s="185"/>
      <c r="P274" s="185"/>
      <c r="Q274" s="185"/>
      <c r="R274" s="185"/>
      <c r="S274" s="185"/>
      <c r="T274" s="185"/>
      <c r="U274" s="185"/>
      <c r="V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184" t="str">
        <f>IFERROR(__xludf.DUMMYFUNCTION("ifna(IF(and(D275=""Saída"",J275=""Sangria""),if(sum(QUERY(IMPORTRANGE(""https://docs.google.com/spreadsheets/d/1E4szPcLzsqlw4uyBAoJ61L1ChCgpz4wVP8tHfHW1g_c"",""BD M Sangrias!a:i""),""select Col6 where Col7 = 'Depositada' and Col9 = '""&amp;K275&amp;""' and Col6 ="&amp;" ""&amp;M275&amp;"" and Col4 = date '""&amp;YEAR(C275)&amp;""-""&amp;MONTH(C275)&amp;""-""&amp;DAY(C275)&amp;""'""))&gt;0,""Depositada"",if(sum(QUERY(IMPORTRANGE(""https://docs.google.com/spreadsheets/d/1EcLIvUgMoBC5as4ikW0wuQsGH5yVZ6cQ1y16qEfgPnk"",""BD M Sangrias!a:i""),""select Col6 whe"&amp;"re Col7 = 'Caixa Atendimento' and Col9 = '""&amp;K275&amp;""' and Col6 = ""&amp;M275&amp;"" and Col4 = date '""&amp;YEAR(C275)&amp;""-""&amp;MONTH(C275)&amp;""-""&amp;DAY(C275)&amp;""'""))&gt;0,""Caixa Atendimento"",""Caixa Sangria"")),""""),""Caixa Sangria"")"),"")</f>
        <v/>
      </c>
      <c r="M275" s="185" t="str">
        <f>IFERROR(__xludf.DUMMYFUNCTION("ifna(VALUE(REGEXEXTRACT(E275,""[0-9.]+[,]+[0-9]+"")))"),"")</f>
        <v/>
      </c>
      <c r="N275" s="185"/>
      <c r="O275" s="185"/>
      <c r="P275" s="185"/>
      <c r="Q275" s="185"/>
      <c r="R275" s="185"/>
      <c r="S275" s="185"/>
      <c r="T275" s="185"/>
      <c r="U275" s="185"/>
      <c r="V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184" t="str">
        <f>IFERROR(__xludf.DUMMYFUNCTION("ifna(IF(and(D276=""Saída"",J276=""Sangria""),if(sum(QUERY(IMPORTRANGE(""https://docs.google.com/spreadsheets/d/1E4szPcLzsqlw4uyBAoJ61L1ChCgpz4wVP8tHfHW1g_c"",""BD M Sangrias!a:i""),""select Col6 where Col7 = 'Depositada' and Col9 = '""&amp;K276&amp;""' and Col6 ="&amp;" ""&amp;M276&amp;"" and Col4 = date '""&amp;YEAR(C276)&amp;""-""&amp;MONTH(C276)&amp;""-""&amp;DAY(C276)&amp;""'""))&gt;0,""Depositada"",if(sum(QUERY(IMPORTRANGE(""https://docs.google.com/spreadsheets/d/1EcLIvUgMoBC5as4ikW0wuQsGH5yVZ6cQ1y16qEfgPnk"",""BD M Sangrias!a:i""),""select Col6 whe"&amp;"re Col7 = 'Caixa Atendimento' and Col9 = '""&amp;K276&amp;""' and Col6 = ""&amp;M276&amp;"" and Col4 = date '""&amp;YEAR(C276)&amp;""-""&amp;MONTH(C276)&amp;""-""&amp;DAY(C276)&amp;""'""))&gt;0,""Caixa Atendimento"",""Caixa Sangria"")),""""),""Caixa Sangria"")"),"")</f>
        <v/>
      </c>
      <c r="M276" s="185" t="str">
        <f>IFERROR(__xludf.DUMMYFUNCTION("ifna(VALUE(REGEXEXTRACT(E276,""[0-9.]+[,]+[0-9]+"")))"),"")</f>
        <v/>
      </c>
      <c r="N276" s="185"/>
      <c r="O276" s="185"/>
      <c r="P276" s="185"/>
      <c r="Q276" s="185"/>
      <c r="R276" s="185"/>
      <c r="S276" s="185"/>
      <c r="T276" s="185"/>
      <c r="U276" s="185"/>
      <c r="V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184" t="str">
        <f>IFERROR(__xludf.DUMMYFUNCTION("ifna(IF(and(D277=""Saída"",J277=""Sangria""),if(sum(QUERY(IMPORTRANGE(""https://docs.google.com/spreadsheets/d/1E4szPcLzsqlw4uyBAoJ61L1ChCgpz4wVP8tHfHW1g_c"",""BD M Sangrias!a:i""),""select Col6 where Col7 = 'Depositada' and Col9 = '""&amp;K277&amp;""' and Col6 ="&amp;" ""&amp;M277&amp;"" and Col4 = date '""&amp;YEAR(C277)&amp;""-""&amp;MONTH(C277)&amp;""-""&amp;DAY(C277)&amp;""'""))&gt;0,""Depositada"",if(sum(QUERY(IMPORTRANGE(""https://docs.google.com/spreadsheets/d/1EcLIvUgMoBC5as4ikW0wuQsGH5yVZ6cQ1y16qEfgPnk"",""BD M Sangrias!a:i""),""select Col6 whe"&amp;"re Col7 = 'Caixa Atendimento' and Col9 = '""&amp;K277&amp;""' and Col6 = ""&amp;M277&amp;"" and Col4 = date '""&amp;YEAR(C277)&amp;""-""&amp;MONTH(C277)&amp;""-""&amp;DAY(C277)&amp;""'""))&gt;0,""Caixa Atendimento"",""Caixa Sangria"")),""""),""Caixa Sangria"")"),"")</f>
        <v/>
      </c>
      <c r="M277" s="185" t="str">
        <f>IFERROR(__xludf.DUMMYFUNCTION("ifna(VALUE(REGEXEXTRACT(E277,""[0-9.]+[,]+[0-9]+"")))"),"")</f>
        <v/>
      </c>
      <c r="N277" s="185"/>
      <c r="O277" s="185"/>
      <c r="P277" s="185"/>
      <c r="Q277" s="185"/>
      <c r="R277" s="185"/>
      <c r="S277" s="185"/>
      <c r="T277" s="185"/>
      <c r="U277" s="185"/>
      <c r="V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184" t="str">
        <f>IFERROR(__xludf.DUMMYFUNCTION("ifna(IF(and(D278=""Saída"",J278=""Sangria""),if(sum(QUERY(IMPORTRANGE(""https://docs.google.com/spreadsheets/d/1E4szPcLzsqlw4uyBAoJ61L1ChCgpz4wVP8tHfHW1g_c"",""BD M Sangrias!a:i""),""select Col6 where Col7 = 'Depositada' and Col9 = '""&amp;K278&amp;""' and Col6 ="&amp;" ""&amp;M278&amp;"" and Col4 = date '""&amp;YEAR(C278)&amp;""-""&amp;MONTH(C278)&amp;""-""&amp;DAY(C278)&amp;""'""))&gt;0,""Depositada"",if(sum(QUERY(IMPORTRANGE(""https://docs.google.com/spreadsheets/d/1EcLIvUgMoBC5as4ikW0wuQsGH5yVZ6cQ1y16qEfgPnk"",""BD M Sangrias!a:i""),""select Col6 whe"&amp;"re Col7 = 'Caixa Atendimento' and Col9 = '""&amp;K278&amp;""' and Col6 = ""&amp;M278&amp;"" and Col4 = date '""&amp;YEAR(C278)&amp;""-""&amp;MONTH(C278)&amp;""-""&amp;DAY(C278)&amp;""'""))&gt;0,""Caixa Atendimento"",""Caixa Sangria"")),""""),""Caixa Sangria"")"),"")</f>
        <v/>
      </c>
      <c r="M278" s="185" t="str">
        <f>IFERROR(__xludf.DUMMYFUNCTION("ifna(VALUE(REGEXEXTRACT(E278,""[0-9.]+[,]+[0-9]+"")))"),"")</f>
        <v/>
      </c>
      <c r="N278" s="185"/>
      <c r="O278" s="185"/>
      <c r="P278" s="185"/>
      <c r="Q278" s="185"/>
      <c r="R278" s="185"/>
      <c r="S278" s="185"/>
      <c r="T278" s="185"/>
      <c r="U278" s="185"/>
      <c r="V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184" t="str">
        <f>IFERROR(__xludf.DUMMYFUNCTION("ifna(IF(and(D279=""Saída"",J279=""Sangria""),if(sum(QUERY(IMPORTRANGE(""https://docs.google.com/spreadsheets/d/1E4szPcLzsqlw4uyBAoJ61L1ChCgpz4wVP8tHfHW1g_c"",""BD M Sangrias!a:i""),""select Col6 where Col7 = 'Depositada' and Col9 = '""&amp;K279&amp;""' and Col6 ="&amp;" ""&amp;M279&amp;"" and Col4 = date '""&amp;YEAR(C279)&amp;""-""&amp;MONTH(C279)&amp;""-""&amp;DAY(C279)&amp;""'""))&gt;0,""Depositada"",if(sum(QUERY(IMPORTRANGE(""https://docs.google.com/spreadsheets/d/1EcLIvUgMoBC5as4ikW0wuQsGH5yVZ6cQ1y16qEfgPnk"",""BD M Sangrias!a:i""),""select Col6 whe"&amp;"re Col7 = 'Caixa Atendimento' and Col9 = '""&amp;K279&amp;""' and Col6 = ""&amp;M279&amp;"" and Col4 = date '""&amp;YEAR(C279)&amp;""-""&amp;MONTH(C279)&amp;""-""&amp;DAY(C279)&amp;""'""))&gt;0,""Caixa Atendimento"",""Caixa Sangria"")),""""),""Caixa Sangria"")"),"")</f>
        <v/>
      </c>
      <c r="M279" s="185" t="str">
        <f>IFERROR(__xludf.DUMMYFUNCTION("ifna(VALUE(REGEXEXTRACT(E279,""[0-9.]+[,]+[0-9]+"")))"),"")</f>
        <v/>
      </c>
      <c r="N279" s="185"/>
      <c r="O279" s="185"/>
      <c r="P279" s="185"/>
      <c r="Q279" s="185"/>
      <c r="R279" s="185"/>
      <c r="S279" s="185"/>
      <c r="T279" s="185"/>
      <c r="U279" s="185"/>
      <c r="V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184" t="str">
        <f>IFERROR(__xludf.DUMMYFUNCTION("ifna(IF(and(D280=""Saída"",J280=""Sangria""),if(sum(QUERY(IMPORTRANGE(""https://docs.google.com/spreadsheets/d/1E4szPcLzsqlw4uyBAoJ61L1ChCgpz4wVP8tHfHW1g_c"",""BD M Sangrias!a:i""),""select Col6 where Col7 = 'Depositada' and Col9 = '""&amp;K280&amp;""' and Col6 ="&amp;" ""&amp;M280&amp;"" and Col4 = date '""&amp;YEAR(C280)&amp;""-""&amp;MONTH(C280)&amp;""-""&amp;DAY(C280)&amp;""'""))&gt;0,""Depositada"",if(sum(QUERY(IMPORTRANGE(""https://docs.google.com/spreadsheets/d/1EcLIvUgMoBC5as4ikW0wuQsGH5yVZ6cQ1y16qEfgPnk"",""BD M Sangrias!a:i""),""select Col6 whe"&amp;"re Col7 = 'Caixa Atendimento' and Col9 = '""&amp;K280&amp;""' and Col6 = ""&amp;M280&amp;"" and Col4 = date '""&amp;YEAR(C280)&amp;""-""&amp;MONTH(C280)&amp;""-""&amp;DAY(C280)&amp;""'""))&gt;0,""Caixa Atendimento"",""Caixa Sangria"")),""""),""Caixa Sangria"")"),"")</f>
        <v/>
      </c>
      <c r="M280" s="185" t="str">
        <f>IFERROR(__xludf.DUMMYFUNCTION("ifna(VALUE(REGEXEXTRACT(E280,""[0-9.]+[,]+[0-9]+"")))"),"")</f>
        <v/>
      </c>
      <c r="N280" s="185"/>
      <c r="O280" s="185"/>
      <c r="P280" s="185"/>
      <c r="Q280" s="185"/>
      <c r="R280" s="185"/>
      <c r="S280" s="185"/>
      <c r="T280" s="185"/>
      <c r="U280" s="185"/>
      <c r="V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184" t="str">
        <f>IFERROR(__xludf.DUMMYFUNCTION("ifna(IF(and(D281=""Saída"",J281=""Sangria""),if(sum(QUERY(IMPORTRANGE(""https://docs.google.com/spreadsheets/d/1E4szPcLzsqlw4uyBAoJ61L1ChCgpz4wVP8tHfHW1g_c"",""BD M Sangrias!a:i""),""select Col6 where Col7 = 'Depositada' and Col9 = '""&amp;K281&amp;""' and Col6 ="&amp;" ""&amp;M281&amp;"" and Col4 = date '""&amp;YEAR(C281)&amp;""-""&amp;MONTH(C281)&amp;""-""&amp;DAY(C281)&amp;""'""))&gt;0,""Depositada"",if(sum(QUERY(IMPORTRANGE(""https://docs.google.com/spreadsheets/d/1EcLIvUgMoBC5as4ikW0wuQsGH5yVZ6cQ1y16qEfgPnk"",""BD M Sangrias!a:i""),""select Col6 whe"&amp;"re Col7 = 'Caixa Atendimento' and Col9 = '""&amp;K281&amp;""' and Col6 = ""&amp;M281&amp;"" and Col4 = date '""&amp;YEAR(C281)&amp;""-""&amp;MONTH(C281)&amp;""-""&amp;DAY(C281)&amp;""'""))&gt;0,""Caixa Atendimento"",""Caixa Sangria"")),""""),""Caixa Sangria"")"),"")</f>
        <v/>
      </c>
      <c r="M281" s="185" t="str">
        <f>IFERROR(__xludf.DUMMYFUNCTION("ifna(VALUE(REGEXEXTRACT(E281,""[0-9.]+[,]+[0-9]+"")))"),"")</f>
        <v/>
      </c>
      <c r="N281" s="185"/>
      <c r="O281" s="185"/>
      <c r="P281" s="185"/>
      <c r="Q281" s="185"/>
      <c r="R281" s="185"/>
      <c r="S281" s="185"/>
      <c r="T281" s="185"/>
      <c r="U281" s="185"/>
      <c r="V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184" t="str">
        <f>IFERROR(__xludf.DUMMYFUNCTION("ifna(IF(and(D282=""Saída"",J282=""Sangria""),if(sum(QUERY(IMPORTRANGE(""https://docs.google.com/spreadsheets/d/1E4szPcLzsqlw4uyBAoJ61L1ChCgpz4wVP8tHfHW1g_c"",""BD M Sangrias!a:i""),""select Col6 where Col7 = 'Depositada' and Col9 = '""&amp;K282&amp;""' and Col6 ="&amp;" ""&amp;M282&amp;"" and Col4 = date '""&amp;YEAR(C282)&amp;""-""&amp;MONTH(C282)&amp;""-""&amp;DAY(C282)&amp;""'""))&gt;0,""Depositada"",if(sum(QUERY(IMPORTRANGE(""https://docs.google.com/spreadsheets/d/1EcLIvUgMoBC5as4ikW0wuQsGH5yVZ6cQ1y16qEfgPnk"",""BD M Sangrias!a:i""),""select Col6 whe"&amp;"re Col7 = 'Caixa Atendimento' and Col9 = '""&amp;K282&amp;""' and Col6 = ""&amp;M282&amp;"" and Col4 = date '""&amp;YEAR(C282)&amp;""-""&amp;MONTH(C282)&amp;""-""&amp;DAY(C282)&amp;""'""))&gt;0,""Caixa Atendimento"",""Caixa Sangria"")),""""),""Caixa Sangria"")"),"")</f>
        <v/>
      </c>
      <c r="M282" s="185" t="str">
        <f>IFERROR(__xludf.DUMMYFUNCTION("ifna(VALUE(REGEXEXTRACT(E282,""[0-9.]+[,]+[0-9]+"")))"),"")</f>
        <v/>
      </c>
      <c r="N282" s="185"/>
      <c r="O282" s="185"/>
      <c r="P282" s="185"/>
      <c r="Q282" s="185"/>
      <c r="R282" s="185"/>
      <c r="S282" s="185"/>
      <c r="T282" s="185"/>
      <c r="U282" s="185"/>
      <c r="V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184" t="str">
        <f>IFERROR(__xludf.DUMMYFUNCTION("ifna(IF(and(D283=""Saída"",J283=""Sangria""),if(sum(QUERY(IMPORTRANGE(""https://docs.google.com/spreadsheets/d/1E4szPcLzsqlw4uyBAoJ61L1ChCgpz4wVP8tHfHW1g_c"",""BD M Sangrias!a:i""),""select Col6 where Col7 = 'Depositada' and Col9 = '""&amp;K283&amp;""' and Col6 ="&amp;" ""&amp;M283&amp;"" and Col4 = date '""&amp;YEAR(C283)&amp;""-""&amp;MONTH(C283)&amp;""-""&amp;DAY(C283)&amp;""'""))&gt;0,""Depositada"",if(sum(QUERY(IMPORTRANGE(""https://docs.google.com/spreadsheets/d/1EcLIvUgMoBC5as4ikW0wuQsGH5yVZ6cQ1y16qEfgPnk"",""BD M Sangrias!a:i""),""select Col6 whe"&amp;"re Col7 = 'Caixa Atendimento' and Col9 = '""&amp;K283&amp;""' and Col6 = ""&amp;M283&amp;"" and Col4 = date '""&amp;YEAR(C283)&amp;""-""&amp;MONTH(C283)&amp;""-""&amp;DAY(C283)&amp;""'""))&gt;0,""Caixa Atendimento"",""Caixa Sangria"")),""""),""Caixa Sangria"")"),"")</f>
        <v/>
      </c>
      <c r="M283" s="185" t="str">
        <f>IFERROR(__xludf.DUMMYFUNCTION("ifna(VALUE(REGEXEXTRACT(E283,""[0-9.]+[,]+[0-9]+"")))"),"")</f>
        <v/>
      </c>
      <c r="N283" s="185"/>
      <c r="O283" s="185"/>
      <c r="P283" s="185"/>
      <c r="Q283" s="185"/>
      <c r="R283" s="185"/>
      <c r="S283" s="185"/>
      <c r="T283" s="185"/>
      <c r="U283" s="185"/>
      <c r="V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184" t="str">
        <f>IFERROR(__xludf.DUMMYFUNCTION("ifna(IF(and(D284=""Saída"",J284=""Sangria""),if(sum(QUERY(IMPORTRANGE(""https://docs.google.com/spreadsheets/d/1E4szPcLzsqlw4uyBAoJ61L1ChCgpz4wVP8tHfHW1g_c"",""BD M Sangrias!a:i""),""select Col6 where Col7 = 'Depositada' and Col9 = '""&amp;K284&amp;""' and Col6 ="&amp;" ""&amp;M284&amp;"" and Col4 = date '""&amp;YEAR(C284)&amp;""-""&amp;MONTH(C284)&amp;""-""&amp;DAY(C284)&amp;""'""))&gt;0,""Depositada"",if(sum(QUERY(IMPORTRANGE(""https://docs.google.com/spreadsheets/d/1EcLIvUgMoBC5as4ikW0wuQsGH5yVZ6cQ1y16qEfgPnk"",""BD M Sangrias!a:i""),""select Col6 whe"&amp;"re Col7 = 'Caixa Atendimento' and Col9 = '""&amp;K284&amp;""' and Col6 = ""&amp;M284&amp;"" and Col4 = date '""&amp;YEAR(C284)&amp;""-""&amp;MONTH(C284)&amp;""-""&amp;DAY(C284)&amp;""'""))&gt;0,""Caixa Atendimento"",""Caixa Sangria"")),""""),""Caixa Sangria"")"),"")</f>
        <v/>
      </c>
      <c r="M284" s="185" t="str">
        <f>IFERROR(__xludf.DUMMYFUNCTION("ifna(VALUE(REGEXEXTRACT(E284,""[0-9.]+[,]+[0-9]+"")))"),"")</f>
        <v/>
      </c>
      <c r="N284" s="185"/>
      <c r="O284" s="185"/>
      <c r="P284" s="185"/>
      <c r="Q284" s="185"/>
      <c r="R284" s="185"/>
      <c r="S284" s="185"/>
      <c r="T284" s="185"/>
      <c r="U284" s="185"/>
      <c r="V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184" t="str">
        <f>IFERROR(__xludf.DUMMYFUNCTION("ifna(IF(and(D285=""Saída"",J285=""Sangria""),if(sum(QUERY(IMPORTRANGE(""https://docs.google.com/spreadsheets/d/1E4szPcLzsqlw4uyBAoJ61L1ChCgpz4wVP8tHfHW1g_c"",""BD M Sangrias!a:i""),""select Col6 where Col7 = 'Depositada' and Col9 = '""&amp;K285&amp;""' and Col6 ="&amp;" ""&amp;M285&amp;"" and Col4 = date '""&amp;YEAR(C285)&amp;""-""&amp;MONTH(C285)&amp;""-""&amp;DAY(C285)&amp;""'""))&gt;0,""Depositada"",if(sum(QUERY(IMPORTRANGE(""https://docs.google.com/spreadsheets/d/1EcLIvUgMoBC5as4ikW0wuQsGH5yVZ6cQ1y16qEfgPnk"",""BD M Sangrias!a:i""),""select Col6 whe"&amp;"re Col7 = 'Caixa Atendimento' and Col9 = '""&amp;K285&amp;""' and Col6 = ""&amp;M285&amp;"" and Col4 = date '""&amp;YEAR(C285)&amp;""-""&amp;MONTH(C285)&amp;""-""&amp;DAY(C285)&amp;""'""))&gt;0,""Caixa Atendimento"",""Caixa Sangria"")),""""),""Caixa Sangria"")"),"")</f>
        <v/>
      </c>
      <c r="M285" s="185" t="str">
        <f>IFERROR(__xludf.DUMMYFUNCTION("ifna(VALUE(REGEXEXTRACT(E285,""[0-9.]+[,]+[0-9]+"")))"),"")</f>
        <v/>
      </c>
      <c r="N285" s="185"/>
      <c r="O285" s="185"/>
      <c r="P285" s="185"/>
      <c r="Q285" s="185"/>
      <c r="R285" s="185"/>
      <c r="S285" s="185"/>
      <c r="T285" s="185"/>
      <c r="U285" s="185"/>
      <c r="V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184" t="str">
        <f>IFERROR(__xludf.DUMMYFUNCTION("ifna(IF(and(D286=""Saída"",J286=""Sangria""),if(sum(QUERY(IMPORTRANGE(""https://docs.google.com/spreadsheets/d/1E4szPcLzsqlw4uyBAoJ61L1ChCgpz4wVP8tHfHW1g_c"",""BD M Sangrias!a:i""),""select Col6 where Col7 = 'Depositada' and Col9 = '""&amp;K286&amp;""' and Col6 ="&amp;" ""&amp;M286&amp;"" and Col4 = date '""&amp;YEAR(C286)&amp;""-""&amp;MONTH(C286)&amp;""-""&amp;DAY(C286)&amp;""'""))&gt;0,""Depositada"",if(sum(QUERY(IMPORTRANGE(""https://docs.google.com/spreadsheets/d/1EcLIvUgMoBC5as4ikW0wuQsGH5yVZ6cQ1y16qEfgPnk"",""BD M Sangrias!a:i""),""select Col6 whe"&amp;"re Col7 = 'Caixa Atendimento' and Col9 = '""&amp;K286&amp;""' and Col6 = ""&amp;M286&amp;"" and Col4 = date '""&amp;YEAR(C286)&amp;""-""&amp;MONTH(C286)&amp;""-""&amp;DAY(C286)&amp;""'""))&gt;0,""Caixa Atendimento"",""Caixa Sangria"")),""""),""Caixa Sangria"")"),"")</f>
        <v/>
      </c>
      <c r="M286" s="185" t="str">
        <f>IFERROR(__xludf.DUMMYFUNCTION("ifna(VALUE(REGEXEXTRACT(E286,""[0-9.]+[,]+[0-9]+"")))"),"")</f>
        <v/>
      </c>
      <c r="N286" s="185"/>
      <c r="O286" s="185"/>
      <c r="P286" s="185"/>
      <c r="Q286" s="185"/>
      <c r="R286" s="185"/>
      <c r="S286" s="185"/>
      <c r="T286" s="185"/>
      <c r="U286" s="185"/>
      <c r="V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184" t="str">
        <f>IFERROR(__xludf.DUMMYFUNCTION("ifna(IF(and(D287=""Saída"",J287=""Sangria""),if(sum(QUERY(IMPORTRANGE(""https://docs.google.com/spreadsheets/d/1E4szPcLzsqlw4uyBAoJ61L1ChCgpz4wVP8tHfHW1g_c"",""BD M Sangrias!a:i""),""select Col6 where Col7 = 'Depositada' and Col9 = '""&amp;K287&amp;""' and Col6 ="&amp;" ""&amp;M287&amp;"" and Col4 = date '""&amp;YEAR(C287)&amp;""-""&amp;MONTH(C287)&amp;""-""&amp;DAY(C287)&amp;""'""))&gt;0,""Depositada"",if(sum(QUERY(IMPORTRANGE(""https://docs.google.com/spreadsheets/d/1EcLIvUgMoBC5as4ikW0wuQsGH5yVZ6cQ1y16qEfgPnk"",""BD M Sangrias!a:i""),""select Col6 whe"&amp;"re Col7 = 'Caixa Atendimento' and Col9 = '""&amp;K287&amp;""' and Col6 = ""&amp;M287&amp;"" and Col4 = date '""&amp;YEAR(C287)&amp;""-""&amp;MONTH(C287)&amp;""-""&amp;DAY(C287)&amp;""'""))&gt;0,""Caixa Atendimento"",""Caixa Sangria"")),""""),""Caixa Sangria"")"),"")</f>
        <v/>
      </c>
      <c r="M287" s="185" t="str">
        <f>IFERROR(__xludf.DUMMYFUNCTION("ifna(VALUE(REGEXEXTRACT(E287,""[0-9.]+[,]+[0-9]+"")))"),"")</f>
        <v/>
      </c>
      <c r="N287" s="185"/>
      <c r="O287" s="185"/>
      <c r="P287" s="185"/>
      <c r="Q287" s="185"/>
      <c r="R287" s="185"/>
      <c r="S287" s="185"/>
      <c r="T287" s="185"/>
      <c r="U287" s="185"/>
      <c r="V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184" t="str">
        <f>IFERROR(__xludf.DUMMYFUNCTION("ifna(IF(and(D288=""Saída"",J288=""Sangria""),if(sum(QUERY(IMPORTRANGE(""https://docs.google.com/spreadsheets/d/1E4szPcLzsqlw4uyBAoJ61L1ChCgpz4wVP8tHfHW1g_c"",""BD M Sangrias!a:i""),""select Col6 where Col7 = 'Depositada' and Col9 = '""&amp;K288&amp;""' and Col6 ="&amp;" ""&amp;M288&amp;"" and Col4 = date '""&amp;YEAR(C288)&amp;""-""&amp;MONTH(C288)&amp;""-""&amp;DAY(C288)&amp;""'""))&gt;0,""Depositada"",if(sum(QUERY(IMPORTRANGE(""https://docs.google.com/spreadsheets/d/1EcLIvUgMoBC5as4ikW0wuQsGH5yVZ6cQ1y16qEfgPnk"",""BD M Sangrias!a:i""),""select Col6 whe"&amp;"re Col7 = 'Caixa Atendimento' and Col9 = '""&amp;K288&amp;""' and Col6 = ""&amp;M288&amp;"" and Col4 = date '""&amp;YEAR(C288)&amp;""-""&amp;MONTH(C288)&amp;""-""&amp;DAY(C288)&amp;""'""))&gt;0,""Caixa Atendimento"",""Caixa Sangria"")),""""),""Caixa Sangria"")"),"")</f>
        <v/>
      </c>
      <c r="M288" s="185" t="str">
        <f>IFERROR(__xludf.DUMMYFUNCTION("ifna(VALUE(REGEXEXTRACT(E288,""[0-9.]+[,]+[0-9]+"")))"),"")</f>
        <v/>
      </c>
      <c r="N288" s="185"/>
      <c r="O288" s="185"/>
      <c r="P288" s="185"/>
      <c r="Q288" s="185"/>
      <c r="R288" s="185"/>
      <c r="S288" s="185"/>
      <c r="T288" s="185"/>
      <c r="U288" s="185"/>
      <c r="V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184" t="str">
        <f>IFERROR(__xludf.DUMMYFUNCTION("ifna(IF(and(D289=""Saída"",J289=""Sangria""),if(sum(QUERY(IMPORTRANGE(""https://docs.google.com/spreadsheets/d/1E4szPcLzsqlw4uyBAoJ61L1ChCgpz4wVP8tHfHW1g_c"",""BD M Sangrias!a:i""),""select Col6 where Col7 = 'Depositada' and Col9 = '""&amp;K289&amp;""' and Col6 ="&amp;" ""&amp;M289&amp;"" and Col4 = date '""&amp;YEAR(C289)&amp;""-""&amp;MONTH(C289)&amp;""-""&amp;DAY(C289)&amp;""'""))&gt;0,""Depositada"",if(sum(QUERY(IMPORTRANGE(""https://docs.google.com/spreadsheets/d/1EcLIvUgMoBC5as4ikW0wuQsGH5yVZ6cQ1y16qEfgPnk"",""BD M Sangrias!a:i""),""select Col6 whe"&amp;"re Col7 = 'Caixa Atendimento' and Col9 = '""&amp;K289&amp;""' and Col6 = ""&amp;M289&amp;"" and Col4 = date '""&amp;YEAR(C289)&amp;""-""&amp;MONTH(C289)&amp;""-""&amp;DAY(C289)&amp;""'""))&gt;0,""Caixa Atendimento"",""Caixa Sangria"")),""""),""Caixa Sangria"")"),"")</f>
        <v/>
      </c>
      <c r="M289" s="185" t="str">
        <f>IFERROR(__xludf.DUMMYFUNCTION("ifna(VALUE(REGEXEXTRACT(E289,""[0-9.]+[,]+[0-9]+"")))"),"")</f>
        <v/>
      </c>
      <c r="N289" s="185"/>
      <c r="O289" s="185"/>
      <c r="P289" s="185"/>
      <c r="Q289" s="185"/>
      <c r="R289" s="185"/>
      <c r="S289" s="185"/>
      <c r="T289" s="185"/>
      <c r="U289" s="185"/>
      <c r="V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184" t="str">
        <f>IFERROR(__xludf.DUMMYFUNCTION("ifna(IF(and(D290=""Saída"",J290=""Sangria""),if(sum(QUERY(IMPORTRANGE(""https://docs.google.com/spreadsheets/d/1E4szPcLzsqlw4uyBAoJ61L1ChCgpz4wVP8tHfHW1g_c"",""BD M Sangrias!a:i""),""select Col6 where Col7 = 'Depositada' and Col9 = '""&amp;K290&amp;""' and Col6 ="&amp;" ""&amp;M290&amp;"" and Col4 = date '""&amp;YEAR(C290)&amp;""-""&amp;MONTH(C290)&amp;""-""&amp;DAY(C290)&amp;""'""))&gt;0,""Depositada"",if(sum(QUERY(IMPORTRANGE(""https://docs.google.com/spreadsheets/d/1EcLIvUgMoBC5as4ikW0wuQsGH5yVZ6cQ1y16qEfgPnk"",""BD M Sangrias!a:i""),""select Col6 whe"&amp;"re Col7 = 'Caixa Atendimento' and Col9 = '""&amp;K290&amp;""' and Col6 = ""&amp;M290&amp;"" and Col4 = date '""&amp;YEAR(C290)&amp;""-""&amp;MONTH(C290)&amp;""-""&amp;DAY(C290)&amp;""'""))&gt;0,""Caixa Atendimento"",""Caixa Sangria"")),""""),""Caixa Sangria"")"),"")</f>
        <v/>
      </c>
      <c r="M290" s="185" t="str">
        <f>IFERROR(__xludf.DUMMYFUNCTION("ifna(VALUE(REGEXEXTRACT(E290,""[0-9.]+[,]+[0-9]+"")))"),"")</f>
        <v/>
      </c>
      <c r="N290" s="185"/>
      <c r="O290" s="185"/>
      <c r="P290" s="185"/>
      <c r="Q290" s="185"/>
      <c r="R290" s="185"/>
      <c r="S290" s="185"/>
      <c r="T290" s="185"/>
      <c r="U290" s="185"/>
      <c r="V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184" t="str">
        <f>IFERROR(__xludf.DUMMYFUNCTION("ifna(IF(and(D291=""Saída"",J291=""Sangria""),if(sum(QUERY(IMPORTRANGE(""https://docs.google.com/spreadsheets/d/1E4szPcLzsqlw4uyBAoJ61L1ChCgpz4wVP8tHfHW1g_c"",""BD M Sangrias!a:i""),""select Col6 where Col7 = 'Depositada' and Col9 = '""&amp;K291&amp;""' and Col6 ="&amp;" ""&amp;M291&amp;"" and Col4 = date '""&amp;YEAR(C291)&amp;""-""&amp;MONTH(C291)&amp;""-""&amp;DAY(C291)&amp;""'""))&gt;0,""Depositada"",if(sum(QUERY(IMPORTRANGE(""https://docs.google.com/spreadsheets/d/1EcLIvUgMoBC5as4ikW0wuQsGH5yVZ6cQ1y16qEfgPnk"",""BD M Sangrias!a:i""),""select Col6 whe"&amp;"re Col7 = 'Caixa Atendimento' and Col9 = '""&amp;K291&amp;""' and Col6 = ""&amp;M291&amp;"" and Col4 = date '""&amp;YEAR(C291)&amp;""-""&amp;MONTH(C291)&amp;""-""&amp;DAY(C291)&amp;""'""))&gt;0,""Caixa Atendimento"",""Caixa Sangria"")),""""),""Caixa Sangria"")"),"")</f>
        <v/>
      </c>
      <c r="M291" s="185" t="str">
        <f>IFERROR(__xludf.DUMMYFUNCTION("ifna(VALUE(REGEXEXTRACT(E291,""[0-9.]+[,]+[0-9]+"")))"),"")</f>
        <v/>
      </c>
      <c r="N291" s="185"/>
      <c r="O291" s="185"/>
      <c r="P291" s="185"/>
      <c r="Q291" s="185"/>
      <c r="R291" s="185"/>
      <c r="S291" s="185"/>
      <c r="T291" s="185"/>
      <c r="U291" s="185"/>
      <c r="V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184" t="str">
        <f>IFERROR(__xludf.DUMMYFUNCTION("ifna(IF(and(D292=""Saída"",J292=""Sangria""),if(sum(QUERY(IMPORTRANGE(""https://docs.google.com/spreadsheets/d/1E4szPcLzsqlw4uyBAoJ61L1ChCgpz4wVP8tHfHW1g_c"",""BD M Sangrias!a:i""),""select Col6 where Col7 = 'Depositada' and Col9 = '""&amp;K292&amp;""' and Col6 ="&amp;" ""&amp;M292&amp;"" and Col4 = date '""&amp;YEAR(C292)&amp;""-""&amp;MONTH(C292)&amp;""-""&amp;DAY(C292)&amp;""'""))&gt;0,""Depositada"",if(sum(QUERY(IMPORTRANGE(""https://docs.google.com/spreadsheets/d/1EcLIvUgMoBC5as4ikW0wuQsGH5yVZ6cQ1y16qEfgPnk"",""BD M Sangrias!a:i""),""select Col6 whe"&amp;"re Col7 = 'Caixa Atendimento' and Col9 = '""&amp;K292&amp;""' and Col6 = ""&amp;M292&amp;"" and Col4 = date '""&amp;YEAR(C292)&amp;""-""&amp;MONTH(C292)&amp;""-""&amp;DAY(C292)&amp;""'""))&gt;0,""Caixa Atendimento"",""Caixa Sangria"")),""""),""Caixa Sangria"")"),"")</f>
        <v/>
      </c>
      <c r="M292" s="185" t="str">
        <f>IFERROR(__xludf.DUMMYFUNCTION("ifna(VALUE(REGEXEXTRACT(E292,""[0-9.]+[,]+[0-9]+"")))"),"")</f>
        <v/>
      </c>
      <c r="N292" s="185"/>
      <c r="O292" s="185"/>
      <c r="P292" s="185"/>
      <c r="Q292" s="185"/>
      <c r="R292" s="185"/>
      <c r="S292" s="185"/>
      <c r="T292" s="185"/>
      <c r="U292" s="185"/>
      <c r="V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184" t="str">
        <f>IFERROR(__xludf.DUMMYFUNCTION("ifna(IF(and(D293=""Saída"",J293=""Sangria""),if(sum(QUERY(IMPORTRANGE(""https://docs.google.com/spreadsheets/d/1E4szPcLzsqlw4uyBAoJ61L1ChCgpz4wVP8tHfHW1g_c"",""BD M Sangrias!a:i""),""select Col6 where Col7 = 'Depositada' and Col9 = '""&amp;K293&amp;""' and Col6 ="&amp;" ""&amp;M293&amp;"" and Col4 = date '""&amp;YEAR(C293)&amp;""-""&amp;MONTH(C293)&amp;""-""&amp;DAY(C293)&amp;""'""))&gt;0,""Depositada"",if(sum(QUERY(IMPORTRANGE(""https://docs.google.com/spreadsheets/d/1EcLIvUgMoBC5as4ikW0wuQsGH5yVZ6cQ1y16qEfgPnk"",""BD M Sangrias!a:i""),""select Col6 whe"&amp;"re Col7 = 'Caixa Atendimento' and Col9 = '""&amp;K293&amp;""' and Col6 = ""&amp;M293&amp;"" and Col4 = date '""&amp;YEAR(C293)&amp;""-""&amp;MONTH(C293)&amp;""-""&amp;DAY(C293)&amp;""'""))&gt;0,""Caixa Atendimento"",""Caixa Sangria"")),""""),""Caixa Sangria"")"),"")</f>
        <v/>
      </c>
      <c r="M293" s="185" t="str">
        <f>IFERROR(__xludf.DUMMYFUNCTION("ifna(VALUE(REGEXEXTRACT(E293,""[0-9.]+[,]+[0-9]+"")))"),"")</f>
        <v/>
      </c>
      <c r="N293" s="185"/>
      <c r="O293" s="185"/>
      <c r="P293" s="185"/>
      <c r="Q293" s="185"/>
      <c r="R293" s="185"/>
      <c r="S293" s="185"/>
      <c r="T293" s="185"/>
      <c r="U293" s="185"/>
      <c r="V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184" t="str">
        <f>IFERROR(__xludf.DUMMYFUNCTION("ifna(IF(and(D294=""Saída"",J294=""Sangria""),if(sum(QUERY(IMPORTRANGE(""https://docs.google.com/spreadsheets/d/1E4szPcLzsqlw4uyBAoJ61L1ChCgpz4wVP8tHfHW1g_c"",""BD M Sangrias!a:i""),""select Col6 where Col7 = 'Depositada' and Col9 = '""&amp;K294&amp;""' and Col6 ="&amp;" ""&amp;M294&amp;"" and Col4 = date '""&amp;YEAR(C294)&amp;""-""&amp;MONTH(C294)&amp;""-""&amp;DAY(C294)&amp;""'""))&gt;0,""Depositada"",if(sum(QUERY(IMPORTRANGE(""https://docs.google.com/spreadsheets/d/1EcLIvUgMoBC5as4ikW0wuQsGH5yVZ6cQ1y16qEfgPnk"",""BD M Sangrias!a:i""),""select Col6 whe"&amp;"re Col7 = 'Caixa Atendimento' and Col9 = '""&amp;K294&amp;""' and Col6 = ""&amp;M294&amp;"" and Col4 = date '""&amp;YEAR(C294)&amp;""-""&amp;MONTH(C294)&amp;""-""&amp;DAY(C294)&amp;""'""))&gt;0,""Caixa Atendimento"",""Caixa Sangria"")),""""),""Caixa Sangria"")"),"")</f>
        <v/>
      </c>
      <c r="M294" s="185" t="str">
        <f>IFERROR(__xludf.DUMMYFUNCTION("ifna(VALUE(REGEXEXTRACT(E294,""[0-9.]+[,]+[0-9]+"")))"),"")</f>
        <v/>
      </c>
      <c r="N294" s="185"/>
      <c r="O294" s="185"/>
      <c r="P294" s="185"/>
      <c r="Q294" s="185"/>
      <c r="R294" s="185"/>
      <c r="S294" s="185"/>
      <c r="T294" s="185"/>
      <c r="U294" s="185"/>
      <c r="V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184" t="str">
        <f>IFERROR(__xludf.DUMMYFUNCTION("ifna(IF(and(D295=""Saída"",J295=""Sangria""),if(sum(QUERY(IMPORTRANGE(""https://docs.google.com/spreadsheets/d/1E4szPcLzsqlw4uyBAoJ61L1ChCgpz4wVP8tHfHW1g_c"",""BD M Sangrias!a:i""),""select Col6 where Col7 = 'Depositada' and Col9 = '""&amp;K295&amp;""' and Col6 ="&amp;" ""&amp;M295&amp;"" and Col4 = date '""&amp;YEAR(C295)&amp;""-""&amp;MONTH(C295)&amp;""-""&amp;DAY(C295)&amp;""'""))&gt;0,""Depositada"",if(sum(QUERY(IMPORTRANGE(""https://docs.google.com/spreadsheets/d/1EcLIvUgMoBC5as4ikW0wuQsGH5yVZ6cQ1y16qEfgPnk"",""BD M Sangrias!a:i""),""select Col6 whe"&amp;"re Col7 = 'Caixa Atendimento' and Col9 = '""&amp;K295&amp;""' and Col6 = ""&amp;M295&amp;"" and Col4 = date '""&amp;YEAR(C295)&amp;""-""&amp;MONTH(C295)&amp;""-""&amp;DAY(C295)&amp;""'""))&gt;0,""Caixa Atendimento"",""Caixa Sangria"")),""""),""Caixa Sangria"")"),"")</f>
        <v/>
      </c>
      <c r="M295" s="185" t="str">
        <f>IFERROR(__xludf.DUMMYFUNCTION("ifna(VALUE(REGEXEXTRACT(E295,""[0-9.]+[,]+[0-9]+"")))"),"")</f>
        <v/>
      </c>
      <c r="N295" s="185"/>
      <c r="O295" s="185"/>
      <c r="P295" s="185"/>
      <c r="Q295" s="185"/>
      <c r="R295" s="185"/>
      <c r="S295" s="185"/>
      <c r="T295" s="185"/>
      <c r="U295" s="185"/>
      <c r="V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184" t="str">
        <f>IFERROR(__xludf.DUMMYFUNCTION("ifna(IF(and(D296=""Saída"",J296=""Sangria""),if(sum(QUERY(IMPORTRANGE(""https://docs.google.com/spreadsheets/d/1E4szPcLzsqlw4uyBAoJ61L1ChCgpz4wVP8tHfHW1g_c"",""BD M Sangrias!a:i""),""select Col6 where Col7 = 'Depositada' and Col9 = '""&amp;K296&amp;""' and Col6 ="&amp;" ""&amp;M296&amp;"" and Col4 = date '""&amp;YEAR(C296)&amp;""-""&amp;MONTH(C296)&amp;""-""&amp;DAY(C296)&amp;""'""))&gt;0,""Depositada"",if(sum(QUERY(IMPORTRANGE(""https://docs.google.com/spreadsheets/d/1EcLIvUgMoBC5as4ikW0wuQsGH5yVZ6cQ1y16qEfgPnk"",""BD M Sangrias!a:i""),""select Col6 whe"&amp;"re Col7 = 'Caixa Atendimento' and Col9 = '""&amp;K296&amp;""' and Col6 = ""&amp;M296&amp;"" and Col4 = date '""&amp;YEAR(C296)&amp;""-""&amp;MONTH(C296)&amp;""-""&amp;DAY(C296)&amp;""'""))&gt;0,""Caixa Atendimento"",""Caixa Sangria"")),""""),""Caixa Sangria"")"),"")</f>
        <v/>
      </c>
      <c r="M296" s="185" t="str">
        <f>IFERROR(__xludf.DUMMYFUNCTION("ifna(VALUE(REGEXEXTRACT(E296,""[0-9.]+[,]+[0-9]+"")))"),"")</f>
        <v/>
      </c>
      <c r="N296" s="185"/>
      <c r="O296" s="185"/>
      <c r="P296" s="185"/>
      <c r="Q296" s="185"/>
      <c r="R296" s="185"/>
      <c r="S296" s="185"/>
      <c r="T296" s="185"/>
      <c r="U296" s="185"/>
      <c r="V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184" t="str">
        <f>IFERROR(__xludf.DUMMYFUNCTION("ifna(IF(and(D297=""Saída"",J297=""Sangria""),if(sum(QUERY(IMPORTRANGE(""https://docs.google.com/spreadsheets/d/1E4szPcLzsqlw4uyBAoJ61L1ChCgpz4wVP8tHfHW1g_c"",""BD M Sangrias!a:i""),""select Col6 where Col7 = 'Depositada' and Col9 = '""&amp;K297&amp;""' and Col6 ="&amp;" ""&amp;M297&amp;"" and Col4 = date '""&amp;YEAR(C297)&amp;""-""&amp;MONTH(C297)&amp;""-""&amp;DAY(C297)&amp;""'""))&gt;0,""Depositada"",if(sum(QUERY(IMPORTRANGE(""https://docs.google.com/spreadsheets/d/1EcLIvUgMoBC5as4ikW0wuQsGH5yVZ6cQ1y16qEfgPnk"",""BD M Sangrias!a:i""),""select Col6 whe"&amp;"re Col7 = 'Caixa Atendimento' and Col9 = '""&amp;K297&amp;""' and Col6 = ""&amp;M297&amp;"" and Col4 = date '""&amp;YEAR(C297)&amp;""-""&amp;MONTH(C297)&amp;""-""&amp;DAY(C297)&amp;""'""))&gt;0,""Caixa Atendimento"",""Caixa Sangria"")),""""),""Caixa Sangria"")"),"")</f>
        <v/>
      </c>
      <c r="M297" s="185" t="str">
        <f>IFERROR(__xludf.DUMMYFUNCTION("ifna(VALUE(REGEXEXTRACT(E297,""[0-9.]+[,]+[0-9]+"")))"),"")</f>
        <v/>
      </c>
      <c r="N297" s="185"/>
      <c r="O297" s="185"/>
      <c r="P297" s="185"/>
      <c r="Q297" s="185"/>
      <c r="R297" s="185"/>
      <c r="S297" s="185"/>
      <c r="T297" s="185"/>
      <c r="U297" s="185"/>
      <c r="V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184" t="str">
        <f>IFERROR(__xludf.DUMMYFUNCTION("ifna(IF(and(D298=""Saída"",J298=""Sangria""),if(sum(QUERY(IMPORTRANGE(""https://docs.google.com/spreadsheets/d/1E4szPcLzsqlw4uyBAoJ61L1ChCgpz4wVP8tHfHW1g_c"",""BD M Sangrias!a:i""),""select Col6 where Col7 = 'Depositada' and Col9 = '""&amp;K298&amp;""' and Col6 ="&amp;" ""&amp;M298&amp;"" and Col4 = date '""&amp;YEAR(C298)&amp;""-""&amp;MONTH(C298)&amp;""-""&amp;DAY(C298)&amp;""'""))&gt;0,""Depositada"",if(sum(QUERY(IMPORTRANGE(""https://docs.google.com/spreadsheets/d/1EcLIvUgMoBC5as4ikW0wuQsGH5yVZ6cQ1y16qEfgPnk"",""BD M Sangrias!a:i""),""select Col6 whe"&amp;"re Col7 = 'Caixa Atendimento' and Col9 = '""&amp;K298&amp;""' and Col6 = ""&amp;M298&amp;"" and Col4 = date '""&amp;YEAR(C298)&amp;""-""&amp;MONTH(C298)&amp;""-""&amp;DAY(C298)&amp;""'""))&gt;0,""Caixa Atendimento"",""Caixa Sangria"")),""""),""Caixa Sangria"")"),"")</f>
        <v/>
      </c>
      <c r="M298" s="185" t="str">
        <f>IFERROR(__xludf.DUMMYFUNCTION("ifna(VALUE(REGEXEXTRACT(E298,""[0-9.]+[,]+[0-9]+"")))"),"")</f>
        <v/>
      </c>
      <c r="N298" s="185"/>
      <c r="O298" s="185"/>
      <c r="P298" s="185"/>
      <c r="Q298" s="185"/>
      <c r="R298" s="185"/>
      <c r="S298" s="185"/>
      <c r="T298" s="185"/>
      <c r="U298" s="185"/>
      <c r="V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184" t="str">
        <f>IFERROR(__xludf.DUMMYFUNCTION("ifna(IF(and(D299=""Saída"",J299=""Sangria""),if(sum(QUERY(IMPORTRANGE(""https://docs.google.com/spreadsheets/d/1E4szPcLzsqlw4uyBAoJ61L1ChCgpz4wVP8tHfHW1g_c"",""BD M Sangrias!a:i""),""select Col6 where Col7 = 'Depositada' and Col9 = '""&amp;K299&amp;""' and Col6 ="&amp;" ""&amp;M299&amp;"" and Col4 = date '""&amp;YEAR(C299)&amp;""-""&amp;MONTH(C299)&amp;""-""&amp;DAY(C299)&amp;""'""))&gt;0,""Depositada"",if(sum(QUERY(IMPORTRANGE(""https://docs.google.com/spreadsheets/d/1EcLIvUgMoBC5as4ikW0wuQsGH5yVZ6cQ1y16qEfgPnk"",""BD M Sangrias!a:i""),""select Col6 whe"&amp;"re Col7 = 'Caixa Atendimento' and Col9 = '""&amp;K299&amp;""' and Col6 = ""&amp;M299&amp;"" and Col4 = date '""&amp;YEAR(C299)&amp;""-""&amp;MONTH(C299)&amp;""-""&amp;DAY(C299)&amp;""'""))&gt;0,""Caixa Atendimento"",""Caixa Sangria"")),""""),""Caixa Sangria"")"),"")</f>
        <v/>
      </c>
      <c r="M299" s="185" t="str">
        <f>IFERROR(__xludf.DUMMYFUNCTION("ifna(VALUE(REGEXEXTRACT(E299,""[0-9.]+[,]+[0-9]+"")))"),"")</f>
        <v/>
      </c>
      <c r="N299" s="185"/>
      <c r="O299" s="185"/>
      <c r="P299" s="185"/>
      <c r="Q299" s="185"/>
      <c r="R299" s="185"/>
      <c r="S299" s="185"/>
      <c r="T299" s="185"/>
      <c r="U299" s="185"/>
      <c r="V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184" t="str">
        <f>IFERROR(__xludf.DUMMYFUNCTION("ifna(IF(and(D300=""Saída"",J300=""Sangria""),if(sum(QUERY(IMPORTRANGE(""https://docs.google.com/spreadsheets/d/1E4szPcLzsqlw4uyBAoJ61L1ChCgpz4wVP8tHfHW1g_c"",""BD M Sangrias!a:i""),""select Col6 where Col7 = 'Depositada' and Col9 = '""&amp;K300&amp;""' and Col6 ="&amp;" ""&amp;M300&amp;"" and Col4 = date '""&amp;YEAR(C300)&amp;""-""&amp;MONTH(C300)&amp;""-""&amp;DAY(C300)&amp;""'""))&gt;0,""Depositada"",if(sum(QUERY(IMPORTRANGE(""https://docs.google.com/spreadsheets/d/1EcLIvUgMoBC5as4ikW0wuQsGH5yVZ6cQ1y16qEfgPnk"",""BD M Sangrias!a:i""),""select Col6 whe"&amp;"re Col7 = 'Caixa Atendimento' and Col9 = '""&amp;K300&amp;""' and Col6 = ""&amp;M300&amp;"" and Col4 = date '""&amp;YEAR(C300)&amp;""-""&amp;MONTH(C300)&amp;""-""&amp;DAY(C300)&amp;""'""))&gt;0,""Caixa Atendimento"",""Caixa Sangria"")),""""),""Caixa Sangria"")"),"")</f>
        <v/>
      </c>
      <c r="M300" s="185" t="str">
        <f>IFERROR(__xludf.DUMMYFUNCTION("ifna(VALUE(REGEXEXTRACT(E300,""[0-9.]+[,]+[0-9]+"")))"),"")</f>
        <v/>
      </c>
      <c r="N300" s="185"/>
      <c r="O300" s="185"/>
      <c r="P300" s="185"/>
      <c r="Q300" s="185"/>
      <c r="R300" s="185"/>
      <c r="S300" s="185"/>
      <c r="T300" s="185"/>
      <c r="U300" s="185"/>
      <c r="V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184" t="str">
        <f>IFERROR(__xludf.DUMMYFUNCTION("ifna(IF(and(D301=""Saída"",J301=""Sangria""),if(sum(QUERY(IMPORTRANGE(""https://docs.google.com/spreadsheets/d/1E4szPcLzsqlw4uyBAoJ61L1ChCgpz4wVP8tHfHW1g_c"",""BD M Sangrias!a:i""),""select Col6 where Col7 = 'Depositada' and Col9 = '""&amp;K301&amp;""' and Col6 ="&amp;" ""&amp;M301&amp;"" and Col4 = date '""&amp;YEAR(C301)&amp;""-""&amp;MONTH(C301)&amp;""-""&amp;DAY(C301)&amp;""'""))&gt;0,""Depositada"",if(sum(QUERY(IMPORTRANGE(""https://docs.google.com/spreadsheets/d/1EcLIvUgMoBC5as4ikW0wuQsGH5yVZ6cQ1y16qEfgPnk"",""BD M Sangrias!a:i""),""select Col6 whe"&amp;"re Col7 = 'Caixa Atendimento' and Col9 = '""&amp;K301&amp;""' and Col6 = ""&amp;M301&amp;"" and Col4 = date '""&amp;YEAR(C301)&amp;""-""&amp;MONTH(C301)&amp;""-""&amp;DAY(C301)&amp;""'""))&gt;0,""Caixa Atendimento"",""Caixa Sangria"")),""""),""Caixa Sangria"")"),"")</f>
        <v/>
      </c>
      <c r="M301" s="185" t="str">
        <f>IFERROR(__xludf.DUMMYFUNCTION("ifna(VALUE(REGEXEXTRACT(E301,""[0-9.]+[,]+[0-9]+"")))"),"")</f>
        <v/>
      </c>
      <c r="N301" s="185"/>
      <c r="O301" s="185"/>
      <c r="P301" s="185"/>
      <c r="Q301" s="185"/>
      <c r="R301" s="185"/>
      <c r="S301" s="185"/>
      <c r="T301" s="185"/>
      <c r="U301" s="185"/>
      <c r="V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184" t="str">
        <f>IFERROR(__xludf.DUMMYFUNCTION("ifna(IF(and(D302=""Saída"",J302=""Sangria""),if(sum(QUERY(IMPORTRANGE(""https://docs.google.com/spreadsheets/d/1E4szPcLzsqlw4uyBAoJ61L1ChCgpz4wVP8tHfHW1g_c"",""BD M Sangrias!a:i""),""select Col6 where Col7 = 'Depositada' and Col9 = '""&amp;K302&amp;""' and Col6 ="&amp;" ""&amp;M302&amp;"" and Col4 = date '""&amp;YEAR(C302)&amp;""-""&amp;MONTH(C302)&amp;""-""&amp;DAY(C302)&amp;""'""))&gt;0,""Depositada"",if(sum(QUERY(IMPORTRANGE(""https://docs.google.com/spreadsheets/d/1EcLIvUgMoBC5as4ikW0wuQsGH5yVZ6cQ1y16qEfgPnk"",""BD M Sangrias!a:i""),""select Col6 whe"&amp;"re Col7 = 'Caixa Atendimento' and Col9 = '""&amp;K302&amp;""' and Col6 = ""&amp;M302&amp;"" and Col4 = date '""&amp;YEAR(C302)&amp;""-""&amp;MONTH(C302)&amp;""-""&amp;DAY(C302)&amp;""'""))&gt;0,""Caixa Atendimento"",""Caixa Sangria"")),""""),""Caixa Sangria"")"),"")</f>
        <v/>
      </c>
      <c r="M302" s="185" t="str">
        <f>IFERROR(__xludf.DUMMYFUNCTION("ifna(VALUE(REGEXEXTRACT(E302,""[0-9.]+[,]+[0-9]+"")))"),"")</f>
        <v/>
      </c>
      <c r="N302" s="185"/>
      <c r="O302" s="185"/>
      <c r="P302" s="185"/>
      <c r="Q302" s="185"/>
      <c r="R302" s="185"/>
      <c r="S302" s="185"/>
      <c r="T302" s="185"/>
      <c r="U302" s="185"/>
      <c r="V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184" t="str">
        <f>IFERROR(__xludf.DUMMYFUNCTION("ifna(IF(and(D303=""Saída"",J303=""Sangria""),if(sum(QUERY(IMPORTRANGE(""https://docs.google.com/spreadsheets/d/1E4szPcLzsqlw4uyBAoJ61L1ChCgpz4wVP8tHfHW1g_c"",""BD M Sangrias!a:i""),""select Col6 where Col7 = 'Depositada' and Col9 = '""&amp;K303&amp;""' and Col6 ="&amp;" ""&amp;M303&amp;"" and Col4 = date '""&amp;YEAR(C303)&amp;""-""&amp;MONTH(C303)&amp;""-""&amp;DAY(C303)&amp;""'""))&gt;0,""Depositada"",if(sum(QUERY(IMPORTRANGE(""https://docs.google.com/spreadsheets/d/1EcLIvUgMoBC5as4ikW0wuQsGH5yVZ6cQ1y16qEfgPnk"",""BD M Sangrias!a:i""),""select Col6 whe"&amp;"re Col7 = 'Caixa Atendimento' and Col9 = '""&amp;K303&amp;""' and Col6 = ""&amp;M303&amp;"" and Col4 = date '""&amp;YEAR(C303)&amp;""-""&amp;MONTH(C303)&amp;""-""&amp;DAY(C303)&amp;""'""))&gt;0,""Caixa Atendimento"",""Caixa Sangria"")),""""),""Caixa Sangria"")"),"")</f>
        <v/>
      </c>
      <c r="M303" s="185" t="str">
        <f>IFERROR(__xludf.DUMMYFUNCTION("ifna(VALUE(REGEXEXTRACT(E303,""[0-9.]+[,]+[0-9]+"")))"),"")</f>
        <v/>
      </c>
      <c r="N303" s="185"/>
      <c r="O303" s="185"/>
      <c r="P303" s="185"/>
      <c r="Q303" s="185"/>
      <c r="R303" s="185"/>
      <c r="S303" s="185"/>
      <c r="T303" s="185"/>
      <c r="U303" s="185"/>
      <c r="V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184" t="str">
        <f>IFERROR(__xludf.DUMMYFUNCTION("ifna(IF(and(D304=""Saída"",J304=""Sangria""),if(sum(QUERY(IMPORTRANGE(""https://docs.google.com/spreadsheets/d/1E4szPcLzsqlw4uyBAoJ61L1ChCgpz4wVP8tHfHW1g_c"",""BD M Sangrias!a:i""),""select Col6 where Col7 = 'Depositada' and Col9 = '""&amp;K304&amp;""' and Col6 ="&amp;" ""&amp;M304&amp;"" and Col4 = date '""&amp;YEAR(C304)&amp;""-""&amp;MONTH(C304)&amp;""-""&amp;DAY(C304)&amp;""'""))&gt;0,""Depositada"",if(sum(QUERY(IMPORTRANGE(""https://docs.google.com/spreadsheets/d/1EcLIvUgMoBC5as4ikW0wuQsGH5yVZ6cQ1y16qEfgPnk"",""BD M Sangrias!a:i""),""select Col6 whe"&amp;"re Col7 = 'Caixa Atendimento' and Col9 = '""&amp;K304&amp;""' and Col6 = ""&amp;M304&amp;"" and Col4 = date '""&amp;YEAR(C304)&amp;""-""&amp;MONTH(C304)&amp;""-""&amp;DAY(C304)&amp;""'""))&gt;0,""Caixa Atendimento"",""Caixa Sangria"")),""""),""Caixa Sangria"")"),"")</f>
        <v/>
      </c>
      <c r="M304" s="185" t="str">
        <f>IFERROR(__xludf.DUMMYFUNCTION("ifna(VALUE(REGEXEXTRACT(E304,""[0-9.]+[,]+[0-9]+"")))"),"")</f>
        <v/>
      </c>
      <c r="N304" s="185"/>
      <c r="O304" s="185"/>
      <c r="P304" s="185"/>
      <c r="Q304" s="185"/>
      <c r="R304" s="185"/>
      <c r="S304" s="185"/>
      <c r="T304" s="185"/>
      <c r="U304" s="185"/>
      <c r="V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184" t="str">
        <f>IFERROR(__xludf.DUMMYFUNCTION("ifna(IF(and(D305=""Saída"",J305=""Sangria""),if(sum(QUERY(IMPORTRANGE(""https://docs.google.com/spreadsheets/d/1E4szPcLzsqlw4uyBAoJ61L1ChCgpz4wVP8tHfHW1g_c"",""BD M Sangrias!a:i""),""select Col6 where Col7 = 'Depositada' and Col9 = '""&amp;K305&amp;""' and Col6 ="&amp;" ""&amp;M305&amp;"" and Col4 = date '""&amp;YEAR(C305)&amp;""-""&amp;MONTH(C305)&amp;""-""&amp;DAY(C305)&amp;""'""))&gt;0,""Depositada"",if(sum(QUERY(IMPORTRANGE(""https://docs.google.com/spreadsheets/d/1EcLIvUgMoBC5as4ikW0wuQsGH5yVZ6cQ1y16qEfgPnk"",""BD M Sangrias!a:i""),""select Col6 whe"&amp;"re Col7 = 'Caixa Atendimento' and Col9 = '""&amp;K305&amp;""' and Col6 = ""&amp;M305&amp;"" and Col4 = date '""&amp;YEAR(C305)&amp;""-""&amp;MONTH(C305)&amp;""-""&amp;DAY(C305)&amp;""'""))&gt;0,""Caixa Atendimento"",""Caixa Sangria"")),""""),""Caixa Sangria"")"),"")</f>
        <v/>
      </c>
      <c r="M305" s="185" t="str">
        <f>IFERROR(__xludf.DUMMYFUNCTION("ifna(VALUE(REGEXEXTRACT(E305,""[0-9.]+[,]+[0-9]+"")))"),"")</f>
        <v/>
      </c>
      <c r="N305" s="185"/>
      <c r="O305" s="185"/>
      <c r="P305" s="185"/>
      <c r="Q305" s="185"/>
      <c r="R305" s="185"/>
      <c r="S305" s="185"/>
      <c r="T305" s="185"/>
      <c r="U305" s="185"/>
      <c r="V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184" t="str">
        <f>IFERROR(__xludf.DUMMYFUNCTION("ifna(IF(and(D306=""Saída"",J306=""Sangria""),if(sum(QUERY(IMPORTRANGE(""https://docs.google.com/spreadsheets/d/1E4szPcLzsqlw4uyBAoJ61L1ChCgpz4wVP8tHfHW1g_c"",""BD M Sangrias!a:i""),""select Col6 where Col7 = 'Depositada' and Col9 = '""&amp;K306&amp;""' and Col6 ="&amp;" ""&amp;M306&amp;"" and Col4 = date '""&amp;YEAR(C306)&amp;""-""&amp;MONTH(C306)&amp;""-""&amp;DAY(C306)&amp;""'""))&gt;0,""Depositada"",if(sum(QUERY(IMPORTRANGE(""https://docs.google.com/spreadsheets/d/1EcLIvUgMoBC5as4ikW0wuQsGH5yVZ6cQ1y16qEfgPnk"",""BD M Sangrias!a:i""),""select Col6 whe"&amp;"re Col7 = 'Caixa Atendimento' and Col9 = '""&amp;K306&amp;""' and Col6 = ""&amp;M306&amp;"" and Col4 = date '""&amp;YEAR(C306)&amp;""-""&amp;MONTH(C306)&amp;""-""&amp;DAY(C306)&amp;""'""))&gt;0,""Caixa Atendimento"",""Caixa Sangria"")),""""),""Caixa Sangria"")"),"")</f>
        <v/>
      </c>
      <c r="M306" s="185" t="str">
        <f>IFERROR(__xludf.DUMMYFUNCTION("ifna(VALUE(REGEXEXTRACT(E306,""[0-9.]+[,]+[0-9]+"")))"),"")</f>
        <v/>
      </c>
      <c r="N306" s="185"/>
      <c r="O306" s="185"/>
      <c r="P306" s="185"/>
      <c r="Q306" s="185"/>
      <c r="R306" s="185"/>
      <c r="S306" s="185"/>
      <c r="T306" s="185"/>
      <c r="U306" s="185"/>
      <c r="V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184" t="str">
        <f>IFERROR(__xludf.DUMMYFUNCTION("ifna(IF(and(D307=""Saída"",J307=""Sangria""),if(sum(QUERY(IMPORTRANGE(""https://docs.google.com/spreadsheets/d/1E4szPcLzsqlw4uyBAoJ61L1ChCgpz4wVP8tHfHW1g_c"",""BD M Sangrias!a:i""),""select Col6 where Col7 = 'Depositada' and Col9 = '""&amp;K307&amp;""' and Col6 ="&amp;" ""&amp;M307&amp;"" and Col4 = date '""&amp;YEAR(C307)&amp;""-""&amp;MONTH(C307)&amp;""-""&amp;DAY(C307)&amp;""'""))&gt;0,""Depositada"",if(sum(QUERY(IMPORTRANGE(""https://docs.google.com/spreadsheets/d/1EcLIvUgMoBC5as4ikW0wuQsGH5yVZ6cQ1y16qEfgPnk"",""BD M Sangrias!a:i""),""select Col6 whe"&amp;"re Col7 = 'Caixa Atendimento' and Col9 = '""&amp;K307&amp;""' and Col6 = ""&amp;M307&amp;"" and Col4 = date '""&amp;YEAR(C307)&amp;""-""&amp;MONTH(C307)&amp;""-""&amp;DAY(C307)&amp;""'""))&gt;0,""Caixa Atendimento"",""Caixa Sangria"")),""""),""Caixa Sangria"")"),"")</f>
        <v/>
      </c>
      <c r="M307" s="185" t="str">
        <f>IFERROR(__xludf.DUMMYFUNCTION("ifna(VALUE(REGEXEXTRACT(E307,""[0-9.]+[,]+[0-9]+"")))"),"")</f>
        <v/>
      </c>
      <c r="N307" s="185"/>
      <c r="O307" s="185"/>
      <c r="P307" s="185"/>
      <c r="Q307" s="185"/>
      <c r="R307" s="185"/>
      <c r="S307" s="185"/>
      <c r="T307" s="185"/>
      <c r="U307" s="185"/>
      <c r="V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184" t="str">
        <f>IFERROR(__xludf.DUMMYFUNCTION("ifna(IF(and(D308=""Saída"",J308=""Sangria""),if(sum(QUERY(IMPORTRANGE(""https://docs.google.com/spreadsheets/d/1E4szPcLzsqlw4uyBAoJ61L1ChCgpz4wVP8tHfHW1g_c"",""BD M Sangrias!a:i""),""select Col6 where Col7 = 'Depositada' and Col9 = '""&amp;K308&amp;""' and Col6 ="&amp;" ""&amp;M308&amp;"" and Col4 = date '""&amp;YEAR(C308)&amp;""-""&amp;MONTH(C308)&amp;""-""&amp;DAY(C308)&amp;""'""))&gt;0,""Depositada"",if(sum(QUERY(IMPORTRANGE(""https://docs.google.com/spreadsheets/d/1EcLIvUgMoBC5as4ikW0wuQsGH5yVZ6cQ1y16qEfgPnk"",""BD M Sangrias!a:i""),""select Col6 whe"&amp;"re Col7 = 'Caixa Atendimento' and Col9 = '""&amp;K308&amp;""' and Col6 = ""&amp;M308&amp;"" and Col4 = date '""&amp;YEAR(C308)&amp;""-""&amp;MONTH(C308)&amp;""-""&amp;DAY(C308)&amp;""'""))&gt;0,""Caixa Atendimento"",""Caixa Sangria"")),""""),""Caixa Sangria"")"),"")</f>
        <v/>
      </c>
      <c r="M308" s="185" t="str">
        <f>IFERROR(__xludf.DUMMYFUNCTION("ifna(VALUE(REGEXEXTRACT(E308,""[0-9.]+[,]+[0-9]+"")))"),"")</f>
        <v/>
      </c>
      <c r="N308" s="185"/>
      <c r="O308" s="185"/>
      <c r="P308" s="185"/>
      <c r="Q308" s="185"/>
      <c r="R308" s="185"/>
      <c r="S308" s="185"/>
      <c r="T308" s="185"/>
      <c r="U308" s="185"/>
      <c r="V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184" t="str">
        <f>IFERROR(__xludf.DUMMYFUNCTION("ifna(IF(and(D309=""Saída"",J309=""Sangria""),if(sum(QUERY(IMPORTRANGE(""https://docs.google.com/spreadsheets/d/1E4szPcLzsqlw4uyBAoJ61L1ChCgpz4wVP8tHfHW1g_c"",""BD M Sangrias!a:i""),""select Col6 where Col7 = 'Depositada' and Col9 = '""&amp;K309&amp;""' and Col6 ="&amp;" ""&amp;M309&amp;"" and Col4 = date '""&amp;YEAR(C309)&amp;""-""&amp;MONTH(C309)&amp;""-""&amp;DAY(C309)&amp;""'""))&gt;0,""Depositada"",if(sum(QUERY(IMPORTRANGE(""https://docs.google.com/spreadsheets/d/1EcLIvUgMoBC5as4ikW0wuQsGH5yVZ6cQ1y16qEfgPnk"",""BD M Sangrias!a:i""),""select Col6 whe"&amp;"re Col7 = 'Caixa Atendimento' and Col9 = '""&amp;K309&amp;""' and Col6 = ""&amp;M309&amp;"" and Col4 = date '""&amp;YEAR(C309)&amp;""-""&amp;MONTH(C309)&amp;""-""&amp;DAY(C309)&amp;""'""))&gt;0,""Caixa Atendimento"",""Caixa Sangria"")),""""),""Caixa Sangria"")"),"")</f>
        <v/>
      </c>
      <c r="M309" s="185" t="str">
        <f>IFERROR(__xludf.DUMMYFUNCTION("ifna(VALUE(REGEXEXTRACT(E309,""[0-9.]+[,]+[0-9]+"")))"),"")</f>
        <v/>
      </c>
      <c r="N309" s="185"/>
      <c r="O309" s="185"/>
      <c r="P309" s="185"/>
      <c r="Q309" s="185"/>
      <c r="R309" s="185"/>
      <c r="S309" s="185"/>
      <c r="T309" s="185"/>
      <c r="U309" s="185"/>
      <c r="V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184" t="str">
        <f>IFERROR(__xludf.DUMMYFUNCTION("ifna(IF(and(D310=""Saída"",J310=""Sangria""),if(sum(QUERY(IMPORTRANGE(""https://docs.google.com/spreadsheets/d/1E4szPcLzsqlw4uyBAoJ61L1ChCgpz4wVP8tHfHW1g_c"",""BD M Sangrias!a:i""),""select Col6 where Col7 = 'Depositada' and Col9 = '""&amp;K310&amp;""' and Col6 ="&amp;" ""&amp;M310&amp;"" and Col4 = date '""&amp;YEAR(C310)&amp;""-""&amp;MONTH(C310)&amp;""-""&amp;DAY(C310)&amp;""'""))&gt;0,""Depositada"",if(sum(QUERY(IMPORTRANGE(""https://docs.google.com/spreadsheets/d/1EcLIvUgMoBC5as4ikW0wuQsGH5yVZ6cQ1y16qEfgPnk"",""BD M Sangrias!a:i""),""select Col6 whe"&amp;"re Col7 = 'Caixa Atendimento' and Col9 = '""&amp;K310&amp;""' and Col6 = ""&amp;M310&amp;"" and Col4 = date '""&amp;YEAR(C310)&amp;""-""&amp;MONTH(C310)&amp;""-""&amp;DAY(C310)&amp;""'""))&gt;0,""Caixa Atendimento"",""Caixa Sangria"")),""""),""Caixa Sangria"")"),"")</f>
        <v/>
      </c>
      <c r="M310" s="185" t="str">
        <f>IFERROR(__xludf.DUMMYFUNCTION("ifna(VALUE(REGEXEXTRACT(E310,""[0-9.]+[,]+[0-9]+"")))"),"")</f>
        <v/>
      </c>
      <c r="N310" s="185"/>
      <c r="O310" s="185"/>
      <c r="P310" s="185"/>
      <c r="Q310" s="185"/>
      <c r="R310" s="185"/>
      <c r="S310" s="185"/>
      <c r="T310" s="185"/>
      <c r="U310" s="185"/>
      <c r="V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184" t="str">
        <f>IFERROR(__xludf.DUMMYFUNCTION("ifna(IF(and(D311=""Saída"",J311=""Sangria""),if(sum(QUERY(IMPORTRANGE(""https://docs.google.com/spreadsheets/d/1E4szPcLzsqlw4uyBAoJ61L1ChCgpz4wVP8tHfHW1g_c"",""BD M Sangrias!a:i""),""select Col6 where Col7 = 'Depositada' and Col9 = '""&amp;K311&amp;""' and Col6 ="&amp;" ""&amp;M311&amp;"" and Col4 = date '""&amp;YEAR(C311)&amp;""-""&amp;MONTH(C311)&amp;""-""&amp;DAY(C311)&amp;""'""))&gt;0,""Depositada"",if(sum(QUERY(IMPORTRANGE(""https://docs.google.com/spreadsheets/d/1EcLIvUgMoBC5as4ikW0wuQsGH5yVZ6cQ1y16qEfgPnk"",""BD M Sangrias!a:i""),""select Col6 whe"&amp;"re Col7 = 'Caixa Atendimento' and Col9 = '""&amp;K311&amp;""' and Col6 = ""&amp;M311&amp;"" and Col4 = date '""&amp;YEAR(C311)&amp;""-""&amp;MONTH(C311)&amp;""-""&amp;DAY(C311)&amp;""'""))&gt;0,""Caixa Atendimento"",""Caixa Sangria"")),""""),""Caixa Sangria"")"),"")</f>
        <v/>
      </c>
      <c r="M311" s="185" t="str">
        <f>IFERROR(__xludf.DUMMYFUNCTION("ifna(VALUE(REGEXEXTRACT(E311,""[0-9.]+[,]+[0-9]+"")))"),"")</f>
        <v/>
      </c>
      <c r="N311" s="185"/>
      <c r="O311" s="185"/>
      <c r="P311" s="185"/>
      <c r="Q311" s="185"/>
      <c r="R311" s="185"/>
      <c r="S311" s="185"/>
      <c r="T311" s="185"/>
      <c r="U311" s="185"/>
      <c r="V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184" t="str">
        <f>IFERROR(__xludf.DUMMYFUNCTION("ifna(IF(and(D312=""Saída"",J312=""Sangria""),if(sum(QUERY(IMPORTRANGE(""https://docs.google.com/spreadsheets/d/1E4szPcLzsqlw4uyBAoJ61L1ChCgpz4wVP8tHfHW1g_c"",""BD M Sangrias!a:i""),""select Col6 where Col7 = 'Depositada' and Col9 = '""&amp;K312&amp;""' and Col6 ="&amp;" ""&amp;M312&amp;"" and Col4 = date '""&amp;YEAR(C312)&amp;""-""&amp;MONTH(C312)&amp;""-""&amp;DAY(C312)&amp;""'""))&gt;0,""Depositada"",if(sum(QUERY(IMPORTRANGE(""https://docs.google.com/spreadsheets/d/1EcLIvUgMoBC5as4ikW0wuQsGH5yVZ6cQ1y16qEfgPnk"",""BD M Sangrias!a:i""),""select Col6 whe"&amp;"re Col7 = 'Caixa Atendimento' and Col9 = '""&amp;K312&amp;""' and Col6 = ""&amp;M312&amp;"" and Col4 = date '""&amp;YEAR(C312)&amp;""-""&amp;MONTH(C312)&amp;""-""&amp;DAY(C312)&amp;""'""))&gt;0,""Caixa Atendimento"",""Caixa Sangria"")),""""),""Caixa Sangria"")"),"")</f>
        <v/>
      </c>
      <c r="M312" s="185" t="str">
        <f>IFERROR(__xludf.DUMMYFUNCTION("ifna(VALUE(REGEXEXTRACT(E312,""[0-9.]+[,]+[0-9]+"")))"),"")</f>
        <v/>
      </c>
      <c r="N312" s="185"/>
      <c r="O312" s="185"/>
      <c r="P312" s="185"/>
      <c r="Q312" s="185"/>
      <c r="R312" s="185"/>
      <c r="S312" s="185"/>
      <c r="T312" s="185"/>
      <c r="U312" s="185"/>
      <c r="V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184" t="str">
        <f>IFERROR(__xludf.DUMMYFUNCTION("ifna(IF(and(D313=""Saída"",J313=""Sangria""),if(sum(QUERY(IMPORTRANGE(""https://docs.google.com/spreadsheets/d/1E4szPcLzsqlw4uyBAoJ61L1ChCgpz4wVP8tHfHW1g_c"",""BD M Sangrias!a:i""),""select Col6 where Col7 = 'Depositada' and Col9 = '""&amp;K313&amp;""' and Col6 ="&amp;" ""&amp;M313&amp;"" and Col4 = date '""&amp;YEAR(C313)&amp;""-""&amp;MONTH(C313)&amp;""-""&amp;DAY(C313)&amp;""'""))&gt;0,""Depositada"",if(sum(QUERY(IMPORTRANGE(""https://docs.google.com/spreadsheets/d/1EcLIvUgMoBC5as4ikW0wuQsGH5yVZ6cQ1y16qEfgPnk"",""BD M Sangrias!a:i""),""select Col6 whe"&amp;"re Col7 = 'Caixa Atendimento' and Col9 = '""&amp;K313&amp;""' and Col6 = ""&amp;M313&amp;"" and Col4 = date '""&amp;YEAR(C313)&amp;""-""&amp;MONTH(C313)&amp;""-""&amp;DAY(C313)&amp;""'""))&gt;0,""Caixa Atendimento"",""Caixa Sangria"")),""""),""Caixa Sangria"")"),"")</f>
        <v/>
      </c>
      <c r="M313" s="185" t="str">
        <f>IFERROR(__xludf.DUMMYFUNCTION("ifna(VALUE(REGEXEXTRACT(E313,""[0-9.]+[,]+[0-9]+"")))"),"")</f>
        <v/>
      </c>
      <c r="N313" s="185"/>
      <c r="O313" s="185"/>
      <c r="P313" s="185"/>
      <c r="Q313" s="185"/>
      <c r="R313" s="185"/>
      <c r="S313" s="185"/>
      <c r="T313" s="185"/>
      <c r="U313" s="185"/>
      <c r="V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184" t="str">
        <f>IFERROR(__xludf.DUMMYFUNCTION("ifna(IF(and(D314=""Saída"",J314=""Sangria""),if(sum(QUERY(IMPORTRANGE(""https://docs.google.com/spreadsheets/d/1E4szPcLzsqlw4uyBAoJ61L1ChCgpz4wVP8tHfHW1g_c"",""BD M Sangrias!a:i""),""select Col6 where Col7 = 'Depositada' and Col9 = '""&amp;K314&amp;""' and Col6 ="&amp;" ""&amp;M314&amp;"" and Col4 = date '""&amp;YEAR(C314)&amp;""-""&amp;MONTH(C314)&amp;""-""&amp;DAY(C314)&amp;""'""))&gt;0,""Depositada"",if(sum(QUERY(IMPORTRANGE(""https://docs.google.com/spreadsheets/d/1EcLIvUgMoBC5as4ikW0wuQsGH5yVZ6cQ1y16qEfgPnk"",""BD M Sangrias!a:i""),""select Col6 whe"&amp;"re Col7 = 'Caixa Atendimento' and Col9 = '""&amp;K314&amp;""' and Col6 = ""&amp;M314&amp;"" and Col4 = date '""&amp;YEAR(C314)&amp;""-""&amp;MONTH(C314)&amp;""-""&amp;DAY(C314)&amp;""'""))&gt;0,""Caixa Atendimento"",""Caixa Sangria"")),""""),""Caixa Sangria"")"),"")</f>
        <v/>
      </c>
      <c r="M314" s="185" t="str">
        <f>IFERROR(__xludf.DUMMYFUNCTION("ifna(VALUE(REGEXEXTRACT(E314,""[0-9.]+[,]+[0-9]+"")))"),"")</f>
        <v/>
      </c>
      <c r="N314" s="185"/>
      <c r="O314" s="185"/>
      <c r="P314" s="185"/>
      <c r="Q314" s="185"/>
      <c r="R314" s="185"/>
      <c r="S314" s="185"/>
      <c r="T314" s="185"/>
      <c r="U314" s="185"/>
      <c r="V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184" t="str">
        <f>IFERROR(__xludf.DUMMYFUNCTION("ifna(IF(and(D315=""Saída"",J315=""Sangria""),if(sum(QUERY(IMPORTRANGE(""https://docs.google.com/spreadsheets/d/1E4szPcLzsqlw4uyBAoJ61L1ChCgpz4wVP8tHfHW1g_c"",""BD M Sangrias!a:i""),""select Col6 where Col7 = 'Depositada' and Col9 = '""&amp;K315&amp;""' and Col6 ="&amp;" ""&amp;M315&amp;"" and Col4 = date '""&amp;YEAR(C315)&amp;""-""&amp;MONTH(C315)&amp;""-""&amp;DAY(C315)&amp;""'""))&gt;0,""Depositada"",if(sum(QUERY(IMPORTRANGE(""https://docs.google.com/spreadsheets/d/1EcLIvUgMoBC5as4ikW0wuQsGH5yVZ6cQ1y16qEfgPnk"",""BD M Sangrias!a:i""),""select Col6 whe"&amp;"re Col7 = 'Caixa Atendimento' and Col9 = '""&amp;K315&amp;""' and Col6 = ""&amp;M315&amp;"" and Col4 = date '""&amp;YEAR(C315)&amp;""-""&amp;MONTH(C315)&amp;""-""&amp;DAY(C315)&amp;""'""))&gt;0,""Caixa Atendimento"",""Caixa Sangria"")),""""),""Caixa Sangria"")"),"")</f>
        <v/>
      </c>
      <c r="M315" s="185" t="str">
        <f>IFERROR(__xludf.DUMMYFUNCTION("ifna(VALUE(REGEXEXTRACT(E315,""[0-9.]+[,]+[0-9]+"")))"),"")</f>
        <v/>
      </c>
      <c r="N315" s="185"/>
      <c r="O315" s="185"/>
      <c r="P315" s="185"/>
      <c r="Q315" s="185"/>
      <c r="R315" s="185"/>
      <c r="S315" s="185"/>
      <c r="T315" s="185"/>
      <c r="U315" s="185"/>
      <c r="V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184" t="str">
        <f>IFERROR(__xludf.DUMMYFUNCTION("ifna(IF(and(D316=""Saída"",J316=""Sangria""),if(sum(QUERY(IMPORTRANGE(""https://docs.google.com/spreadsheets/d/1E4szPcLzsqlw4uyBAoJ61L1ChCgpz4wVP8tHfHW1g_c"",""BD M Sangrias!a:i""),""select Col6 where Col7 = 'Depositada' and Col9 = '""&amp;K316&amp;""' and Col6 ="&amp;" ""&amp;M316&amp;"" and Col4 = date '""&amp;YEAR(C316)&amp;""-""&amp;MONTH(C316)&amp;""-""&amp;DAY(C316)&amp;""'""))&gt;0,""Depositada"",if(sum(QUERY(IMPORTRANGE(""https://docs.google.com/spreadsheets/d/1EcLIvUgMoBC5as4ikW0wuQsGH5yVZ6cQ1y16qEfgPnk"",""BD M Sangrias!a:i""),""select Col6 whe"&amp;"re Col7 = 'Caixa Atendimento' and Col9 = '""&amp;K316&amp;""' and Col6 = ""&amp;M316&amp;"" and Col4 = date '""&amp;YEAR(C316)&amp;""-""&amp;MONTH(C316)&amp;""-""&amp;DAY(C316)&amp;""'""))&gt;0,""Caixa Atendimento"",""Caixa Sangria"")),""""),""Caixa Sangria"")"),"")</f>
        <v/>
      </c>
      <c r="M316" s="185" t="str">
        <f>IFERROR(__xludf.DUMMYFUNCTION("ifna(VALUE(REGEXEXTRACT(E316,""[0-9.]+[,]+[0-9]+"")))"),"")</f>
        <v/>
      </c>
      <c r="N316" s="185"/>
      <c r="O316" s="185"/>
      <c r="P316" s="185"/>
      <c r="Q316" s="185"/>
      <c r="R316" s="185"/>
      <c r="S316" s="185"/>
      <c r="T316" s="185"/>
      <c r="U316" s="185"/>
      <c r="V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184" t="str">
        <f>IFERROR(__xludf.DUMMYFUNCTION("ifna(IF(and(D317=""Saída"",J317=""Sangria""),if(sum(QUERY(IMPORTRANGE(""https://docs.google.com/spreadsheets/d/1E4szPcLzsqlw4uyBAoJ61L1ChCgpz4wVP8tHfHW1g_c"",""BD M Sangrias!a:i""),""select Col6 where Col7 = 'Depositada' and Col9 = '""&amp;K317&amp;""' and Col6 ="&amp;" ""&amp;M317&amp;"" and Col4 = date '""&amp;YEAR(C317)&amp;""-""&amp;MONTH(C317)&amp;""-""&amp;DAY(C317)&amp;""'""))&gt;0,""Depositada"",if(sum(QUERY(IMPORTRANGE(""https://docs.google.com/spreadsheets/d/1EcLIvUgMoBC5as4ikW0wuQsGH5yVZ6cQ1y16qEfgPnk"",""BD M Sangrias!a:i""),""select Col6 whe"&amp;"re Col7 = 'Caixa Atendimento' and Col9 = '""&amp;K317&amp;""' and Col6 = ""&amp;M317&amp;"" and Col4 = date '""&amp;YEAR(C317)&amp;""-""&amp;MONTH(C317)&amp;""-""&amp;DAY(C317)&amp;""'""))&gt;0,""Caixa Atendimento"",""Caixa Sangria"")),""""),""Caixa Sangria"")"),"")</f>
        <v/>
      </c>
      <c r="M317" s="185" t="str">
        <f>IFERROR(__xludf.DUMMYFUNCTION("ifna(VALUE(REGEXEXTRACT(E317,""[0-9.]+[,]+[0-9]+"")))"),"")</f>
        <v/>
      </c>
      <c r="N317" s="185"/>
      <c r="O317" s="185"/>
      <c r="P317" s="185"/>
      <c r="Q317" s="185"/>
      <c r="R317" s="185"/>
      <c r="S317" s="185"/>
      <c r="T317" s="185"/>
      <c r="U317" s="185"/>
      <c r="V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184" t="str">
        <f>IFERROR(__xludf.DUMMYFUNCTION("ifna(IF(and(D318=""Saída"",J318=""Sangria""),if(sum(QUERY(IMPORTRANGE(""https://docs.google.com/spreadsheets/d/1E4szPcLzsqlw4uyBAoJ61L1ChCgpz4wVP8tHfHW1g_c"",""BD M Sangrias!a:i""),""select Col6 where Col7 = 'Depositada' and Col9 = '""&amp;K318&amp;""' and Col6 ="&amp;" ""&amp;M318&amp;"" and Col4 = date '""&amp;YEAR(C318)&amp;""-""&amp;MONTH(C318)&amp;""-""&amp;DAY(C318)&amp;""'""))&gt;0,""Depositada"",if(sum(QUERY(IMPORTRANGE(""https://docs.google.com/spreadsheets/d/1EcLIvUgMoBC5as4ikW0wuQsGH5yVZ6cQ1y16qEfgPnk"",""BD M Sangrias!a:i""),""select Col6 whe"&amp;"re Col7 = 'Caixa Atendimento' and Col9 = '""&amp;K318&amp;""' and Col6 = ""&amp;M318&amp;"" and Col4 = date '""&amp;YEAR(C318)&amp;""-""&amp;MONTH(C318)&amp;""-""&amp;DAY(C318)&amp;""'""))&gt;0,""Caixa Atendimento"",""Caixa Sangria"")),""""),""Caixa Sangria"")"),"")</f>
        <v/>
      </c>
      <c r="M318" s="185" t="str">
        <f>IFERROR(__xludf.DUMMYFUNCTION("ifna(VALUE(REGEXEXTRACT(E318,""[0-9.]+[,]+[0-9]+"")))"),"")</f>
        <v/>
      </c>
      <c r="N318" s="185"/>
      <c r="O318" s="185"/>
      <c r="P318" s="185"/>
      <c r="Q318" s="185"/>
      <c r="R318" s="185"/>
      <c r="S318" s="185"/>
      <c r="T318" s="185"/>
      <c r="U318" s="185"/>
      <c r="V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184" t="str">
        <f>IFERROR(__xludf.DUMMYFUNCTION("ifna(IF(and(D319=""Saída"",J319=""Sangria""),if(sum(QUERY(IMPORTRANGE(""https://docs.google.com/spreadsheets/d/1E4szPcLzsqlw4uyBAoJ61L1ChCgpz4wVP8tHfHW1g_c"",""BD M Sangrias!a:i""),""select Col6 where Col7 = 'Depositada' and Col9 = '""&amp;K319&amp;""' and Col6 ="&amp;" ""&amp;M319&amp;"" and Col4 = date '""&amp;YEAR(C319)&amp;""-""&amp;MONTH(C319)&amp;""-""&amp;DAY(C319)&amp;""'""))&gt;0,""Depositada"",if(sum(QUERY(IMPORTRANGE(""https://docs.google.com/spreadsheets/d/1EcLIvUgMoBC5as4ikW0wuQsGH5yVZ6cQ1y16qEfgPnk"",""BD M Sangrias!a:i""),""select Col6 whe"&amp;"re Col7 = 'Caixa Atendimento' and Col9 = '""&amp;K319&amp;""' and Col6 = ""&amp;M319&amp;"" and Col4 = date '""&amp;YEAR(C319)&amp;""-""&amp;MONTH(C319)&amp;""-""&amp;DAY(C319)&amp;""'""))&gt;0,""Caixa Atendimento"",""Caixa Sangria"")),""""),""Caixa Sangria"")"),"")</f>
        <v/>
      </c>
      <c r="M319" s="185" t="str">
        <f>IFERROR(__xludf.DUMMYFUNCTION("ifna(VALUE(REGEXEXTRACT(E319,""[0-9.]+[,]+[0-9]+"")))"),"")</f>
        <v/>
      </c>
      <c r="N319" s="185"/>
      <c r="O319" s="185"/>
      <c r="P319" s="185"/>
      <c r="Q319" s="185"/>
      <c r="R319" s="185"/>
      <c r="S319" s="185"/>
      <c r="T319" s="185"/>
      <c r="U319" s="185"/>
      <c r="V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184" t="str">
        <f>IFERROR(__xludf.DUMMYFUNCTION("ifna(IF(and(D320=""Saída"",J320=""Sangria""),if(sum(QUERY(IMPORTRANGE(""https://docs.google.com/spreadsheets/d/1E4szPcLzsqlw4uyBAoJ61L1ChCgpz4wVP8tHfHW1g_c"",""BD M Sangrias!a:i""),""select Col6 where Col7 = 'Depositada' and Col9 = '""&amp;K320&amp;""' and Col6 ="&amp;" ""&amp;M320&amp;"" and Col4 = date '""&amp;YEAR(C320)&amp;""-""&amp;MONTH(C320)&amp;""-""&amp;DAY(C320)&amp;""'""))&gt;0,""Depositada"",if(sum(QUERY(IMPORTRANGE(""https://docs.google.com/spreadsheets/d/1EcLIvUgMoBC5as4ikW0wuQsGH5yVZ6cQ1y16qEfgPnk"",""BD M Sangrias!a:i""),""select Col6 whe"&amp;"re Col7 = 'Caixa Atendimento' and Col9 = '""&amp;K320&amp;""' and Col6 = ""&amp;M320&amp;"" and Col4 = date '""&amp;YEAR(C320)&amp;""-""&amp;MONTH(C320)&amp;""-""&amp;DAY(C320)&amp;""'""))&gt;0,""Caixa Atendimento"",""Caixa Sangria"")),""""),""Caixa Sangria"")"),"")</f>
        <v/>
      </c>
      <c r="M320" s="185" t="str">
        <f>IFERROR(__xludf.DUMMYFUNCTION("ifna(VALUE(REGEXEXTRACT(E320,""[0-9.]+[,]+[0-9]+"")))"),"")</f>
        <v/>
      </c>
      <c r="N320" s="185"/>
      <c r="O320" s="185"/>
      <c r="P320" s="185"/>
      <c r="Q320" s="185"/>
      <c r="R320" s="185"/>
      <c r="S320" s="185"/>
      <c r="T320" s="185"/>
      <c r="U320" s="185"/>
      <c r="V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184" t="str">
        <f>IFERROR(__xludf.DUMMYFUNCTION("ifna(IF(and(D321=""Saída"",J321=""Sangria""),if(sum(QUERY(IMPORTRANGE(""https://docs.google.com/spreadsheets/d/1E4szPcLzsqlw4uyBAoJ61L1ChCgpz4wVP8tHfHW1g_c"",""BD M Sangrias!a:i""),""select Col6 where Col7 = 'Depositada' and Col9 = '""&amp;K321&amp;""' and Col6 ="&amp;" ""&amp;M321&amp;"" and Col4 = date '""&amp;YEAR(C321)&amp;""-""&amp;MONTH(C321)&amp;""-""&amp;DAY(C321)&amp;""'""))&gt;0,""Depositada"",if(sum(QUERY(IMPORTRANGE(""https://docs.google.com/spreadsheets/d/1EcLIvUgMoBC5as4ikW0wuQsGH5yVZ6cQ1y16qEfgPnk"",""BD M Sangrias!a:i""),""select Col6 whe"&amp;"re Col7 = 'Caixa Atendimento' and Col9 = '""&amp;K321&amp;""' and Col6 = ""&amp;M321&amp;"" and Col4 = date '""&amp;YEAR(C321)&amp;""-""&amp;MONTH(C321)&amp;""-""&amp;DAY(C321)&amp;""'""))&gt;0,""Caixa Atendimento"",""Caixa Sangria"")),""""),""Caixa Sangria"")"),"")</f>
        <v/>
      </c>
      <c r="M321" s="185" t="str">
        <f>IFERROR(__xludf.DUMMYFUNCTION("ifna(VALUE(REGEXEXTRACT(E321,""[0-9.]+[,]+[0-9]+"")))"),"")</f>
        <v/>
      </c>
      <c r="N321" s="185"/>
      <c r="O321" s="185"/>
      <c r="P321" s="185"/>
      <c r="Q321" s="185"/>
      <c r="R321" s="185"/>
      <c r="S321" s="185"/>
      <c r="T321" s="185"/>
      <c r="U321" s="185"/>
      <c r="V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184" t="str">
        <f>IFERROR(__xludf.DUMMYFUNCTION("ifna(IF(and(D322=""Saída"",J322=""Sangria""),if(sum(QUERY(IMPORTRANGE(""https://docs.google.com/spreadsheets/d/1E4szPcLzsqlw4uyBAoJ61L1ChCgpz4wVP8tHfHW1g_c"",""BD M Sangrias!a:i""),""select Col6 where Col7 = 'Depositada' and Col9 = '""&amp;K322&amp;""' and Col6 ="&amp;" ""&amp;M322&amp;"" and Col4 = date '""&amp;YEAR(C322)&amp;""-""&amp;MONTH(C322)&amp;""-""&amp;DAY(C322)&amp;""'""))&gt;0,""Depositada"",if(sum(QUERY(IMPORTRANGE(""https://docs.google.com/spreadsheets/d/1EcLIvUgMoBC5as4ikW0wuQsGH5yVZ6cQ1y16qEfgPnk"",""BD M Sangrias!a:i""),""select Col6 whe"&amp;"re Col7 = 'Caixa Atendimento' and Col9 = '""&amp;K322&amp;""' and Col6 = ""&amp;M322&amp;"" and Col4 = date '""&amp;YEAR(C322)&amp;""-""&amp;MONTH(C322)&amp;""-""&amp;DAY(C322)&amp;""'""))&gt;0,""Caixa Atendimento"",""Caixa Sangria"")),""""),""Caixa Sangria"")"),"")</f>
        <v/>
      </c>
      <c r="M322" s="185" t="str">
        <f>IFERROR(__xludf.DUMMYFUNCTION("ifna(VALUE(REGEXEXTRACT(E322,""[0-9.]+[,]+[0-9]+"")))"),"")</f>
        <v/>
      </c>
      <c r="N322" s="185"/>
      <c r="O322" s="185"/>
      <c r="P322" s="185"/>
      <c r="Q322" s="185"/>
      <c r="R322" s="185"/>
      <c r="S322" s="185"/>
      <c r="T322" s="185"/>
      <c r="U322" s="185"/>
      <c r="V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184" t="str">
        <f>IFERROR(__xludf.DUMMYFUNCTION("ifna(IF(and(D323=""Saída"",J323=""Sangria""),if(sum(QUERY(IMPORTRANGE(""https://docs.google.com/spreadsheets/d/1E4szPcLzsqlw4uyBAoJ61L1ChCgpz4wVP8tHfHW1g_c"",""BD M Sangrias!a:i""),""select Col6 where Col7 = 'Depositada' and Col9 = '""&amp;K323&amp;""' and Col6 ="&amp;" ""&amp;M323&amp;"" and Col4 = date '""&amp;YEAR(C323)&amp;""-""&amp;MONTH(C323)&amp;""-""&amp;DAY(C323)&amp;""'""))&gt;0,""Depositada"",if(sum(QUERY(IMPORTRANGE(""https://docs.google.com/spreadsheets/d/1EcLIvUgMoBC5as4ikW0wuQsGH5yVZ6cQ1y16qEfgPnk"",""BD M Sangrias!a:i""),""select Col6 whe"&amp;"re Col7 = 'Caixa Atendimento' and Col9 = '""&amp;K323&amp;""' and Col6 = ""&amp;M323&amp;"" and Col4 = date '""&amp;YEAR(C323)&amp;""-""&amp;MONTH(C323)&amp;""-""&amp;DAY(C323)&amp;""'""))&gt;0,""Caixa Atendimento"",""Caixa Sangria"")),""""),""Caixa Sangria"")"),"")</f>
        <v/>
      </c>
      <c r="M323" s="185" t="str">
        <f>IFERROR(__xludf.DUMMYFUNCTION("ifna(VALUE(REGEXEXTRACT(E323,""[0-9.]+[,]+[0-9]+"")))"),"")</f>
        <v/>
      </c>
      <c r="N323" s="185"/>
      <c r="O323" s="185"/>
      <c r="P323" s="185"/>
      <c r="Q323" s="185"/>
      <c r="R323" s="185"/>
      <c r="S323" s="185"/>
      <c r="T323" s="185"/>
      <c r="U323" s="185"/>
      <c r="V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184" t="str">
        <f>IFERROR(__xludf.DUMMYFUNCTION("ifna(IF(and(D324=""Saída"",J324=""Sangria""),if(sum(QUERY(IMPORTRANGE(""https://docs.google.com/spreadsheets/d/1E4szPcLzsqlw4uyBAoJ61L1ChCgpz4wVP8tHfHW1g_c"",""BD M Sangrias!a:i""),""select Col6 where Col7 = 'Depositada' and Col9 = '""&amp;K324&amp;""' and Col6 ="&amp;" ""&amp;M324&amp;"" and Col4 = date '""&amp;YEAR(C324)&amp;""-""&amp;MONTH(C324)&amp;""-""&amp;DAY(C324)&amp;""'""))&gt;0,""Depositada"",if(sum(QUERY(IMPORTRANGE(""https://docs.google.com/spreadsheets/d/1EcLIvUgMoBC5as4ikW0wuQsGH5yVZ6cQ1y16qEfgPnk"",""BD M Sangrias!a:i""),""select Col6 whe"&amp;"re Col7 = 'Caixa Atendimento' and Col9 = '""&amp;K324&amp;""' and Col6 = ""&amp;M324&amp;"" and Col4 = date '""&amp;YEAR(C324)&amp;""-""&amp;MONTH(C324)&amp;""-""&amp;DAY(C324)&amp;""'""))&gt;0,""Caixa Atendimento"",""Caixa Sangria"")),""""),""Caixa Sangria"")"),"")</f>
        <v/>
      </c>
      <c r="M324" s="185" t="str">
        <f>IFERROR(__xludf.DUMMYFUNCTION("ifna(VALUE(REGEXEXTRACT(E324,""[0-9.]+[,]+[0-9]+"")))"),"")</f>
        <v/>
      </c>
      <c r="N324" s="185"/>
      <c r="O324" s="185"/>
      <c r="P324" s="185"/>
      <c r="Q324" s="185"/>
      <c r="R324" s="185"/>
      <c r="S324" s="185"/>
      <c r="T324" s="185"/>
      <c r="U324" s="185"/>
      <c r="V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184" t="str">
        <f>IFERROR(__xludf.DUMMYFUNCTION("ifna(IF(and(D325=""Saída"",J325=""Sangria""),if(sum(QUERY(IMPORTRANGE(""https://docs.google.com/spreadsheets/d/1E4szPcLzsqlw4uyBAoJ61L1ChCgpz4wVP8tHfHW1g_c"",""BD M Sangrias!a:i""),""select Col6 where Col7 = 'Depositada' and Col9 = '""&amp;K325&amp;""' and Col6 ="&amp;" ""&amp;M325&amp;"" and Col4 = date '""&amp;YEAR(C325)&amp;""-""&amp;MONTH(C325)&amp;""-""&amp;DAY(C325)&amp;""'""))&gt;0,""Depositada"",if(sum(QUERY(IMPORTRANGE(""https://docs.google.com/spreadsheets/d/1EcLIvUgMoBC5as4ikW0wuQsGH5yVZ6cQ1y16qEfgPnk"",""BD M Sangrias!a:i""),""select Col6 whe"&amp;"re Col7 = 'Caixa Atendimento' and Col9 = '""&amp;K325&amp;""' and Col6 = ""&amp;M325&amp;"" and Col4 = date '""&amp;YEAR(C325)&amp;""-""&amp;MONTH(C325)&amp;""-""&amp;DAY(C325)&amp;""'""))&gt;0,""Caixa Atendimento"",""Caixa Sangria"")),""""),""Caixa Sangria"")"),"")</f>
        <v/>
      </c>
      <c r="M325" s="185" t="str">
        <f>IFERROR(__xludf.DUMMYFUNCTION("ifna(VALUE(REGEXEXTRACT(E325,""[0-9.]+[,]+[0-9]+"")))"),"")</f>
        <v/>
      </c>
      <c r="N325" s="185"/>
      <c r="O325" s="185"/>
      <c r="P325" s="185"/>
      <c r="Q325" s="185"/>
      <c r="R325" s="185"/>
      <c r="S325" s="185"/>
      <c r="T325" s="185"/>
      <c r="U325" s="185"/>
      <c r="V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184" t="str">
        <f>IFERROR(__xludf.DUMMYFUNCTION("ifna(IF(and(D326=""Saída"",J326=""Sangria""),if(sum(QUERY(IMPORTRANGE(""https://docs.google.com/spreadsheets/d/1E4szPcLzsqlw4uyBAoJ61L1ChCgpz4wVP8tHfHW1g_c"",""BD M Sangrias!a:i""),""select Col6 where Col7 = 'Depositada' and Col9 = '""&amp;K326&amp;""' and Col6 ="&amp;" ""&amp;M326&amp;"" and Col4 = date '""&amp;YEAR(C326)&amp;""-""&amp;MONTH(C326)&amp;""-""&amp;DAY(C326)&amp;""'""))&gt;0,""Depositada"",if(sum(QUERY(IMPORTRANGE(""https://docs.google.com/spreadsheets/d/1EcLIvUgMoBC5as4ikW0wuQsGH5yVZ6cQ1y16qEfgPnk"",""BD M Sangrias!a:i""),""select Col6 whe"&amp;"re Col7 = 'Caixa Atendimento' and Col9 = '""&amp;K326&amp;""' and Col6 = ""&amp;M326&amp;"" and Col4 = date '""&amp;YEAR(C326)&amp;""-""&amp;MONTH(C326)&amp;""-""&amp;DAY(C326)&amp;""'""))&gt;0,""Caixa Atendimento"",""Caixa Sangria"")),""""),""Caixa Sangria"")"),"")</f>
        <v/>
      </c>
      <c r="M326" s="185" t="str">
        <f>IFERROR(__xludf.DUMMYFUNCTION("ifna(VALUE(REGEXEXTRACT(E326,""[0-9.]+[,]+[0-9]+"")))"),"")</f>
        <v/>
      </c>
      <c r="N326" s="185"/>
      <c r="O326" s="185"/>
      <c r="P326" s="185"/>
      <c r="Q326" s="185"/>
      <c r="R326" s="185"/>
      <c r="S326" s="185"/>
      <c r="T326" s="185"/>
      <c r="U326" s="185"/>
      <c r="V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184" t="str">
        <f>IFERROR(__xludf.DUMMYFUNCTION("ifna(IF(and(D327=""Saída"",J327=""Sangria""),if(sum(QUERY(IMPORTRANGE(""https://docs.google.com/spreadsheets/d/1E4szPcLzsqlw4uyBAoJ61L1ChCgpz4wVP8tHfHW1g_c"",""BD M Sangrias!a:i""),""select Col6 where Col7 = 'Depositada' and Col9 = '""&amp;K327&amp;""' and Col6 ="&amp;" ""&amp;M327&amp;"" and Col4 = date '""&amp;YEAR(C327)&amp;""-""&amp;MONTH(C327)&amp;""-""&amp;DAY(C327)&amp;""'""))&gt;0,""Depositada"",if(sum(QUERY(IMPORTRANGE(""https://docs.google.com/spreadsheets/d/1EcLIvUgMoBC5as4ikW0wuQsGH5yVZ6cQ1y16qEfgPnk"",""BD M Sangrias!a:i""),""select Col6 whe"&amp;"re Col7 = 'Caixa Atendimento' and Col9 = '""&amp;K327&amp;""' and Col6 = ""&amp;M327&amp;"" and Col4 = date '""&amp;YEAR(C327)&amp;""-""&amp;MONTH(C327)&amp;""-""&amp;DAY(C327)&amp;""'""))&gt;0,""Caixa Atendimento"",""Caixa Sangria"")),""""),""Caixa Sangria"")"),"")</f>
        <v/>
      </c>
      <c r="M327" s="185" t="str">
        <f>IFERROR(__xludf.DUMMYFUNCTION("ifna(VALUE(REGEXEXTRACT(E327,""[0-9.]+[,]+[0-9]+"")))"),"")</f>
        <v/>
      </c>
      <c r="N327" s="185"/>
      <c r="O327" s="185"/>
      <c r="P327" s="185"/>
      <c r="Q327" s="185"/>
      <c r="R327" s="185"/>
      <c r="S327" s="185"/>
      <c r="T327" s="185"/>
      <c r="U327" s="185"/>
      <c r="V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184" t="str">
        <f>IFERROR(__xludf.DUMMYFUNCTION("ifna(IF(and(D328=""Saída"",J328=""Sangria""),if(sum(QUERY(IMPORTRANGE(""https://docs.google.com/spreadsheets/d/1E4szPcLzsqlw4uyBAoJ61L1ChCgpz4wVP8tHfHW1g_c"",""BD M Sangrias!a:i""),""select Col6 where Col7 = 'Depositada' and Col9 = '""&amp;K328&amp;""' and Col6 ="&amp;" ""&amp;M328&amp;"" and Col4 = date '""&amp;YEAR(C328)&amp;""-""&amp;MONTH(C328)&amp;""-""&amp;DAY(C328)&amp;""'""))&gt;0,""Depositada"",if(sum(QUERY(IMPORTRANGE(""https://docs.google.com/spreadsheets/d/1EcLIvUgMoBC5as4ikW0wuQsGH5yVZ6cQ1y16qEfgPnk"",""BD M Sangrias!a:i""),""select Col6 whe"&amp;"re Col7 = 'Caixa Atendimento' and Col9 = '""&amp;K328&amp;""' and Col6 = ""&amp;M328&amp;"" and Col4 = date '""&amp;YEAR(C328)&amp;""-""&amp;MONTH(C328)&amp;""-""&amp;DAY(C328)&amp;""'""))&gt;0,""Caixa Atendimento"",""Caixa Sangria"")),""""),""Caixa Sangria"")"),"")</f>
        <v/>
      </c>
      <c r="M328" s="185" t="str">
        <f>IFERROR(__xludf.DUMMYFUNCTION("ifna(VALUE(REGEXEXTRACT(E328,""[0-9.]+[,]+[0-9]+"")))"),"")</f>
        <v/>
      </c>
      <c r="N328" s="185"/>
      <c r="O328" s="185"/>
      <c r="P328" s="185"/>
      <c r="Q328" s="185"/>
      <c r="R328" s="185"/>
      <c r="S328" s="185"/>
      <c r="T328" s="185"/>
      <c r="U328" s="185"/>
      <c r="V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184" t="str">
        <f>IFERROR(__xludf.DUMMYFUNCTION("ifna(IF(and(D329=""Saída"",J329=""Sangria""),if(sum(QUERY(IMPORTRANGE(""https://docs.google.com/spreadsheets/d/1E4szPcLzsqlw4uyBAoJ61L1ChCgpz4wVP8tHfHW1g_c"",""BD M Sangrias!a:i""),""select Col6 where Col7 = 'Depositada' and Col9 = '""&amp;K329&amp;""' and Col6 ="&amp;" ""&amp;M329&amp;"" and Col4 = date '""&amp;YEAR(C329)&amp;""-""&amp;MONTH(C329)&amp;""-""&amp;DAY(C329)&amp;""'""))&gt;0,""Depositada"",if(sum(QUERY(IMPORTRANGE(""https://docs.google.com/spreadsheets/d/1EcLIvUgMoBC5as4ikW0wuQsGH5yVZ6cQ1y16qEfgPnk"",""BD M Sangrias!a:i""),""select Col6 whe"&amp;"re Col7 = 'Caixa Atendimento' and Col9 = '""&amp;K329&amp;""' and Col6 = ""&amp;M329&amp;"" and Col4 = date '""&amp;YEAR(C329)&amp;""-""&amp;MONTH(C329)&amp;""-""&amp;DAY(C329)&amp;""'""))&gt;0,""Caixa Atendimento"",""Caixa Sangria"")),""""),""Caixa Sangria"")"),"")</f>
        <v/>
      </c>
      <c r="M329" s="185" t="str">
        <f>IFERROR(__xludf.DUMMYFUNCTION("ifna(VALUE(REGEXEXTRACT(E329,""[0-9.]+[,]+[0-9]+"")))"),"")</f>
        <v/>
      </c>
      <c r="N329" s="185"/>
      <c r="O329" s="185"/>
      <c r="P329" s="185"/>
      <c r="Q329" s="185"/>
      <c r="R329" s="185"/>
      <c r="S329" s="185"/>
      <c r="T329" s="185"/>
      <c r="U329" s="185"/>
      <c r="V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184" t="str">
        <f>IFERROR(__xludf.DUMMYFUNCTION("ifna(IF(and(D330=""Saída"",J330=""Sangria""),if(sum(QUERY(IMPORTRANGE(""https://docs.google.com/spreadsheets/d/1E4szPcLzsqlw4uyBAoJ61L1ChCgpz4wVP8tHfHW1g_c"",""BD M Sangrias!a:i""),""select Col6 where Col7 = 'Depositada' and Col9 = '""&amp;K330&amp;""' and Col6 ="&amp;" ""&amp;M330&amp;"" and Col4 = date '""&amp;YEAR(C330)&amp;""-""&amp;MONTH(C330)&amp;""-""&amp;DAY(C330)&amp;""'""))&gt;0,""Depositada"",if(sum(QUERY(IMPORTRANGE(""https://docs.google.com/spreadsheets/d/1EcLIvUgMoBC5as4ikW0wuQsGH5yVZ6cQ1y16qEfgPnk"",""BD M Sangrias!a:i""),""select Col6 whe"&amp;"re Col7 = 'Caixa Atendimento' and Col9 = '""&amp;K330&amp;""' and Col6 = ""&amp;M330&amp;"" and Col4 = date '""&amp;YEAR(C330)&amp;""-""&amp;MONTH(C330)&amp;""-""&amp;DAY(C330)&amp;""'""))&gt;0,""Caixa Atendimento"",""Caixa Sangria"")),""""),""Caixa Sangria"")"),"")</f>
        <v/>
      </c>
      <c r="M330" s="185" t="str">
        <f>IFERROR(__xludf.DUMMYFUNCTION("ifna(VALUE(REGEXEXTRACT(E330,""[0-9.]+[,]+[0-9]+"")))"),"")</f>
        <v/>
      </c>
      <c r="N330" s="185"/>
      <c r="O330" s="185"/>
      <c r="P330" s="185"/>
      <c r="Q330" s="185"/>
      <c r="R330" s="185"/>
      <c r="S330" s="185"/>
      <c r="T330" s="185"/>
      <c r="U330" s="185"/>
      <c r="V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184" t="str">
        <f>IFERROR(__xludf.DUMMYFUNCTION("ifna(IF(and(D331=""Saída"",J331=""Sangria""),if(sum(QUERY(IMPORTRANGE(""https://docs.google.com/spreadsheets/d/1E4szPcLzsqlw4uyBAoJ61L1ChCgpz4wVP8tHfHW1g_c"",""BD M Sangrias!a:i""),""select Col6 where Col7 = 'Depositada' and Col9 = '""&amp;K331&amp;""' and Col6 ="&amp;" ""&amp;M331&amp;"" and Col4 = date '""&amp;YEAR(C331)&amp;""-""&amp;MONTH(C331)&amp;""-""&amp;DAY(C331)&amp;""'""))&gt;0,""Depositada"",if(sum(QUERY(IMPORTRANGE(""https://docs.google.com/spreadsheets/d/1EcLIvUgMoBC5as4ikW0wuQsGH5yVZ6cQ1y16qEfgPnk"",""BD M Sangrias!a:i""),""select Col6 whe"&amp;"re Col7 = 'Caixa Atendimento' and Col9 = '""&amp;K331&amp;""' and Col6 = ""&amp;M331&amp;"" and Col4 = date '""&amp;YEAR(C331)&amp;""-""&amp;MONTH(C331)&amp;""-""&amp;DAY(C331)&amp;""'""))&gt;0,""Caixa Atendimento"",""Caixa Sangria"")),""""),""Caixa Sangria"")"),"")</f>
        <v/>
      </c>
      <c r="M331" s="185" t="str">
        <f>IFERROR(__xludf.DUMMYFUNCTION("ifna(VALUE(REGEXEXTRACT(E331,""[0-9.]+[,]+[0-9]+"")))"),"")</f>
        <v/>
      </c>
      <c r="N331" s="185"/>
      <c r="O331" s="185"/>
      <c r="P331" s="185"/>
      <c r="Q331" s="185"/>
      <c r="R331" s="185"/>
      <c r="S331" s="185"/>
      <c r="T331" s="185"/>
      <c r="U331" s="185"/>
      <c r="V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184" t="str">
        <f>IFERROR(__xludf.DUMMYFUNCTION("ifna(IF(and(D332=""Saída"",J332=""Sangria""),if(sum(QUERY(IMPORTRANGE(""https://docs.google.com/spreadsheets/d/1E4szPcLzsqlw4uyBAoJ61L1ChCgpz4wVP8tHfHW1g_c"",""BD M Sangrias!a:i""),""select Col6 where Col7 = 'Depositada' and Col9 = '""&amp;K332&amp;""' and Col6 ="&amp;" ""&amp;M332&amp;"" and Col4 = date '""&amp;YEAR(C332)&amp;""-""&amp;MONTH(C332)&amp;""-""&amp;DAY(C332)&amp;""'""))&gt;0,""Depositada"",if(sum(QUERY(IMPORTRANGE(""https://docs.google.com/spreadsheets/d/1EcLIvUgMoBC5as4ikW0wuQsGH5yVZ6cQ1y16qEfgPnk"",""BD M Sangrias!a:i""),""select Col6 whe"&amp;"re Col7 = 'Caixa Atendimento' and Col9 = '""&amp;K332&amp;""' and Col6 = ""&amp;M332&amp;"" and Col4 = date '""&amp;YEAR(C332)&amp;""-""&amp;MONTH(C332)&amp;""-""&amp;DAY(C332)&amp;""'""))&gt;0,""Caixa Atendimento"",""Caixa Sangria"")),""""),""Caixa Sangria"")"),"")</f>
        <v/>
      </c>
      <c r="M332" s="185" t="str">
        <f>IFERROR(__xludf.DUMMYFUNCTION("ifna(VALUE(REGEXEXTRACT(E332,""[0-9.]+[,]+[0-9]+"")))"),"")</f>
        <v/>
      </c>
      <c r="N332" s="185"/>
      <c r="O332" s="185"/>
      <c r="P332" s="185"/>
      <c r="Q332" s="185"/>
      <c r="R332" s="185"/>
      <c r="S332" s="185"/>
      <c r="T332" s="185"/>
      <c r="U332" s="185"/>
      <c r="V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184" t="str">
        <f>IFERROR(__xludf.DUMMYFUNCTION("ifna(IF(and(D333=""Saída"",J333=""Sangria""),if(sum(QUERY(IMPORTRANGE(""https://docs.google.com/spreadsheets/d/1E4szPcLzsqlw4uyBAoJ61L1ChCgpz4wVP8tHfHW1g_c"",""BD M Sangrias!a:i""),""select Col6 where Col7 = 'Depositada' and Col9 = '""&amp;K333&amp;""' and Col6 ="&amp;" ""&amp;M333&amp;"" and Col4 = date '""&amp;YEAR(C333)&amp;""-""&amp;MONTH(C333)&amp;""-""&amp;DAY(C333)&amp;""'""))&gt;0,""Depositada"",if(sum(QUERY(IMPORTRANGE(""https://docs.google.com/spreadsheets/d/1EcLIvUgMoBC5as4ikW0wuQsGH5yVZ6cQ1y16qEfgPnk"",""BD M Sangrias!a:i""),""select Col6 whe"&amp;"re Col7 = 'Caixa Atendimento' and Col9 = '""&amp;K333&amp;""' and Col6 = ""&amp;M333&amp;"" and Col4 = date '""&amp;YEAR(C333)&amp;""-""&amp;MONTH(C333)&amp;""-""&amp;DAY(C333)&amp;""'""))&gt;0,""Caixa Atendimento"",""Caixa Sangria"")),""""),""Caixa Sangria"")"),"")</f>
        <v/>
      </c>
      <c r="M333" s="185" t="str">
        <f>IFERROR(__xludf.DUMMYFUNCTION("ifna(VALUE(REGEXEXTRACT(E333,""[0-9.]+[,]+[0-9]+"")))"),"")</f>
        <v/>
      </c>
      <c r="N333" s="185"/>
      <c r="O333" s="185"/>
      <c r="P333" s="185"/>
      <c r="Q333" s="185"/>
      <c r="R333" s="185"/>
      <c r="S333" s="185"/>
      <c r="T333" s="185"/>
      <c r="U333" s="185"/>
      <c r="V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184" t="str">
        <f>IFERROR(__xludf.DUMMYFUNCTION("ifna(IF(and(D334=""Saída"",J334=""Sangria""),if(sum(QUERY(IMPORTRANGE(""https://docs.google.com/spreadsheets/d/1E4szPcLzsqlw4uyBAoJ61L1ChCgpz4wVP8tHfHW1g_c"",""BD M Sangrias!a:i""),""select Col6 where Col7 = 'Depositada' and Col9 = '""&amp;K334&amp;""' and Col6 ="&amp;" ""&amp;M334&amp;"" and Col4 = date '""&amp;YEAR(C334)&amp;""-""&amp;MONTH(C334)&amp;""-""&amp;DAY(C334)&amp;""'""))&gt;0,""Depositada"",if(sum(QUERY(IMPORTRANGE(""https://docs.google.com/spreadsheets/d/1EcLIvUgMoBC5as4ikW0wuQsGH5yVZ6cQ1y16qEfgPnk"",""BD M Sangrias!a:i""),""select Col6 whe"&amp;"re Col7 = 'Caixa Atendimento' and Col9 = '""&amp;K334&amp;""' and Col6 = ""&amp;M334&amp;"" and Col4 = date '""&amp;YEAR(C334)&amp;""-""&amp;MONTH(C334)&amp;""-""&amp;DAY(C334)&amp;""'""))&gt;0,""Caixa Atendimento"",""Caixa Sangria"")),""""),""Caixa Sangria"")"),"")</f>
        <v/>
      </c>
      <c r="M334" s="185" t="str">
        <f>IFERROR(__xludf.DUMMYFUNCTION("ifna(VALUE(REGEXEXTRACT(E334,""[0-9.]+[,]+[0-9]+"")))"),"")</f>
        <v/>
      </c>
      <c r="N334" s="185"/>
      <c r="O334" s="185"/>
      <c r="P334" s="185"/>
      <c r="Q334" s="185"/>
      <c r="R334" s="185"/>
      <c r="S334" s="185"/>
      <c r="T334" s="185"/>
      <c r="U334" s="185"/>
      <c r="V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184" t="str">
        <f>IFERROR(__xludf.DUMMYFUNCTION("ifna(IF(and(D335=""Saída"",J335=""Sangria""),if(sum(QUERY(IMPORTRANGE(""https://docs.google.com/spreadsheets/d/1E4szPcLzsqlw4uyBAoJ61L1ChCgpz4wVP8tHfHW1g_c"",""BD M Sangrias!a:i""),""select Col6 where Col7 = 'Depositada' and Col9 = '""&amp;K335&amp;""' and Col6 ="&amp;" ""&amp;M335&amp;"" and Col4 = date '""&amp;YEAR(C335)&amp;""-""&amp;MONTH(C335)&amp;""-""&amp;DAY(C335)&amp;""'""))&gt;0,""Depositada"",if(sum(QUERY(IMPORTRANGE(""https://docs.google.com/spreadsheets/d/1EcLIvUgMoBC5as4ikW0wuQsGH5yVZ6cQ1y16qEfgPnk"",""BD M Sangrias!a:i""),""select Col6 whe"&amp;"re Col7 = 'Caixa Atendimento' and Col9 = '""&amp;K335&amp;""' and Col6 = ""&amp;M335&amp;"" and Col4 = date '""&amp;YEAR(C335)&amp;""-""&amp;MONTH(C335)&amp;""-""&amp;DAY(C335)&amp;""'""))&gt;0,""Caixa Atendimento"",""Caixa Sangria"")),""""),""Caixa Sangria"")"),"")</f>
        <v/>
      </c>
      <c r="M335" s="185" t="str">
        <f>IFERROR(__xludf.DUMMYFUNCTION("ifna(VALUE(REGEXEXTRACT(E335,""[0-9.]+[,]+[0-9]+"")))"),"")</f>
        <v/>
      </c>
      <c r="N335" s="185"/>
      <c r="O335" s="185"/>
      <c r="P335" s="185"/>
      <c r="Q335" s="185"/>
      <c r="R335" s="185"/>
      <c r="S335" s="185"/>
      <c r="T335" s="185"/>
      <c r="U335" s="185"/>
      <c r="V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184" t="str">
        <f>IFERROR(__xludf.DUMMYFUNCTION("ifna(IF(and(D336=""Saída"",J336=""Sangria""),if(sum(QUERY(IMPORTRANGE(""https://docs.google.com/spreadsheets/d/1E4szPcLzsqlw4uyBAoJ61L1ChCgpz4wVP8tHfHW1g_c"",""BD M Sangrias!a:i""),""select Col6 where Col7 = 'Depositada' and Col9 = '""&amp;K336&amp;""' and Col6 ="&amp;" ""&amp;M336&amp;"" and Col4 = date '""&amp;YEAR(C336)&amp;""-""&amp;MONTH(C336)&amp;""-""&amp;DAY(C336)&amp;""'""))&gt;0,""Depositada"",if(sum(QUERY(IMPORTRANGE(""https://docs.google.com/spreadsheets/d/1EcLIvUgMoBC5as4ikW0wuQsGH5yVZ6cQ1y16qEfgPnk"",""BD M Sangrias!a:i""),""select Col6 whe"&amp;"re Col7 = 'Caixa Atendimento' and Col9 = '""&amp;K336&amp;""' and Col6 = ""&amp;M336&amp;"" and Col4 = date '""&amp;YEAR(C336)&amp;""-""&amp;MONTH(C336)&amp;""-""&amp;DAY(C336)&amp;""'""))&gt;0,""Caixa Atendimento"",""Caixa Sangria"")),""""),""Caixa Sangria"")"),"")</f>
        <v/>
      </c>
      <c r="M336" s="185" t="str">
        <f>IFERROR(__xludf.DUMMYFUNCTION("ifna(VALUE(REGEXEXTRACT(E336,""[0-9.]+[,]+[0-9]+"")))"),"")</f>
        <v/>
      </c>
      <c r="N336" s="185"/>
      <c r="O336" s="185"/>
      <c r="P336" s="185"/>
      <c r="Q336" s="185"/>
      <c r="R336" s="185"/>
      <c r="S336" s="185"/>
      <c r="T336" s="185"/>
      <c r="U336" s="185"/>
      <c r="V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184" t="str">
        <f>IFERROR(__xludf.DUMMYFUNCTION("ifna(IF(and(D337=""Saída"",J337=""Sangria""),if(sum(QUERY(IMPORTRANGE(""https://docs.google.com/spreadsheets/d/1E4szPcLzsqlw4uyBAoJ61L1ChCgpz4wVP8tHfHW1g_c"",""BD M Sangrias!a:i""),""select Col6 where Col7 = 'Depositada' and Col9 = '""&amp;K337&amp;""' and Col6 ="&amp;" ""&amp;M337&amp;"" and Col4 = date '""&amp;YEAR(C337)&amp;""-""&amp;MONTH(C337)&amp;""-""&amp;DAY(C337)&amp;""'""))&gt;0,""Depositada"",if(sum(QUERY(IMPORTRANGE(""https://docs.google.com/spreadsheets/d/1EcLIvUgMoBC5as4ikW0wuQsGH5yVZ6cQ1y16qEfgPnk"",""BD M Sangrias!a:i""),""select Col6 whe"&amp;"re Col7 = 'Caixa Atendimento' and Col9 = '""&amp;K337&amp;""' and Col6 = ""&amp;M337&amp;"" and Col4 = date '""&amp;YEAR(C337)&amp;""-""&amp;MONTH(C337)&amp;""-""&amp;DAY(C337)&amp;""'""))&gt;0,""Caixa Atendimento"",""Caixa Sangria"")),""""),""Caixa Sangria"")"),"")</f>
        <v/>
      </c>
      <c r="M337" s="185" t="str">
        <f>IFERROR(__xludf.DUMMYFUNCTION("ifna(VALUE(REGEXEXTRACT(E337,""[0-9.]+[,]+[0-9]+"")))"),"")</f>
        <v/>
      </c>
      <c r="N337" s="185"/>
      <c r="O337" s="185"/>
      <c r="P337" s="185"/>
      <c r="Q337" s="185"/>
      <c r="R337" s="185"/>
      <c r="S337" s="185"/>
      <c r="T337" s="185"/>
      <c r="U337" s="185"/>
      <c r="V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184" t="str">
        <f>IFERROR(__xludf.DUMMYFUNCTION("ifna(IF(and(D338=""Saída"",J338=""Sangria""),if(sum(QUERY(IMPORTRANGE(""https://docs.google.com/spreadsheets/d/1E4szPcLzsqlw4uyBAoJ61L1ChCgpz4wVP8tHfHW1g_c"",""BD M Sangrias!a:i""),""select Col6 where Col7 = 'Depositada' and Col9 = '""&amp;K338&amp;""' and Col6 ="&amp;" ""&amp;M338&amp;"" and Col4 = date '""&amp;YEAR(C338)&amp;""-""&amp;MONTH(C338)&amp;""-""&amp;DAY(C338)&amp;""'""))&gt;0,""Depositada"",if(sum(QUERY(IMPORTRANGE(""https://docs.google.com/spreadsheets/d/1EcLIvUgMoBC5as4ikW0wuQsGH5yVZ6cQ1y16qEfgPnk"",""BD M Sangrias!a:i""),""select Col6 whe"&amp;"re Col7 = 'Caixa Atendimento' and Col9 = '""&amp;K338&amp;""' and Col6 = ""&amp;M338&amp;"" and Col4 = date '""&amp;YEAR(C338)&amp;""-""&amp;MONTH(C338)&amp;""-""&amp;DAY(C338)&amp;""'""))&gt;0,""Caixa Atendimento"",""Caixa Sangria"")),""""),""Caixa Sangria"")"),"")</f>
        <v/>
      </c>
      <c r="M338" s="185" t="str">
        <f>IFERROR(__xludf.DUMMYFUNCTION("ifna(VALUE(REGEXEXTRACT(E338,""[0-9.]+[,]+[0-9]+"")))"),"")</f>
        <v/>
      </c>
      <c r="N338" s="185"/>
      <c r="O338" s="185"/>
      <c r="P338" s="185"/>
      <c r="Q338" s="185"/>
      <c r="R338" s="185"/>
      <c r="S338" s="185"/>
      <c r="T338" s="185"/>
      <c r="U338" s="185"/>
      <c r="V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184" t="str">
        <f>IFERROR(__xludf.DUMMYFUNCTION("ifna(IF(and(D339=""Saída"",J339=""Sangria""),if(sum(QUERY(IMPORTRANGE(""https://docs.google.com/spreadsheets/d/1E4szPcLzsqlw4uyBAoJ61L1ChCgpz4wVP8tHfHW1g_c"",""BD M Sangrias!a:i""),""select Col6 where Col7 = 'Depositada' and Col9 = '""&amp;K339&amp;""' and Col6 ="&amp;" ""&amp;M339&amp;"" and Col4 = date '""&amp;YEAR(C339)&amp;""-""&amp;MONTH(C339)&amp;""-""&amp;DAY(C339)&amp;""'""))&gt;0,""Depositada"",if(sum(QUERY(IMPORTRANGE(""https://docs.google.com/spreadsheets/d/1EcLIvUgMoBC5as4ikW0wuQsGH5yVZ6cQ1y16qEfgPnk"",""BD M Sangrias!a:i""),""select Col6 whe"&amp;"re Col7 = 'Caixa Atendimento' and Col9 = '""&amp;K339&amp;""' and Col6 = ""&amp;M339&amp;"" and Col4 = date '""&amp;YEAR(C339)&amp;""-""&amp;MONTH(C339)&amp;""-""&amp;DAY(C339)&amp;""'""))&gt;0,""Caixa Atendimento"",""Caixa Sangria"")),""""),""Caixa Sangria"")"),"")</f>
        <v/>
      </c>
      <c r="M339" s="185" t="str">
        <f>IFERROR(__xludf.DUMMYFUNCTION("ifna(VALUE(REGEXEXTRACT(E339,""[0-9.]+[,]+[0-9]+"")))"),"")</f>
        <v/>
      </c>
      <c r="N339" s="185"/>
      <c r="O339" s="185"/>
      <c r="P339" s="185"/>
      <c r="Q339" s="185"/>
      <c r="R339" s="185"/>
      <c r="S339" s="185"/>
      <c r="T339" s="185"/>
      <c r="U339" s="185"/>
      <c r="V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184" t="str">
        <f>IFERROR(__xludf.DUMMYFUNCTION("ifna(IF(and(D340=""Saída"",J340=""Sangria""),if(sum(QUERY(IMPORTRANGE(""https://docs.google.com/spreadsheets/d/1E4szPcLzsqlw4uyBAoJ61L1ChCgpz4wVP8tHfHW1g_c"",""BD M Sangrias!a:i""),""select Col6 where Col7 = 'Depositada' and Col9 = '""&amp;K340&amp;""' and Col6 ="&amp;" ""&amp;M340&amp;"" and Col4 = date '""&amp;YEAR(C340)&amp;""-""&amp;MONTH(C340)&amp;""-""&amp;DAY(C340)&amp;""'""))&gt;0,""Depositada"",if(sum(QUERY(IMPORTRANGE(""https://docs.google.com/spreadsheets/d/1EcLIvUgMoBC5as4ikW0wuQsGH5yVZ6cQ1y16qEfgPnk"",""BD M Sangrias!a:i""),""select Col6 whe"&amp;"re Col7 = 'Caixa Atendimento' and Col9 = '""&amp;K340&amp;""' and Col6 = ""&amp;M340&amp;"" and Col4 = date '""&amp;YEAR(C340)&amp;""-""&amp;MONTH(C340)&amp;""-""&amp;DAY(C340)&amp;""'""))&gt;0,""Caixa Atendimento"",""Caixa Sangria"")),""""),""Caixa Sangria"")"),"")</f>
        <v/>
      </c>
      <c r="M340" s="185" t="str">
        <f>IFERROR(__xludf.DUMMYFUNCTION("ifna(VALUE(REGEXEXTRACT(E340,""[0-9.]+[,]+[0-9]+"")))"),"")</f>
        <v/>
      </c>
      <c r="N340" s="185"/>
      <c r="O340" s="185"/>
      <c r="P340" s="185"/>
      <c r="Q340" s="185"/>
      <c r="R340" s="185"/>
      <c r="S340" s="185"/>
      <c r="T340" s="185"/>
      <c r="U340" s="185"/>
      <c r="V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184" t="str">
        <f>IFERROR(__xludf.DUMMYFUNCTION("ifna(IF(and(D341=""Saída"",J341=""Sangria""),if(sum(QUERY(IMPORTRANGE(""https://docs.google.com/spreadsheets/d/1E4szPcLzsqlw4uyBAoJ61L1ChCgpz4wVP8tHfHW1g_c"",""BD M Sangrias!a:i""),""select Col6 where Col7 = 'Depositada' and Col9 = '""&amp;K341&amp;""' and Col6 ="&amp;" ""&amp;M341&amp;"" and Col4 = date '""&amp;YEAR(C341)&amp;""-""&amp;MONTH(C341)&amp;""-""&amp;DAY(C341)&amp;""'""))&gt;0,""Depositada"",if(sum(QUERY(IMPORTRANGE(""https://docs.google.com/spreadsheets/d/1EcLIvUgMoBC5as4ikW0wuQsGH5yVZ6cQ1y16qEfgPnk"",""BD M Sangrias!a:i""),""select Col6 whe"&amp;"re Col7 = 'Caixa Atendimento' and Col9 = '""&amp;K341&amp;""' and Col6 = ""&amp;M341&amp;"" and Col4 = date '""&amp;YEAR(C341)&amp;""-""&amp;MONTH(C341)&amp;""-""&amp;DAY(C341)&amp;""'""))&gt;0,""Caixa Atendimento"",""Caixa Sangria"")),""""),""Caixa Sangria"")"),"")</f>
        <v/>
      </c>
      <c r="M341" s="185" t="str">
        <f>IFERROR(__xludf.DUMMYFUNCTION("ifna(VALUE(REGEXEXTRACT(E341,""[0-9.]+[,]+[0-9]+"")))"),"")</f>
        <v/>
      </c>
      <c r="N341" s="185"/>
      <c r="O341" s="185"/>
      <c r="P341" s="185"/>
      <c r="Q341" s="185"/>
      <c r="R341" s="185"/>
      <c r="S341" s="185"/>
      <c r="T341" s="185"/>
      <c r="U341" s="185"/>
      <c r="V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184" t="str">
        <f>IFERROR(__xludf.DUMMYFUNCTION("ifna(IF(and(D342=""Saída"",J342=""Sangria""),if(sum(QUERY(IMPORTRANGE(""https://docs.google.com/spreadsheets/d/1E4szPcLzsqlw4uyBAoJ61L1ChCgpz4wVP8tHfHW1g_c"",""BD M Sangrias!a:i""),""select Col6 where Col7 = 'Depositada' and Col9 = '""&amp;K342&amp;""' and Col6 ="&amp;" ""&amp;M342&amp;"" and Col4 = date '""&amp;YEAR(C342)&amp;""-""&amp;MONTH(C342)&amp;""-""&amp;DAY(C342)&amp;""'""))&gt;0,""Depositada"",if(sum(QUERY(IMPORTRANGE(""https://docs.google.com/spreadsheets/d/1EcLIvUgMoBC5as4ikW0wuQsGH5yVZ6cQ1y16qEfgPnk"",""BD M Sangrias!a:i""),""select Col6 whe"&amp;"re Col7 = 'Caixa Atendimento' and Col9 = '""&amp;K342&amp;""' and Col6 = ""&amp;M342&amp;"" and Col4 = date '""&amp;YEAR(C342)&amp;""-""&amp;MONTH(C342)&amp;""-""&amp;DAY(C342)&amp;""'""))&gt;0,""Caixa Atendimento"",""Caixa Sangria"")),""""),""Caixa Sangria"")"),"")</f>
        <v/>
      </c>
      <c r="M342" s="185" t="str">
        <f>IFERROR(__xludf.DUMMYFUNCTION("ifna(VALUE(REGEXEXTRACT(E342,""[0-9.]+[,]+[0-9]+"")))"),"")</f>
        <v/>
      </c>
      <c r="N342" s="185"/>
      <c r="O342" s="185"/>
      <c r="P342" s="185"/>
      <c r="Q342" s="185"/>
      <c r="R342" s="185"/>
      <c r="S342" s="185"/>
      <c r="T342" s="185"/>
      <c r="U342" s="185"/>
      <c r="V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184" t="str">
        <f>IFERROR(__xludf.DUMMYFUNCTION("ifna(IF(and(D343=""Saída"",J343=""Sangria""),if(sum(QUERY(IMPORTRANGE(""https://docs.google.com/spreadsheets/d/1E4szPcLzsqlw4uyBAoJ61L1ChCgpz4wVP8tHfHW1g_c"",""BD M Sangrias!a:i""),""select Col6 where Col7 = 'Depositada' and Col9 = '""&amp;K343&amp;""' and Col6 ="&amp;" ""&amp;M343&amp;"" and Col4 = date '""&amp;YEAR(C343)&amp;""-""&amp;MONTH(C343)&amp;""-""&amp;DAY(C343)&amp;""'""))&gt;0,""Depositada"",if(sum(QUERY(IMPORTRANGE(""https://docs.google.com/spreadsheets/d/1EcLIvUgMoBC5as4ikW0wuQsGH5yVZ6cQ1y16qEfgPnk"",""BD M Sangrias!a:i""),""select Col6 whe"&amp;"re Col7 = 'Caixa Atendimento' and Col9 = '""&amp;K343&amp;""' and Col6 = ""&amp;M343&amp;"" and Col4 = date '""&amp;YEAR(C343)&amp;""-""&amp;MONTH(C343)&amp;""-""&amp;DAY(C343)&amp;""'""))&gt;0,""Caixa Atendimento"",""Caixa Sangria"")),""""),""Caixa Sangria"")"),"")</f>
        <v/>
      </c>
      <c r="M343" s="185" t="str">
        <f>IFERROR(__xludf.DUMMYFUNCTION("ifna(VALUE(REGEXEXTRACT(E343,""[0-9.]+[,]+[0-9]+"")))"),"")</f>
        <v/>
      </c>
      <c r="N343" s="185"/>
      <c r="O343" s="185"/>
      <c r="P343" s="185"/>
      <c r="Q343" s="185"/>
      <c r="R343" s="185"/>
      <c r="S343" s="185"/>
      <c r="T343" s="185"/>
      <c r="U343" s="185"/>
      <c r="V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184" t="str">
        <f>IFERROR(__xludf.DUMMYFUNCTION("ifna(IF(and(D344=""Saída"",J344=""Sangria""),if(sum(QUERY(IMPORTRANGE(""https://docs.google.com/spreadsheets/d/1E4szPcLzsqlw4uyBAoJ61L1ChCgpz4wVP8tHfHW1g_c"",""BD M Sangrias!a:i""),""select Col6 where Col7 = 'Depositada' and Col9 = '""&amp;K344&amp;""' and Col6 ="&amp;" ""&amp;M344&amp;"" and Col4 = date '""&amp;YEAR(C344)&amp;""-""&amp;MONTH(C344)&amp;""-""&amp;DAY(C344)&amp;""'""))&gt;0,""Depositada"",if(sum(QUERY(IMPORTRANGE(""https://docs.google.com/spreadsheets/d/1EcLIvUgMoBC5as4ikW0wuQsGH5yVZ6cQ1y16qEfgPnk"",""BD M Sangrias!a:i""),""select Col6 whe"&amp;"re Col7 = 'Caixa Atendimento' and Col9 = '""&amp;K344&amp;""' and Col6 = ""&amp;M344&amp;"" and Col4 = date '""&amp;YEAR(C344)&amp;""-""&amp;MONTH(C344)&amp;""-""&amp;DAY(C344)&amp;""'""))&gt;0,""Caixa Atendimento"",""Caixa Sangria"")),""""),""Caixa Sangria"")"),"")</f>
        <v/>
      </c>
      <c r="M344" s="185" t="str">
        <f>IFERROR(__xludf.DUMMYFUNCTION("ifna(VALUE(REGEXEXTRACT(E344,""[0-9.]+[,]+[0-9]+"")))"),"")</f>
        <v/>
      </c>
      <c r="N344" s="185"/>
      <c r="O344" s="185"/>
      <c r="P344" s="185"/>
      <c r="Q344" s="185"/>
      <c r="R344" s="185"/>
      <c r="S344" s="185"/>
      <c r="T344" s="185"/>
      <c r="U344" s="185"/>
      <c r="V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184" t="str">
        <f>IFERROR(__xludf.DUMMYFUNCTION("ifna(IF(and(D345=""Saída"",J345=""Sangria""),if(sum(QUERY(IMPORTRANGE(""https://docs.google.com/spreadsheets/d/1E4szPcLzsqlw4uyBAoJ61L1ChCgpz4wVP8tHfHW1g_c"",""BD M Sangrias!a:i""),""select Col6 where Col7 = 'Depositada' and Col9 = '""&amp;K345&amp;""' and Col6 ="&amp;" ""&amp;M345&amp;"" and Col4 = date '""&amp;YEAR(C345)&amp;""-""&amp;MONTH(C345)&amp;""-""&amp;DAY(C345)&amp;""'""))&gt;0,""Depositada"",if(sum(QUERY(IMPORTRANGE(""https://docs.google.com/spreadsheets/d/1EcLIvUgMoBC5as4ikW0wuQsGH5yVZ6cQ1y16qEfgPnk"",""BD M Sangrias!a:i""),""select Col6 whe"&amp;"re Col7 = 'Caixa Atendimento' and Col9 = '""&amp;K345&amp;""' and Col6 = ""&amp;M345&amp;"" and Col4 = date '""&amp;YEAR(C345)&amp;""-""&amp;MONTH(C345)&amp;""-""&amp;DAY(C345)&amp;""'""))&gt;0,""Caixa Atendimento"",""Caixa Sangria"")),""""),""Caixa Sangria"")"),"")</f>
        <v/>
      </c>
      <c r="M345" s="185" t="str">
        <f>IFERROR(__xludf.DUMMYFUNCTION("ifna(VALUE(REGEXEXTRACT(E345,""[0-9.]+[,]+[0-9]+"")))"),"")</f>
        <v/>
      </c>
      <c r="N345" s="185"/>
      <c r="O345" s="185"/>
      <c r="P345" s="185"/>
      <c r="Q345" s="185"/>
      <c r="R345" s="185"/>
      <c r="S345" s="185"/>
      <c r="T345" s="185"/>
      <c r="U345" s="185"/>
      <c r="V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184" t="str">
        <f>IFERROR(__xludf.DUMMYFUNCTION("ifna(IF(and(D346=""Saída"",J346=""Sangria""),if(sum(QUERY(IMPORTRANGE(""https://docs.google.com/spreadsheets/d/1E4szPcLzsqlw4uyBAoJ61L1ChCgpz4wVP8tHfHW1g_c"",""BD M Sangrias!a:i""),""select Col6 where Col7 = 'Depositada' and Col9 = '""&amp;K346&amp;""' and Col6 ="&amp;" ""&amp;M346&amp;"" and Col4 = date '""&amp;YEAR(C346)&amp;""-""&amp;MONTH(C346)&amp;""-""&amp;DAY(C346)&amp;""'""))&gt;0,""Depositada"",if(sum(QUERY(IMPORTRANGE(""https://docs.google.com/spreadsheets/d/1EcLIvUgMoBC5as4ikW0wuQsGH5yVZ6cQ1y16qEfgPnk"",""BD M Sangrias!a:i""),""select Col6 whe"&amp;"re Col7 = 'Caixa Atendimento' and Col9 = '""&amp;K346&amp;""' and Col6 = ""&amp;M346&amp;"" and Col4 = date '""&amp;YEAR(C346)&amp;""-""&amp;MONTH(C346)&amp;""-""&amp;DAY(C346)&amp;""'""))&gt;0,""Caixa Atendimento"",""Caixa Sangria"")),""""),""Caixa Sangria"")"),"")</f>
        <v/>
      </c>
      <c r="M346" s="185" t="str">
        <f>IFERROR(__xludf.DUMMYFUNCTION("ifna(VALUE(REGEXEXTRACT(E346,""[0-9.]+[,]+[0-9]+"")))"),"")</f>
        <v/>
      </c>
      <c r="N346" s="185"/>
      <c r="O346" s="185"/>
      <c r="P346" s="185"/>
      <c r="Q346" s="185"/>
      <c r="R346" s="185"/>
      <c r="S346" s="185"/>
      <c r="T346" s="185"/>
      <c r="U346" s="185"/>
      <c r="V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184" t="str">
        <f>IFERROR(__xludf.DUMMYFUNCTION("ifna(IF(and(D347=""Saída"",J347=""Sangria""),if(sum(QUERY(IMPORTRANGE(""https://docs.google.com/spreadsheets/d/1E4szPcLzsqlw4uyBAoJ61L1ChCgpz4wVP8tHfHW1g_c"",""BD M Sangrias!a:i""),""select Col6 where Col7 = 'Depositada' and Col9 = '""&amp;K347&amp;""' and Col6 ="&amp;" ""&amp;M347&amp;"" and Col4 = date '""&amp;YEAR(C347)&amp;""-""&amp;MONTH(C347)&amp;""-""&amp;DAY(C347)&amp;""'""))&gt;0,""Depositada"",if(sum(QUERY(IMPORTRANGE(""https://docs.google.com/spreadsheets/d/1EcLIvUgMoBC5as4ikW0wuQsGH5yVZ6cQ1y16qEfgPnk"",""BD M Sangrias!a:i""),""select Col6 whe"&amp;"re Col7 = 'Caixa Atendimento' and Col9 = '""&amp;K347&amp;""' and Col6 = ""&amp;M347&amp;"" and Col4 = date '""&amp;YEAR(C347)&amp;""-""&amp;MONTH(C347)&amp;""-""&amp;DAY(C347)&amp;""'""))&gt;0,""Caixa Atendimento"",""Caixa Sangria"")),""""),""Caixa Sangria"")"),"")</f>
        <v/>
      </c>
      <c r="M347" s="185" t="str">
        <f>IFERROR(__xludf.DUMMYFUNCTION("ifna(VALUE(REGEXEXTRACT(E347,""[0-9.]+[,]+[0-9]+"")))"),"")</f>
        <v/>
      </c>
      <c r="N347" s="185"/>
      <c r="O347" s="185"/>
      <c r="P347" s="185"/>
      <c r="Q347" s="185"/>
      <c r="R347" s="185"/>
      <c r="S347" s="185"/>
      <c r="T347" s="185"/>
      <c r="U347" s="185"/>
      <c r="V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184" t="str">
        <f>IFERROR(__xludf.DUMMYFUNCTION("ifna(IF(and(D348=""Saída"",J348=""Sangria""),if(sum(QUERY(IMPORTRANGE(""https://docs.google.com/spreadsheets/d/1E4szPcLzsqlw4uyBAoJ61L1ChCgpz4wVP8tHfHW1g_c"",""BD M Sangrias!a:i""),""select Col6 where Col7 = 'Depositada' and Col9 = '""&amp;K348&amp;""' and Col6 ="&amp;" ""&amp;M348&amp;"" and Col4 = date '""&amp;YEAR(C348)&amp;""-""&amp;MONTH(C348)&amp;""-""&amp;DAY(C348)&amp;""'""))&gt;0,""Depositada"",if(sum(QUERY(IMPORTRANGE(""https://docs.google.com/spreadsheets/d/1EcLIvUgMoBC5as4ikW0wuQsGH5yVZ6cQ1y16qEfgPnk"",""BD M Sangrias!a:i""),""select Col6 whe"&amp;"re Col7 = 'Caixa Atendimento' and Col9 = '""&amp;K348&amp;""' and Col6 = ""&amp;M348&amp;"" and Col4 = date '""&amp;YEAR(C348)&amp;""-""&amp;MONTH(C348)&amp;""-""&amp;DAY(C348)&amp;""'""))&gt;0,""Caixa Atendimento"",""Caixa Sangria"")),""""),""Caixa Sangria"")"),"")</f>
        <v/>
      </c>
      <c r="M348" s="185" t="str">
        <f>IFERROR(__xludf.DUMMYFUNCTION("ifna(VALUE(REGEXEXTRACT(E348,""[0-9.]+[,]+[0-9]+"")))"),"")</f>
        <v/>
      </c>
      <c r="N348" s="185"/>
      <c r="O348" s="185"/>
      <c r="P348" s="185"/>
      <c r="Q348" s="185"/>
      <c r="R348" s="185"/>
      <c r="S348" s="185"/>
      <c r="T348" s="185"/>
      <c r="U348" s="185"/>
      <c r="V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184" t="str">
        <f>IFERROR(__xludf.DUMMYFUNCTION("ifna(IF(and(D349=""Saída"",J349=""Sangria""),if(sum(QUERY(IMPORTRANGE(""https://docs.google.com/spreadsheets/d/1E4szPcLzsqlw4uyBAoJ61L1ChCgpz4wVP8tHfHW1g_c"",""BD M Sangrias!a:i""),""select Col6 where Col7 = 'Depositada' and Col9 = '""&amp;K349&amp;""' and Col6 ="&amp;" ""&amp;M349&amp;"" and Col4 = date '""&amp;YEAR(C349)&amp;""-""&amp;MONTH(C349)&amp;""-""&amp;DAY(C349)&amp;""'""))&gt;0,""Depositada"",if(sum(QUERY(IMPORTRANGE(""https://docs.google.com/spreadsheets/d/1EcLIvUgMoBC5as4ikW0wuQsGH5yVZ6cQ1y16qEfgPnk"",""BD M Sangrias!a:i""),""select Col6 whe"&amp;"re Col7 = 'Caixa Atendimento' and Col9 = '""&amp;K349&amp;""' and Col6 = ""&amp;M349&amp;"" and Col4 = date '""&amp;YEAR(C349)&amp;""-""&amp;MONTH(C349)&amp;""-""&amp;DAY(C349)&amp;""'""))&gt;0,""Caixa Atendimento"",""Caixa Sangria"")),""""),""Caixa Sangria"")"),"")</f>
        <v/>
      </c>
      <c r="M349" s="185" t="str">
        <f>IFERROR(__xludf.DUMMYFUNCTION("ifna(VALUE(REGEXEXTRACT(E349,""[0-9.]+[,]+[0-9]+"")))"),"")</f>
        <v/>
      </c>
      <c r="N349" s="185"/>
      <c r="O349" s="185"/>
      <c r="P349" s="185"/>
      <c r="Q349" s="185"/>
      <c r="R349" s="185"/>
      <c r="S349" s="185"/>
      <c r="T349" s="185"/>
      <c r="U349" s="185"/>
      <c r="V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184" t="str">
        <f>IFERROR(__xludf.DUMMYFUNCTION("ifna(IF(and(D350=""Saída"",J350=""Sangria""),if(sum(QUERY(IMPORTRANGE(""https://docs.google.com/spreadsheets/d/1E4szPcLzsqlw4uyBAoJ61L1ChCgpz4wVP8tHfHW1g_c"",""BD M Sangrias!a:i""),""select Col6 where Col7 = 'Depositada' and Col9 = '""&amp;K350&amp;""' and Col6 ="&amp;" ""&amp;M350&amp;"" and Col4 = date '""&amp;YEAR(C350)&amp;""-""&amp;MONTH(C350)&amp;""-""&amp;DAY(C350)&amp;""'""))&gt;0,""Depositada"",if(sum(QUERY(IMPORTRANGE(""https://docs.google.com/spreadsheets/d/1EcLIvUgMoBC5as4ikW0wuQsGH5yVZ6cQ1y16qEfgPnk"",""BD M Sangrias!a:i""),""select Col6 whe"&amp;"re Col7 = 'Caixa Atendimento' and Col9 = '""&amp;K350&amp;""' and Col6 = ""&amp;M350&amp;"" and Col4 = date '""&amp;YEAR(C350)&amp;""-""&amp;MONTH(C350)&amp;""-""&amp;DAY(C350)&amp;""'""))&gt;0,""Caixa Atendimento"",""Caixa Sangria"")),""""),""Caixa Sangria"")"),"")</f>
        <v/>
      </c>
      <c r="M350" s="185" t="str">
        <f>IFERROR(__xludf.DUMMYFUNCTION("ifna(VALUE(REGEXEXTRACT(E350,""[0-9.]+[,]+[0-9]+"")))"),"")</f>
        <v/>
      </c>
      <c r="N350" s="185"/>
      <c r="O350" s="185"/>
      <c r="P350" s="185"/>
      <c r="Q350" s="185"/>
      <c r="R350" s="185"/>
      <c r="S350" s="185"/>
      <c r="T350" s="185"/>
      <c r="U350" s="185"/>
      <c r="V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184" t="str">
        <f>IFERROR(__xludf.DUMMYFUNCTION("ifna(IF(and(D351=""Saída"",J351=""Sangria""),if(sum(QUERY(IMPORTRANGE(""https://docs.google.com/spreadsheets/d/1E4szPcLzsqlw4uyBAoJ61L1ChCgpz4wVP8tHfHW1g_c"",""BD M Sangrias!a:i""),""select Col6 where Col7 = 'Depositada' and Col9 = '""&amp;K351&amp;""' and Col6 ="&amp;" ""&amp;M351&amp;"" and Col4 = date '""&amp;YEAR(C351)&amp;""-""&amp;MONTH(C351)&amp;""-""&amp;DAY(C351)&amp;""'""))&gt;0,""Depositada"",if(sum(QUERY(IMPORTRANGE(""https://docs.google.com/spreadsheets/d/1EcLIvUgMoBC5as4ikW0wuQsGH5yVZ6cQ1y16qEfgPnk"",""BD M Sangrias!a:i""),""select Col6 whe"&amp;"re Col7 = 'Caixa Atendimento' and Col9 = '""&amp;K351&amp;""' and Col6 = ""&amp;M351&amp;"" and Col4 = date '""&amp;YEAR(C351)&amp;""-""&amp;MONTH(C351)&amp;""-""&amp;DAY(C351)&amp;""'""))&gt;0,""Caixa Atendimento"",""Caixa Sangria"")),""""),""Caixa Sangria"")"),"")</f>
        <v/>
      </c>
      <c r="M351" s="185" t="str">
        <f>IFERROR(__xludf.DUMMYFUNCTION("ifna(VALUE(REGEXEXTRACT(E351,""[0-9.]+[,]+[0-9]+"")))"),"")</f>
        <v/>
      </c>
      <c r="N351" s="185"/>
      <c r="O351" s="185"/>
      <c r="P351" s="185"/>
      <c r="Q351" s="185"/>
      <c r="R351" s="185"/>
      <c r="S351" s="185"/>
      <c r="T351" s="185"/>
      <c r="U351" s="185"/>
      <c r="V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184" t="str">
        <f>IFERROR(__xludf.DUMMYFUNCTION("ifna(IF(and(D352=""Saída"",J352=""Sangria""),if(sum(QUERY(IMPORTRANGE(""https://docs.google.com/spreadsheets/d/1E4szPcLzsqlw4uyBAoJ61L1ChCgpz4wVP8tHfHW1g_c"",""BD M Sangrias!a:i""),""select Col6 where Col7 = 'Depositada' and Col9 = '""&amp;K352&amp;""' and Col6 ="&amp;" ""&amp;M352&amp;"" and Col4 = date '""&amp;YEAR(C352)&amp;""-""&amp;MONTH(C352)&amp;""-""&amp;DAY(C352)&amp;""'""))&gt;0,""Depositada"",if(sum(QUERY(IMPORTRANGE(""https://docs.google.com/spreadsheets/d/1EcLIvUgMoBC5as4ikW0wuQsGH5yVZ6cQ1y16qEfgPnk"",""BD M Sangrias!a:i""),""select Col6 whe"&amp;"re Col7 = 'Caixa Atendimento' and Col9 = '""&amp;K352&amp;""' and Col6 = ""&amp;M352&amp;"" and Col4 = date '""&amp;YEAR(C352)&amp;""-""&amp;MONTH(C352)&amp;""-""&amp;DAY(C352)&amp;""'""))&gt;0,""Caixa Atendimento"",""Caixa Sangria"")),""""),""Caixa Sangria"")"),"")</f>
        <v/>
      </c>
      <c r="M352" s="185" t="str">
        <f>IFERROR(__xludf.DUMMYFUNCTION("ifna(VALUE(REGEXEXTRACT(E352,""[0-9.]+[,]+[0-9]+"")))"),"")</f>
        <v/>
      </c>
      <c r="N352" s="185"/>
      <c r="O352" s="185"/>
      <c r="P352" s="185"/>
      <c r="Q352" s="185"/>
      <c r="R352" s="185"/>
      <c r="S352" s="185"/>
      <c r="T352" s="185"/>
      <c r="U352" s="185"/>
      <c r="V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184" t="str">
        <f>IFERROR(__xludf.DUMMYFUNCTION("ifna(IF(and(D353=""Saída"",J353=""Sangria""),if(sum(QUERY(IMPORTRANGE(""https://docs.google.com/spreadsheets/d/1E4szPcLzsqlw4uyBAoJ61L1ChCgpz4wVP8tHfHW1g_c"",""BD M Sangrias!a:i""),""select Col6 where Col7 = 'Depositada' and Col9 = '""&amp;K353&amp;""' and Col6 ="&amp;" ""&amp;M353&amp;"" and Col4 = date '""&amp;YEAR(C353)&amp;""-""&amp;MONTH(C353)&amp;""-""&amp;DAY(C353)&amp;""'""))&gt;0,""Depositada"",if(sum(QUERY(IMPORTRANGE(""https://docs.google.com/spreadsheets/d/1EcLIvUgMoBC5as4ikW0wuQsGH5yVZ6cQ1y16qEfgPnk"",""BD M Sangrias!a:i""),""select Col6 whe"&amp;"re Col7 = 'Caixa Atendimento' and Col9 = '""&amp;K353&amp;""' and Col6 = ""&amp;M353&amp;"" and Col4 = date '""&amp;YEAR(C353)&amp;""-""&amp;MONTH(C353)&amp;""-""&amp;DAY(C353)&amp;""'""))&gt;0,""Caixa Atendimento"",""Caixa Sangria"")),""""),""Caixa Sangria"")"),"")</f>
        <v/>
      </c>
      <c r="M353" s="185" t="str">
        <f>IFERROR(__xludf.DUMMYFUNCTION("ifna(VALUE(REGEXEXTRACT(E353,""[0-9.]+[,]+[0-9]+"")))"),"")</f>
        <v/>
      </c>
      <c r="N353" s="185"/>
      <c r="O353" s="185"/>
      <c r="P353" s="185"/>
      <c r="Q353" s="185"/>
      <c r="R353" s="185"/>
      <c r="S353" s="185"/>
      <c r="T353" s="185"/>
      <c r="U353" s="185"/>
      <c r="V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184" t="str">
        <f>IFERROR(__xludf.DUMMYFUNCTION("ifna(IF(and(D354=""Saída"",J354=""Sangria""),if(sum(QUERY(IMPORTRANGE(""https://docs.google.com/spreadsheets/d/1E4szPcLzsqlw4uyBAoJ61L1ChCgpz4wVP8tHfHW1g_c"",""BD M Sangrias!a:i""),""select Col6 where Col7 = 'Depositada' and Col9 = '""&amp;K354&amp;""' and Col6 ="&amp;" ""&amp;M354&amp;"" and Col4 = date '""&amp;YEAR(C354)&amp;""-""&amp;MONTH(C354)&amp;""-""&amp;DAY(C354)&amp;""'""))&gt;0,""Depositada"",if(sum(QUERY(IMPORTRANGE(""https://docs.google.com/spreadsheets/d/1EcLIvUgMoBC5as4ikW0wuQsGH5yVZ6cQ1y16qEfgPnk"",""BD M Sangrias!a:i""),""select Col6 whe"&amp;"re Col7 = 'Caixa Atendimento' and Col9 = '""&amp;K354&amp;""' and Col6 = ""&amp;M354&amp;"" and Col4 = date '""&amp;YEAR(C354)&amp;""-""&amp;MONTH(C354)&amp;""-""&amp;DAY(C354)&amp;""'""))&gt;0,""Caixa Atendimento"",""Caixa Sangria"")),""""),""Caixa Sangria"")"),"")</f>
        <v/>
      </c>
      <c r="M354" s="185" t="str">
        <f>IFERROR(__xludf.DUMMYFUNCTION("ifna(VALUE(REGEXEXTRACT(E354,""[0-9.]+[,]+[0-9]+"")))"),"")</f>
        <v/>
      </c>
      <c r="N354" s="185"/>
      <c r="O354" s="185"/>
      <c r="P354" s="185"/>
      <c r="Q354" s="185"/>
      <c r="R354" s="185"/>
      <c r="S354" s="185"/>
      <c r="T354" s="185"/>
      <c r="U354" s="185"/>
      <c r="V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184" t="str">
        <f>IFERROR(__xludf.DUMMYFUNCTION("ifna(IF(and(D355=""Saída"",J355=""Sangria""),if(sum(QUERY(IMPORTRANGE(""https://docs.google.com/spreadsheets/d/1E4szPcLzsqlw4uyBAoJ61L1ChCgpz4wVP8tHfHW1g_c"",""BD M Sangrias!a:i""),""select Col6 where Col7 = 'Depositada' and Col9 = '""&amp;K355&amp;""' and Col6 ="&amp;" ""&amp;M355&amp;"" and Col4 = date '""&amp;YEAR(C355)&amp;""-""&amp;MONTH(C355)&amp;""-""&amp;DAY(C355)&amp;""'""))&gt;0,""Depositada"",if(sum(QUERY(IMPORTRANGE(""https://docs.google.com/spreadsheets/d/1EcLIvUgMoBC5as4ikW0wuQsGH5yVZ6cQ1y16qEfgPnk"",""BD M Sangrias!a:i""),""select Col6 whe"&amp;"re Col7 = 'Caixa Atendimento' and Col9 = '""&amp;K355&amp;""' and Col6 = ""&amp;M355&amp;"" and Col4 = date '""&amp;YEAR(C355)&amp;""-""&amp;MONTH(C355)&amp;""-""&amp;DAY(C355)&amp;""'""))&gt;0,""Caixa Atendimento"",""Caixa Sangria"")),""""),""Caixa Sangria"")"),"")</f>
        <v/>
      </c>
      <c r="M355" s="185" t="str">
        <f>IFERROR(__xludf.DUMMYFUNCTION("ifna(VALUE(REGEXEXTRACT(E355,""[0-9.]+[,]+[0-9]+"")))"),"")</f>
        <v/>
      </c>
      <c r="N355" s="185"/>
      <c r="O355" s="185"/>
      <c r="P355" s="185"/>
      <c r="Q355" s="185"/>
      <c r="R355" s="185"/>
      <c r="S355" s="185"/>
      <c r="T355" s="185"/>
      <c r="U355" s="185"/>
      <c r="V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184" t="str">
        <f>IFERROR(__xludf.DUMMYFUNCTION("ifna(IF(and(D356=""Saída"",J356=""Sangria""),if(sum(QUERY(IMPORTRANGE(""https://docs.google.com/spreadsheets/d/1E4szPcLzsqlw4uyBAoJ61L1ChCgpz4wVP8tHfHW1g_c"",""BD M Sangrias!a:i""),""select Col6 where Col7 = 'Depositada' and Col9 = '""&amp;K356&amp;""' and Col6 ="&amp;" ""&amp;M356&amp;"" and Col4 = date '""&amp;YEAR(C356)&amp;""-""&amp;MONTH(C356)&amp;""-""&amp;DAY(C356)&amp;""'""))&gt;0,""Depositada"",if(sum(QUERY(IMPORTRANGE(""https://docs.google.com/spreadsheets/d/1EcLIvUgMoBC5as4ikW0wuQsGH5yVZ6cQ1y16qEfgPnk"",""BD M Sangrias!a:i""),""select Col6 whe"&amp;"re Col7 = 'Caixa Atendimento' and Col9 = '""&amp;K356&amp;""' and Col6 = ""&amp;M356&amp;"" and Col4 = date '""&amp;YEAR(C356)&amp;""-""&amp;MONTH(C356)&amp;""-""&amp;DAY(C356)&amp;""'""))&gt;0,""Caixa Atendimento"",""Caixa Sangria"")),""""),""Caixa Sangria"")"),"")</f>
        <v/>
      </c>
      <c r="M356" s="185" t="str">
        <f>IFERROR(__xludf.DUMMYFUNCTION("ifna(VALUE(REGEXEXTRACT(E356,""[0-9.]+[,]+[0-9]+"")))"),"")</f>
        <v/>
      </c>
      <c r="N356" s="185"/>
      <c r="O356" s="185"/>
      <c r="P356" s="185"/>
      <c r="Q356" s="185"/>
      <c r="R356" s="185"/>
      <c r="S356" s="185"/>
      <c r="T356" s="185"/>
      <c r="U356" s="185"/>
      <c r="V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184" t="str">
        <f>IFERROR(__xludf.DUMMYFUNCTION("ifna(IF(and(D357=""Saída"",J357=""Sangria""),if(sum(QUERY(IMPORTRANGE(""https://docs.google.com/spreadsheets/d/1E4szPcLzsqlw4uyBAoJ61L1ChCgpz4wVP8tHfHW1g_c"",""BD M Sangrias!a:i""),""select Col6 where Col7 = 'Depositada' and Col9 = '""&amp;K357&amp;""' and Col6 ="&amp;" ""&amp;M357&amp;"" and Col4 = date '""&amp;YEAR(C357)&amp;""-""&amp;MONTH(C357)&amp;""-""&amp;DAY(C357)&amp;""'""))&gt;0,""Depositada"",if(sum(QUERY(IMPORTRANGE(""https://docs.google.com/spreadsheets/d/1EcLIvUgMoBC5as4ikW0wuQsGH5yVZ6cQ1y16qEfgPnk"",""BD M Sangrias!a:i""),""select Col6 whe"&amp;"re Col7 = 'Caixa Atendimento' and Col9 = '""&amp;K357&amp;""' and Col6 = ""&amp;M357&amp;"" and Col4 = date '""&amp;YEAR(C357)&amp;""-""&amp;MONTH(C357)&amp;""-""&amp;DAY(C357)&amp;""'""))&gt;0,""Caixa Atendimento"",""Caixa Sangria"")),""""),""Caixa Sangria"")"),"")</f>
        <v/>
      </c>
      <c r="M357" s="185" t="str">
        <f>IFERROR(__xludf.DUMMYFUNCTION("ifna(VALUE(REGEXEXTRACT(E357,""[0-9.]+[,]+[0-9]+"")))"),"")</f>
        <v/>
      </c>
      <c r="N357" s="185"/>
      <c r="O357" s="185"/>
      <c r="P357" s="185"/>
      <c r="Q357" s="185"/>
      <c r="R357" s="185"/>
      <c r="S357" s="185"/>
      <c r="T357" s="185"/>
      <c r="U357" s="185"/>
      <c r="V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184" t="str">
        <f>IFERROR(__xludf.DUMMYFUNCTION("ifna(IF(and(D358=""Saída"",J358=""Sangria""),if(sum(QUERY(IMPORTRANGE(""https://docs.google.com/spreadsheets/d/1E4szPcLzsqlw4uyBAoJ61L1ChCgpz4wVP8tHfHW1g_c"",""BD M Sangrias!a:i""),""select Col6 where Col7 = 'Depositada' and Col9 = '""&amp;K358&amp;""' and Col6 ="&amp;" ""&amp;M358&amp;"" and Col4 = date '""&amp;YEAR(C358)&amp;""-""&amp;MONTH(C358)&amp;""-""&amp;DAY(C358)&amp;""'""))&gt;0,""Depositada"",if(sum(QUERY(IMPORTRANGE(""https://docs.google.com/spreadsheets/d/1EcLIvUgMoBC5as4ikW0wuQsGH5yVZ6cQ1y16qEfgPnk"",""BD M Sangrias!a:i""),""select Col6 whe"&amp;"re Col7 = 'Caixa Atendimento' and Col9 = '""&amp;K358&amp;""' and Col6 = ""&amp;M358&amp;"" and Col4 = date '""&amp;YEAR(C358)&amp;""-""&amp;MONTH(C358)&amp;""-""&amp;DAY(C358)&amp;""'""))&gt;0,""Caixa Atendimento"",""Caixa Sangria"")),""""),""Caixa Sangria"")"),"")</f>
        <v/>
      </c>
      <c r="M358" s="185" t="str">
        <f>IFERROR(__xludf.DUMMYFUNCTION("ifna(VALUE(REGEXEXTRACT(E358,""[0-9.]+[,]+[0-9]+"")))"),"")</f>
        <v/>
      </c>
      <c r="N358" s="185"/>
      <c r="O358" s="185"/>
      <c r="P358" s="185"/>
      <c r="Q358" s="185"/>
      <c r="R358" s="185"/>
      <c r="S358" s="185"/>
      <c r="T358" s="185"/>
      <c r="U358" s="185"/>
      <c r="V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184" t="str">
        <f>IFERROR(__xludf.DUMMYFUNCTION("ifna(IF(and(D359=""Saída"",J359=""Sangria""),if(sum(QUERY(IMPORTRANGE(""https://docs.google.com/spreadsheets/d/1E4szPcLzsqlw4uyBAoJ61L1ChCgpz4wVP8tHfHW1g_c"",""BD M Sangrias!a:i""),""select Col6 where Col7 = 'Depositada' and Col9 = '""&amp;K359&amp;""' and Col6 ="&amp;" ""&amp;M359&amp;"" and Col4 = date '""&amp;YEAR(C359)&amp;""-""&amp;MONTH(C359)&amp;""-""&amp;DAY(C359)&amp;""'""))&gt;0,""Depositada"",if(sum(QUERY(IMPORTRANGE(""https://docs.google.com/spreadsheets/d/1EcLIvUgMoBC5as4ikW0wuQsGH5yVZ6cQ1y16qEfgPnk"",""BD M Sangrias!a:i""),""select Col6 whe"&amp;"re Col7 = 'Caixa Atendimento' and Col9 = '""&amp;K359&amp;""' and Col6 = ""&amp;M359&amp;"" and Col4 = date '""&amp;YEAR(C359)&amp;""-""&amp;MONTH(C359)&amp;""-""&amp;DAY(C359)&amp;""'""))&gt;0,""Caixa Atendimento"",""Caixa Sangria"")),""""),""Caixa Sangria"")"),"")</f>
        <v/>
      </c>
      <c r="M359" s="185" t="str">
        <f>IFERROR(__xludf.DUMMYFUNCTION("ifna(VALUE(REGEXEXTRACT(E359,""[0-9.]+[,]+[0-9]+"")))"),"")</f>
        <v/>
      </c>
      <c r="N359" s="185"/>
      <c r="O359" s="185"/>
      <c r="P359" s="185"/>
      <c r="Q359" s="185"/>
      <c r="R359" s="185"/>
      <c r="S359" s="185"/>
      <c r="T359" s="185"/>
      <c r="U359" s="185"/>
      <c r="V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184" t="str">
        <f>IFERROR(__xludf.DUMMYFUNCTION("ifna(IF(and(D360=""Saída"",J360=""Sangria""),if(sum(QUERY(IMPORTRANGE(""https://docs.google.com/spreadsheets/d/1E4szPcLzsqlw4uyBAoJ61L1ChCgpz4wVP8tHfHW1g_c"",""BD M Sangrias!a:i""),""select Col6 where Col7 = 'Depositada' and Col9 = '""&amp;K360&amp;""' and Col6 ="&amp;" ""&amp;M360&amp;"" and Col4 = date '""&amp;YEAR(C360)&amp;""-""&amp;MONTH(C360)&amp;""-""&amp;DAY(C360)&amp;""'""))&gt;0,""Depositada"",if(sum(QUERY(IMPORTRANGE(""https://docs.google.com/spreadsheets/d/1EcLIvUgMoBC5as4ikW0wuQsGH5yVZ6cQ1y16qEfgPnk"",""BD M Sangrias!a:i""),""select Col6 whe"&amp;"re Col7 = 'Caixa Atendimento' and Col9 = '""&amp;K360&amp;""' and Col6 = ""&amp;M360&amp;"" and Col4 = date '""&amp;YEAR(C360)&amp;""-""&amp;MONTH(C360)&amp;""-""&amp;DAY(C360)&amp;""'""))&gt;0,""Caixa Atendimento"",""Caixa Sangria"")),""""),""Caixa Sangria"")"),"")</f>
        <v/>
      </c>
      <c r="M360" s="185" t="str">
        <f>IFERROR(__xludf.DUMMYFUNCTION("ifna(VALUE(REGEXEXTRACT(E360,""[0-9.]+[,]+[0-9]+"")))"),"")</f>
        <v/>
      </c>
      <c r="N360" s="185"/>
      <c r="O360" s="185"/>
      <c r="P360" s="185"/>
      <c r="Q360" s="185"/>
      <c r="R360" s="185"/>
      <c r="S360" s="185"/>
      <c r="T360" s="185"/>
      <c r="U360" s="185"/>
      <c r="V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184" t="str">
        <f>IFERROR(__xludf.DUMMYFUNCTION("ifna(IF(and(D361=""Saída"",J361=""Sangria""),if(sum(QUERY(IMPORTRANGE(""https://docs.google.com/spreadsheets/d/1E4szPcLzsqlw4uyBAoJ61L1ChCgpz4wVP8tHfHW1g_c"",""BD M Sangrias!a:i""),""select Col6 where Col7 = 'Depositada' and Col9 = '""&amp;K361&amp;""' and Col6 ="&amp;" ""&amp;M361&amp;"" and Col4 = date '""&amp;YEAR(C361)&amp;""-""&amp;MONTH(C361)&amp;""-""&amp;DAY(C361)&amp;""'""))&gt;0,""Depositada"",if(sum(QUERY(IMPORTRANGE(""https://docs.google.com/spreadsheets/d/1EcLIvUgMoBC5as4ikW0wuQsGH5yVZ6cQ1y16qEfgPnk"",""BD M Sangrias!a:i""),""select Col6 whe"&amp;"re Col7 = 'Caixa Atendimento' and Col9 = '""&amp;K361&amp;""' and Col6 = ""&amp;M361&amp;"" and Col4 = date '""&amp;YEAR(C361)&amp;""-""&amp;MONTH(C361)&amp;""-""&amp;DAY(C361)&amp;""'""))&gt;0,""Caixa Atendimento"",""Caixa Sangria"")),""""),""Caixa Sangria"")"),"")</f>
        <v/>
      </c>
      <c r="M361" s="185" t="str">
        <f>IFERROR(__xludf.DUMMYFUNCTION("ifna(VALUE(REGEXEXTRACT(E361,""[0-9.]+[,]+[0-9]+"")))"),"")</f>
        <v/>
      </c>
      <c r="N361" s="185"/>
      <c r="O361" s="185"/>
      <c r="P361" s="185"/>
      <c r="Q361" s="185"/>
      <c r="R361" s="185"/>
      <c r="S361" s="185"/>
      <c r="T361" s="185"/>
      <c r="U361" s="185"/>
      <c r="V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184" t="str">
        <f>IFERROR(__xludf.DUMMYFUNCTION("ifna(IF(and(D362=""Saída"",J362=""Sangria""),if(sum(QUERY(IMPORTRANGE(""https://docs.google.com/spreadsheets/d/1E4szPcLzsqlw4uyBAoJ61L1ChCgpz4wVP8tHfHW1g_c"",""BD M Sangrias!a:i""),""select Col6 where Col7 = 'Depositada' and Col9 = '""&amp;K362&amp;""' and Col6 ="&amp;" ""&amp;M362&amp;"" and Col4 = date '""&amp;YEAR(C362)&amp;""-""&amp;MONTH(C362)&amp;""-""&amp;DAY(C362)&amp;""'""))&gt;0,""Depositada"",if(sum(QUERY(IMPORTRANGE(""https://docs.google.com/spreadsheets/d/1EcLIvUgMoBC5as4ikW0wuQsGH5yVZ6cQ1y16qEfgPnk"",""BD M Sangrias!a:i""),""select Col6 whe"&amp;"re Col7 = 'Caixa Atendimento' and Col9 = '""&amp;K362&amp;""' and Col6 = ""&amp;M362&amp;"" and Col4 = date '""&amp;YEAR(C362)&amp;""-""&amp;MONTH(C362)&amp;""-""&amp;DAY(C362)&amp;""'""))&gt;0,""Caixa Atendimento"",""Caixa Sangria"")),""""),""Caixa Sangria"")"),"")</f>
        <v/>
      </c>
      <c r="M362" s="185" t="str">
        <f>IFERROR(__xludf.DUMMYFUNCTION("ifna(VALUE(REGEXEXTRACT(E362,""[0-9.]+[,]+[0-9]+"")))"),"")</f>
        <v/>
      </c>
      <c r="N362" s="185"/>
      <c r="O362" s="185"/>
      <c r="P362" s="185"/>
      <c r="Q362" s="185"/>
      <c r="R362" s="185"/>
      <c r="S362" s="185"/>
      <c r="T362" s="185"/>
      <c r="U362" s="185"/>
      <c r="V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184" t="str">
        <f>IFERROR(__xludf.DUMMYFUNCTION("ifna(IF(and(D363=""Saída"",J363=""Sangria""),if(sum(QUERY(IMPORTRANGE(""https://docs.google.com/spreadsheets/d/1E4szPcLzsqlw4uyBAoJ61L1ChCgpz4wVP8tHfHW1g_c"",""BD M Sangrias!a:i""),""select Col6 where Col7 = 'Depositada' and Col9 = '""&amp;K363&amp;""' and Col6 ="&amp;" ""&amp;M363&amp;"" and Col4 = date '""&amp;YEAR(C363)&amp;""-""&amp;MONTH(C363)&amp;""-""&amp;DAY(C363)&amp;""'""))&gt;0,""Depositada"",if(sum(QUERY(IMPORTRANGE(""https://docs.google.com/spreadsheets/d/1EcLIvUgMoBC5as4ikW0wuQsGH5yVZ6cQ1y16qEfgPnk"",""BD M Sangrias!a:i""),""select Col6 whe"&amp;"re Col7 = 'Caixa Atendimento' and Col9 = '""&amp;K363&amp;""' and Col6 = ""&amp;M363&amp;"" and Col4 = date '""&amp;YEAR(C363)&amp;""-""&amp;MONTH(C363)&amp;""-""&amp;DAY(C363)&amp;""'""))&gt;0,""Caixa Atendimento"",""Caixa Sangria"")),""""),""Caixa Sangria"")"),"")</f>
        <v/>
      </c>
      <c r="M363" s="185" t="str">
        <f>IFERROR(__xludf.DUMMYFUNCTION("ifna(VALUE(REGEXEXTRACT(E363,""[0-9.]+[,]+[0-9]+"")))"),"")</f>
        <v/>
      </c>
      <c r="N363" s="185"/>
      <c r="O363" s="185"/>
      <c r="P363" s="185"/>
      <c r="Q363" s="185"/>
      <c r="R363" s="185"/>
      <c r="S363" s="185"/>
      <c r="T363" s="185"/>
      <c r="U363" s="185"/>
      <c r="V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184" t="str">
        <f>IFERROR(__xludf.DUMMYFUNCTION("ifna(IF(and(D364=""Saída"",J364=""Sangria""),if(sum(QUERY(IMPORTRANGE(""https://docs.google.com/spreadsheets/d/1E4szPcLzsqlw4uyBAoJ61L1ChCgpz4wVP8tHfHW1g_c"",""BD M Sangrias!a:i""),""select Col6 where Col7 = 'Depositada' and Col9 = '""&amp;K364&amp;""' and Col6 ="&amp;" ""&amp;M364&amp;"" and Col4 = date '""&amp;YEAR(C364)&amp;""-""&amp;MONTH(C364)&amp;""-""&amp;DAY(C364)&amp;""'""))&gt;0,""Depositada"",if(sum(QUERY(IMPORTRANGE(""https://docs.google.com/spreadsheets/d/1EcLIvUgMoBC5as4ikW0wuQsGH5yVZ6cQ1y16qEfgPnk"",""BD M Sangrias!a:i""),""select Col6 whe"&amp;"re Col7 = 'Caixa Atendimento' and Col9 = '""&amp;K364&amp;""' and Col6 = ""&amp;M364&amp;"" and Col4 = date '""&amp;YEAR(C364)&amp;""-""&amp;MONTH(C364)&amp;""-""&amp;DAY(C364)&amp;""'""))&gt;0,""Caixa Atendimento"",""Caixa Sangria"")),""""),""Caixa Sangria"")"),"")</f>
        <v/>
      </c>
      <c r="M364" s="185" t="str">
        <f>IFERROR(__xludf.DUMMYFUNCTION("ifna(VALUE(REGEXEXTRACT(E364,""[0-9.]+[,]+[0-9]+"")))"),"")</f>
        <v/>
      </c>
      <c r="N364" s="185"/>
      <c r="O364" s="185"/>
      <c r="P364" s="185"/>
      <c r="Q364" s="185"/>
      <c r="R364" s="185"/>
      <c r="S364" s="185"/>
      <c r="T364" s="185"/>
      <c r="U364" s="185"/>
      <c r="V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184" t="str">
        <f>IFERROR(__xludf.DUMMYFUNCTION("ifna(IF(and(D365=""Saída"",J365=""Sangria""),if(sum(QUERY(IMPORTRANGE(""https://docs.google.com/spreadsheets/d/1E4szPcLzsqlw4uyBAoJ61L1ChCgpz4wVP8tHfHW1g_c"",""BD M Sangrias!a:i""),""select Col6 where Col7 = 'Depositada' and Col9 = '""&amp;K365&amp;""' and Col6 ="&amp;" ""&amp;M365&amp;"" and Col4 = date '""&amp;YEAR(C365)&amp;""-""&amp;MONTH(C365)&amp;""-""&amp;DAY(C365)&amp;""'""))&gt;0,""Depositada"",if(sum(QUERY(IMPORTRANGE(""https://docs.google.com/spreadsheets/d/1EcLIvUgMoBC5as4ikW0wuQsGH5yVZ6cQ1y16qEfgPnk"",""BD M Sangrias!a:i""),""select Col6 whe"&amp;"re Col7 = 'Caixa Atendimento' and Col9 = '""&amp;K365&amp;""' and Col6 = ""&amp;M365&amp;"" and Col4 = date '""&amp;YEAR(C365)&amp;""-""&amp;MONTH(C365)&amp;""-""&amp;DAY(C365)&amp;""'""))&gt;0,""Caixa Atendimento"",""Caixa Sangria"")),""""),""Caixa Sangria"")"),"")</f>
        <v/>
      </c>
      <c r="M365" s="185" t="str">
        <f>IFERROR(__xludf.DUMMYFUNCTION("ifna(VALUE(REGEXEXTRACT(E365,""[0-9.]+[,]+[0-9]+"")))"),"")</f>
        <v/>
      </c>
      <c r="N365" s="185"/>
      <c r="O365" s="185"/>
      <c r="P365" s="185"/>
      <c r="Q365" s="185"/>
      <c r="R365" s="185"/>
      <c r="S365" s="185"/>
      <c r="T365" s="185"/>
      <c r="U365" s="185"/>
      <c r="V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184" t="str">
        <f>IFERROR(__xludf.DUMMYFUNCTION("ifna(IF(and(D366=""Saída"",J366=""Sangria""),if(sum(QUERY(IMPORTRANGE(""https://docs.google.com/spreadsheets/d/1E4szPcLzsqlw4uyBAoJ61L1ChCgpz4wVP8tHfHW1g_c"",""BD M Sangrias!a:i""),""select Col6 where Col7 = 'Depositada' and Col9 = '""&amp;K366&amp;""' and Col6 ="&amp;" ""&amp;M366&amp;"" and Col4 = date '""&amp;YEAR(C366)&amp;""-""&amp;MONTH(C366)&amp;""-""&amp;DAY(C366)&amp;""'""))&gt;0,""Depositada"",if(sum(QUERY(IMPORTRANGE(""https://docs.google.com/spreadsheets/d/1EcLIvUgMoBC5as4ikW0wuQsGH5yVZ6cQ1y16qEfgPnk"",""BD M Sangrias!a:i""),""select Col6 whe"&amp;"re Col7 = 'Caixa Atendimento' and Col9 = '""&amp;K366&amp;""' and Col6 = ""&amp;M366&amp;"" and Col4 = date '""&amp;YEAR(C366)&amp;""-""&amp;MONTH(C366)&amp;""-""&amp;DAY(C366)&amp;""'""))&gt;0,""Caixa Atendimento"",""Caixa Sangria"")),""""),""Caixa Sangria"")"),"")</f>
        <v/>
      </c>
      <c r="M366" s="185" t="str">
        <f>IFERROR(__xludf.DUMMYFUNCTION("ifna(VALUE(REGEXEXTRACT(E366,""[0-9.]+[,]+[0-9]+"")))"),"")</f>
        <v/>
      </c>
      <c r="N366" s="185"/>
      <c r="O366" s="185"/>
      <c r="P366" s="185"/>
      <c r="Q366" s="185"/>
      <c r="R366" s="185"/>
      <c r="S366" s="185"/>
      <c r="T366" s="185"/>
      <c r="U366" s="185"/>
      <c r="V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184" t="str">
        <f>IFERROR(__xludf.DUMMYFUNCTION("ifna(IF(and(D367=""Saída"",J367=""Sangria""),if(sum(QUERY(IMPORTRANGE(""https://docs.google.com/spreadsheets/d/1E4szPcLzsqlw4uyBAoJ61L1ChCgpz4wVP8tHfHW1g_c"",""BD M Sangrias!a:i""),""select Col6 where Col7 = 'Depositada' and Col9 = '""&amp;K367&amp;""' and Col6 ="&amp;" ""&amp;M367&amp;"" and Col4 = date '""&amp;YEAR(C367)&amp;""-""&amp;MONTH(C367)&amp;""-""&amp;DAY(C367)&amp;""'""))&gt;0,""Depositada"",if(sum(QUERY(IMPORTRANGE(""https://docs.google.com/spreadsheets/d/1EcLIvUgMoBC5as4ikW0wuQsGH5yVZ6cQ1y16qEfgPnk"",""BD M Sangrias!a:i""),""select Col6 whe"&amp;"re Col7 = 'Caixa Atendimento' and Col9 = '""&amp;K367&amp;""' and Col6 = ""&amp;M367&amp;"" and Col4 = date '""&amp;YEAR(C367)&amp;""-""&amp;MONTH(C367)&amp;""-""&amp;DAY(C367)&amp;""'""))&gt;0,""Caixa Atendimento"",""Caixa Sangria"")),""""),""Caixa Sangria"")"),"")</f>
        <v/>
      </c>
      <c r="M367" s="185" t="str">
        <f>IFERROR(__xludf.DUMMYFUNCTION("ifna(VALUE(REGEXEXTRACT(E367,""[0-9.]+[,]+[0-9]+"")))"),"")</f>
        <v/>
      </c>
      <c r="N367" s="185"/>
      <c r="O367" s="185"/>
      <c r="P367" s="185"/>
      <c r="Q367" s="185"/>
      <c r="R367" s="185"/>
      <c r="S367" s="185"/>
      <c r="T367" s="185"/>
      <c r="U367" s="185"/>
      <c r="V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184" t="str">
        <f>IFERROR(__xludf.DUMMYFUNCTION("ifna(IF(and(D368=""Saída"",J368=""Sangria""),if(sum(QUERY(IMPORTRANGE(""https://docs.google.com/spreadsheets/d/1E4szPcLzsqlw4uyBAoJ61L1ChCgpz4wVP8tHfHW1g_c"",""BD M Sangrias!a:i""),""select Col6 where Col7 = 'Depositada' and Col9 = '""&amp;K368&amp;""' and Col6 ="&amp;" ""&amp;M368&amp;"" and Col4 = date '""&amp;YEAR(C368)&amp;""-""&amp;MONTH(C368)&amp;""-""&amp;DAY(C368)&amp;""'""))&gt;0,""Depositada"",if(sum(QUERY(IMPORTRANGE(""https://docs.google.com/spreadsheets/d/1EcLIvUgMoBC5as4ikW0wuQsGH5yVZ6cQ1y16qEfgPnk"",""BD M Sangrias!a:i""),""select Col6 whe"&amp;"re Col7 = 'Caixa Atendimento' and Col9 = '""&amp;K368&amp;""' and Col6 = ""&amp;M368&amp;"" and Col4 = date '""&amp;YEAR(C368)&amp;""-""&amp;MONTH(C368)&amp;""-""&amp;DAY(C368)&amp;""'""))&gt;0,""Caixa Atendimento"",""Caixa Sangria"")),""""),""Caixa Sangria"")"),"")</f>
        <v/>
      </c>
      <c r="M368" s="185" t="str">
        <f>IFERROR(__xludf.DUMMYFUNCTION("ifna(VALUE(REGEXEXTRACT(E368,""[0-9.]+[,]+[0-9]+"")))"),"")</f>
        <v/>
      </c>
      <c r="N368" s="185"/>
      <c r="O368" s="185"/>
      <c r="P368" s="185"/>
      <c r="Q368" s="185"/>
      <c r="R368" s="185"/>
      <c r="S368" s="185"/>
      <c r="T368" s="185"/>
      <c r="U368" s="185"/>
      <c r="V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184" t="str">
        <f>IFERROR(__xludf.DUMMYFUNCTION("ifna(IF(and(D369=""Saída"",J369=""Sangria""),if(sum(QUERY(IMPORTRANGE(""https://docs.google.com/spreadsheets/d/1E4szPcLzsqlw4uyBAoJ61L1ChCgpz4wVP8tHfHW1g_c"",""BD M Sangrias!a:i""),""select Col6 where Col7 = 'Depositada' and Col9 = '""&amp;K369&amp;""' and Col6 ="&amp;" ""&amp;M369&amp;"" and Col4 = date '""&amp;YEAR(C369)&amp;""-""&amp;MONTH(C369)&amp;""-""&amp;DAY(C369)&amp;""'""))&gt;0,""Depositada"",if(sum(QUERY(IMPORTRANGE(""https://docs.google.com/spreadsheets/d/1EcLIvUgMoBC5as4ikW0wuQsGH5yVZ6cQ1y16qEfgPnk"",""BD M Sangrias!a:i""),""select Col6 whe"&amp;"re Col7 = 'Caixa Atendimento' and Col9 = '""&amp;K369&amp;""' and Col6 = ""&amp;M369&amp;"" and Col4 = date '""&amp;YEAR(C369)&amp;""-""&amp;MONTH(C369)&amp;""-""&amp;DAY(C369)&amp;""'""))&gt;0,""Caixa Atendimento"",""Caixa Sangria"")),""""),""Caixa Sangria"")"),"")</f>
        <v/>
      </c>
      <c r="M369" s="185" t="str">
        <f>IFERROR(__xludf.DUMMYFUNCTION("ifna(VALUE(REGEXEXTRACT(E369,""[0-9.]+[,]+[0-9]+"")))"),"")</f>
        <v/>
      </c>
      <c r="N369" s="185"/>
      <c r="O369" s="185"/>
      <c r="P369" s="185"/>
      <c r="Q369" s="185"/>
      <c r="R369" s="185"/>
      <c r="S369" s="185"/>
      <c r="T369" s="185"/>
      <c r="U369" s="185"/>
      <c r="V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184" t="str">
        <f>IFERROR(__xludf.DUMMYFUNCTION("ifna(IF(and(D370=""Saída"",J370=""Sangria""),if(sum(QUERY(IMPORTRANGE(""https://docs.google.com/spreadsheets/d/1E4szPcLzsqlw4uyBAoJ61L1ChCgpz4wVP8tHfHW1g_c"",""BD M Sangrias!a:i""),""select Col6 where Col7 = 'Depositada' and Col9 = '""&amp;K370&amp;""' and Col6 ="&amp;" ""&amp;M370&amp;"" and Col4 = date '""&amp;YEAR(C370)&amp;""-""&amp;MONTH(C370)&amp;""-""&amp;DAY(C370)&amp;""'""))&gt;0,""Depositada"",if(sum(QUERY(IMPORTRANGE(""https://docs.google.com/spreadsheets/d/1EcLIvUgMoBC5as4ikW0wuQsGH5yVZ6cQ1y16qEfgPnk"",""BD M Sangrias!a:i""),""select Col6 whe"&amp;"re Col7 = 'Caixa Atendimento' and Col9 = '""&amp;K370&amp;""' and Col6 = ""&amp;M370&amp;"" and Col4 = date '""&amp;YEAR(C370)&amp;""-""&amp;MONTH(C370)&amp;""-""&amp;DAY(C370)&amp;""'""))&gt;0,""Caixa Atendimento"",""Caixa Sangria"")),""""),""Caixa Sangria"")"),"")</f>
        <v/>
      </c>
      <c r="M370" s="185" t="str">
        <f>IFERROR(__xludf.DUMMYFUNCTION("ifna(VALUE(REGEXEXTRACT(E370,""[0-9.]+[,]+[0-9]+"")))"),"")</f>
        <v/>
      </c>
      <c r="N370" s="185"/>
      <c r="O370" s="185"/>
      <c r="P370" s="185"/>
      <c r="Q370" s="185"/>
      <c r="R370" s="185"/>
      <c r="S370" s="185"/>
      <c r="T370" s="185"/>
      <c r="U370" s="185"/>
      <c r="V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184" t="str">
        <f>IFERROR(__xludf.DUMMYFUNCTION("ifna(IF(and(D371=""Saída"",J371=""Sangria""),if(sum(QUERY(IMPORTRANGE(""https://docs.google.com/spreadsheets/d/1E4szPcLzsqlw4uyBAoJ61L1ChCgpz4wVP8tHfHW1g_c"",""BD M Sangrias!a:i""),""select Col6 where Col7 = 'Depositada' and Col9 = '""&amp;K371&amp;""' and Col6 ="&amp;" ""&amp;M371&amp;"" and Col4 = date '""&amp;YEAR(C371)&amp;""-""&amp;MONTH(C371)&amp;""-""&amp;DAY(C371)&amp;""'""))&gt;0,""Depositada"",if(sum(QUERY(IMPORTRANGE(""https://docs.google.com/spreadsheets/d/1EcLIvUgMoBC5as4ikW0wuQsGH5yVZ6cQ1y16qEfgPnk"",""BD M Sangrias!a:i""),""select Col6 whe"&amp;"re Col7 = 'Caixa Atendimento' and Col9 = '""&amp;K371&amp;""' and Col6 = ""&amp;M371&amp;"" and Col4 = date '""&amp;YEAR(C371)&amp;""-""&amp;MONTH(C371)&amp;""-""&amp;DAY(C371)&amp;""'""))&gt;0,""Caixa Atendimento"",""Caixa Sangria"")),""""),""Caixa Sangria"")"),"")</f>
        <v/>
      </c>
      <c r="M371" s="185" t="str">
        <f>IFERROR(__xludf.DUMMYFUNCTION("ifna(VALUE(REGEXEXTRACT(E371,""[0-9.]+[,]+[0-9]+"")))"),"")</f>
        <v/>
      </c>
      <c r="N371" s="185"/>
      <c r="O371" s="185"/>
      <c r="P371" s="185"/>
      <c r="Q371" s="185"/>
      <c r="R371" s="185"/>
      <c r="S371" s="185"/>
      <c r="T371" s="185"/>
      <c r="U371" s="185"/>
      <c r="V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184" t="str">
        <f>IFERROR(__xludf.DUMMYFUNCTION("ifna(IF(and(D372=""Saída"",J372=""Sangria""),if(sum(QUERY(IMPORTRANGE(""https://docs.google.com/spreadsheets/d/1E4szPcLzsqlw4uyBAoJ61L1ChCgpz4wVP8tHfHW1g_c"",""BD M Sangrias!a:i""),""select Col6 where Col7 = 'Depositada' and Col9 = '""&amp;K372&amp;""' and Col6 ="&amp;" ""&amp;M372&amp;"" and Col4 = date '""&amp;YEAR(C372)&amp;""-""&amp;MONTH(C372)&amp;""-""&amp;DAY(C372)&amp;""'""))&gt;0,""Depositada"",if(sum(QUERY(IMPORTRANGE(""https://docs.google.com/spreadsheets/d/1EcLIvUgMoBC5as4ikW0wuQsGH5yVZ6cQ1y16qEfgPnk"",""BD M Sangrias!a:i""),""select Col6 whe"&amp;"re Col7 = 'Caixa Atendimento' and Col9 = '""&amp;K372&amp;""' and Col6 = ""&amp;M372&amp;"" and Col4 = date '""&amp;YEAR(C372)&amp;""-""&amp;MONTH(C372)&amp;""-""&amp;DAY(C372)&amp;""'""))&gt;0,""Caixa Atendimento"",""Caixa Sangria"")),""""),""Caixa Sangria"")"),"")</f>
        <v/>
      </c>
      <c r="M372" s="185" t="str">
        <f>IFERROR(__xludf.DUMMYFUNCTION("ifna(VALUE(REGEXEXTRACT(E372,""[0-9.]+[,]+[0-9]+"")))"),"")</f>
        <v/>
      </c>
      <c r="N372" s="185"/>
      <c r="O372" s="185"/>
      <c r="P372" s="185"/>
      <c r="Q372" s="185"/>
      <c r="R372" s="185"/>
      <c r="S372" s="185"/>
      <c r="T372" s="185"/>
      <c r="U372" s="185"/>
      <c r="V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184" t="str">
        <f>IFERROR(__xludf.DUMMYFUNCTION("ifna(IF(and(D373=""Saída"",J373=""Sangria""),if(sum(QUERY(IMPORTRANGE(""https://docs.google.com/spreadsheets/d/1E4szPcLzsqlw4uyBAoJ61L1ChCgpz4wVP8tHfHW1g_c"",""BD M Sangrias!a:i""),""select Col6 where Col7 = 'Depositada' and Col9 = '""&amp;K373&amp;""' and Col6 ="&amp;" ""&amp;M373&amp;"" and Col4 = date '""&amp;YEAR(C373)&amp;""-""&amp;MONTH(C373)&amp;""-""&amp;DAY(C373)&amp;""'""))&gt;0,""Depositada"",if(sum(QUERY(IMPORTRANGE(""https://docs.google.com/spreadsheets/d/1EcLIvUgMoBC5as4ikW0wuQsGH5yVZ6cQ1y16qEfgPnk"",""BD M Sangrias!a:i""),""select Col6 whe"&amp;"re Col7 = 'Caixa Atendimento' and Col9 = '""&amp;K373&amp;""' and Col6 = ""&amp;M373&amp;"" and Col4 = date '""&amp;YEAR(C373)&amp;""-""&amp;MONTH(C373)&amp;""-""&amp;DAY(C373)&amp;""'""))&gt;0,""Caixa Atendimento"",""Caixa Sangria"")),""""),""Caixa Sangria"")"),"")</f>
        <v/>
      </c>
      <c r="M373" s="185" t="str">
        <f>IFERROR(__xludf.DUMMYFUNCTION("ifna(VALUE(REGEXEXTRACT(E373,""[0-9.]+[,]+[0-9]+"")))"),"")</f>
        <v/>
      </c>
      <c r="N373" s="185"/>
      <c r="O373" s="185"/>
      <c r="P373" s="185"/>
      <c r="Q373" s="185"/>
      <c r="R373" s="185"/>
      <c r="S373" s="185"/>
      <c r="T373" s="185"/>
      <c r="U373" s="185"/>
      <c r="V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184" t="str">
        <f>IFERROR(__xludf.DUMMYFUNCTION("ifna(IF(and(D374=""Saída"",J374=""Sangria""),if(sum(QUERY(IMPORTRANGE(""https://docs.google.com/spreadsheets/d/1E4szPcLzsqlw4uyBAoJ61L1ChCgpz4wVP8tHfHW1g_c"",""BD M Sangrias!a:i""),""select Col6 where Col7 = 'Depositada' and Col9 = '""&amp;K374&amp;""' and Col6 ="&amp;" ""&amp;M374&amp;"" and Col4 = date '""&amp;YEAR(C374)&amp;""-""&amp;MONTH(C374)&amp;""-""&amp;DAY(C374)&amp;""'""))&gt;0,""Depositada"",if(sum(QUERY(IMPORTRANGE(""https://docs.google.com/spreadsheets/d/1EcLIvUgMoBC5as4ikW0wuQsGH5yVZ6cQ1y16qEfgPnk"",""BD M Sangrias!a:i""),""select Col6 whe"&amp;"re Col7 = 'Caixa Atendimento' and Col9 = '""&amp;K374&amp;""' and Col6 = ""&amp;M374&amp;"" and Col4 = date '""&amp;YEAR(C374)&amp;""-""&amp;MONTH(C374)&amp;""-""&amp;DAY(C374)&amp;""'""))&gt;0,""Caixa Atendimento"",""Caixa Sangria"")),""""),""Caixa Sangria"")"),"")</f>
        <v/>
      </c>
      <c r="M374" s="185" t="str">
        <f>IFERROR(__xludf.DUMMYFUNCTION("ifna(VALUE(REGEXEXTRACT(E374,""[0-9.]+[,]+[0-9]+"")))"),"")</f>
        <v/>
      </c>
      <c r="N374" s="185"/>
      <c r="O374" s="185"/>
      <c r="P374" s="185"/>
      <c r="Q374" s="185"/>
      <c r="R374" s="185"/>
      <c r="S374" s="185"/>
      <c r="T374" s="185"/>
      <c r="U374" s="185"/>
      <c r="V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184" t="str">
        <f>IFERROR(__xludf.DUMMYFUNCTION("ifna(IF(and(D375=""Saída"",J375=""Sangria""),if(sum(QUERY(IMPORTRANGE(""https://docs.google.com/spreadsheets/d/1E4szPcLzsqlw4uyBAoJ61L1ChCgpz4wVP8tHfHW1g_c"",""BD M Sangrias!a:i""),""select Col6 where Col7 = 'Depositada' and Col9 = '""&amp;K375&amp;""' and Col6 ="&amp;" ""&amp;M375&amp;"" and Col4 = date '""&amp;YEAR(C375)&amp;""-""&amp;MONTH(C375)&amp;""-""&amp;DAY(C375)&amp;""'""))&gt;0,""Depositada"",if(sum(QUERY(IMPORTRANGE(""https://docs.google.com/spreadsheets/d/1EcLIvUgMoBC5as4ikW0wuQsGH5yVZ6cQ1y16qEfgPnk"",""BD M Sangrias!a:i""),""select Col6 whe"&amp;"re Col7 = 'Caixa Atendimento' and Col9 = '""&amp;K375&amp;""' and Col6 = ""&amp;M375&amp;"" and Col4 = date '""&amp;YEAR(C375)&amp;""-""&amp;MONTH(C375)&amp;""-""&amp;DAY(C375)&amp;""'""))&gt;0,""Caixa Atendimento"",""Caixa Sangria"")),""""),""Caixa Sangria"")"),"")</f>
        <v/>
      </c>
      <c r="M375" s="185" t="str">
        <f>IFERROR(__xludf.DUMMYFUNCTION("ifna(VALUE(REGEXEXTRACT(E375,""[0-9.]+[,]+[0-9]+"")))"),"")</f>
        <v/>
      </c>
      <c r="N375" s="185"/>
      <c r="O375" s="185"/>
      <c r="P375" s="185"/>
      <c r="Q375" s="185"/>
      <c r="R375" s="185"/>
      <c r="S375" s="185"/>
      <c r="T375" s="185"/>
      <c r="U375" s="185"/>
      <c r="V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184" t="str">
        <f>IFERROR(__xludf.DUMMYFUNCTION("ifna(IF(and(D376=""Saída"",J376=""Sangria""),if(sum(QUERY(IMPORTRANGE(""https://docs.google.com/spreadsheets/d/1E4szPcLzsqlw4uyBAoJ61L1ChCgpz4wVP8tHfHW1g_c"",""BD M Sangrias!a:i""),""select Col6 where Col7 = 'Depositada' and Col9 = '""&amp;K376&amp;""' and Col6 ="&amp;" ""&amp;M376&amp;"" and Col4 = date '""&amp;YEAR(C376)&amp;""-""&amp;MONTH(C376)&amp;""-""&amp;DAY(C376)&amp;""'""))&gt;0,""Depositada"",if(sum(QUERY(IMPORTRANGE(""https://docs.google.com/spreadsheets/d/1EcLIvUgMoBC5as4ikW0wuQsGH5yVZ6cQ1y16qEfgPnk"",""BD M Sangrias!a:i""),""select Col6 whe"&amp;"re Col7 = 'Caixa Atendimento' and Col9 = '""&amp;K376&amp;""' and Col6 = ""&amp;M376&amp;"" and Col4 = date '""&amp;YEAR(C376)&amp;""-""&amp;MONTH(C376)&amp;""-""&amp;DAY(C376)&amp;""'""))&gt;0,""Caixa Atendimento"",""Caixa Sangria"")),""""),""Caixa Sangria"")"),"")</f>
        <v/>
      </c>
      <c r="M376" s="185" t="str">
        <f>IFERROR(__xludf.DUMMYFUNCTION("ifna(VALUE(REGEXEXTRACT(E376,""[0-9.]+[,]+[0-9]+"")))"),"")</f>
        <v/>
      </c>
      <c r="N376" s="185"/>
      <c r="O376" s="185"/>
      <c r="P376" s="185"/>
      <c r="Q376" s="185"/>
      <c r="R376" s="185"/>
      <c r="S376" s="185"/>
      <c r="T376" s="185"/>
      <c r="U376" s="185"/>
      <c r="V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184" t="str">
        <f>IFERROR(__xludf.DUMMYFUNCTION("ifna(IF(and(D377=""Saída"",J377=""Sangria""),if(sum(QUERY(IMPORTRANGE(""https://docs.google.com/spreadsheets/d/1E4szPcLzsqlw4uyBAoJ61L1ChCgpz4wVP8tHfHW1g_c"",""BD M Sangrias!a:i""),""select Col6 where Col7 = 'Depositada' and Col9 = '""&amp;K377&amp;""' and Col6 ="&amp;" ""&amp;M377&amp;"" and Col4 = date '""&amp;YEAR(C377)&amp;""-""&amp;MONTH(C377)&amp;""-""&amp;DAY(C377)&amp;""'""))&gt;0,""Depositada"",if(sum(QUERY(IMPORTRANGE(""https://docs.google.com/spreadsheets/d/1EcLIvUgMoBC5as4ikW0wuQsGH5yVZ6cQ1y16qEfgPnk"",""BD M Sangrias!a:i""),""select Col6 whe"&amp;"re Col7 = 'Caixa Atendimento' and Col9 = '""&amp;K377&amp;""' and Col6 = ""&amp;M377&amp;"" and Col4 = date '""&amp;YEAR(C377)&amp;""-""&amp;MONTH(C377)&amp;""-""&amp;DAY(C377)&amp;""'""))&gt;0,""Caixa Atendimento"",""Caixa Sangria"")),""""),""Caixa Sangria"")"),"")</f>
        <v/>
      </c>
      <c r="M377" s="185" t="str">
        <f>IFERROR(__xludf.DUMMYFUNCTION("ifna(VALUE(REGEXEXTRACT(E377,""[0-9.]+[,]+[0-9]+"")))"),"")</f>
        <v/>
      </c>
      <c r="N377" s="185"/>
      <c r="O377" s="185"/>
      <c r="P377" s="185"/>
      <c r="Q377" s="185"/>
      <c r="R377" s="185"/>
      <c r="S377" s="185"/>
      <c r="T377" s="185"/>
      <c r="U377" s="185"/>
      <c r="V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184" t="str">
        <f>IFERROR(__xludf.DUMMYFUNCTION("ifna(IF(and(D378=""Saída"",J378=""Sangria""),if(sum(QUERY(IMPORTRANGE(""https://docs.google.com/spreadsheets/d/1E4szPcLzsqlw4uyBAoJ61L1ChCgpz4wVP8tHfHW1g_c"",""BD M Sangrias!a:i""),""select Col6 where Col7 = 'Depositada' and Col9 = '""&amp;K378&amp;""' and Col6 ="&amp;" ""&amp;M378&amp;"" and Col4 = date '""&amp;YEAR(C378)&amp;""-""&amp;MONTH(C378)&amp;""-""&amp;DAY(C378)&amp;""'""))&gt;0,""Depositada"",if(sum(QUERY(IMPORTRANGE(""https://docs.google.com/spreadsheets/d/1EcLIvUgMoBC5as4ikW0wuQsGH5yVZ6cQ1y16qEfgPnk"",""BD M Sangrias!a:i""),""select Col6 whe"&amp;"re Col7 = 'Caixa Atendimento' and Col9 = '""&amp;K378&amp;""' and Col6 = ""&amp;M378&amp;"" and Col4 = date '""&amp;YEAR(C378)&amp;""-""&amp;MONTH(C378)&amp;""-""&amp;DAY(C378)&amp;""'""))&gt;0,""Caixa Atendimento"",""Caixa Sangria"")),""""),""Caixa Sangria"")"),"")</f>
        <v/>
      </c>
      <c r="M378" s="185" t="str">
        <f>IFERROR(__xludf.DUMMYFUNCTION("ifna(VALUE(REGEXEXTRACT(E378,""[0-9.]+[,]+[0-9]+"")))"),"")</f>
        <v/>
      </c>
      <c r="N378" s="185"/>
      <c r="O378" s="185"/>
      <c r="P378" s="185"/>
      <c r="Q378" s="185"/>
      <c r="R378" s="185"/>
      <c r="S378" s="185"/>
      <c r="T378" s="185"/>
      <c r="U378" s="185"/>
      <c r="V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184" t="str">
        <f>IFERROR(__xludf.DUMMYFUNCTION("ifna(IF(and(D379=""Saída"",J379=""Sangria""),if(sum(QUERY(IMPORTRANGE(""https://docs.google.com/spreadsheets/d/1E4szPcLzsqlw4uyBAoJ61L1ChCgpz4wVP8tHfHW1g_c"",""BD M Sangrias!a:i""),""select Col6 where Col7 = 'Depositada' and Col9 = '""&amp;K379&amp;""' and Col6 ="&amp;" ""&amp;M379&amp;"" and Col4 = date '""&amp;YEAR(C379)&amp;""-""&amp;MONTH(C379)&amp;""-""&amp;DAY(C379)&amp;""'""))&gt;0,""Depositada"",if(sum(QUERY(IMPORTRANGE(""https://docs.google.com/spreadsheets/d/1EcLIvUgMoBC5as4ikW0wuQsGH5yVZ6cQ1y16qEfgPnk"",""BD M Sangrias!a:i""),""select Col6 whe"&amp;"re Col7 = 'Caixa Atendimento' and Col9 = '""&amp;K379&amp;""' and Col6 = ""&amp;M379&amp;"" and Col4 = date '""&amp;YEAR(C379)&amp;""-""&amp;MONTH(C379)&amp;""-""&amp;DAY(C379)&amp;""'""))&gt;0,""Caixa Atendimento"",""Caixa Sangria"")),""""),""Caixa Sangria"")"),"")</f>
        <v/>
      </c>
      <c r="M379" s="185" t="str">
        <f>IFERROR(__xludf.DUMMYFUNCTION("ifna(VALUE(REGEXEXTRACT(E379,""[0-9.]+[,]+[0-9]+"")))"),"")</f>
        <v/>
      </c>
      <c r="N379" s="185"/>
      <c r="O379" s="185"/>
      <c r="P379" s="185"/>
      <c r="Q379" s="185"/>
      <c r="R379" s="185"/>
      <c r="S379" s="185"/>
      <c r="T379" s="185"/>
      <c r="U379" s="185"/>
      <c r="V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184" t="str">
        <f>IFERROR(__xludf.DUMMYFUNCTION("ifna(IF(and(D380=""Saída"",J380=""Sangria""),if(sum(QUERY(IMPORTRANGE(""https://docs.google.com/spreadsheets/d/1E4szPcLzsqlw4uyBAoJ61L1ChCgpz4wVP8tHfHW1g_c"",""BD M Sangrias!a:i""),""select Col6 where Col7 = 'Depositada' and Col9 = '""&amp;K380&amp;""' and Col6 ="&amp;" ""&amp;M380&amp;"" and Col4 = date '""&amp;YEAR(C380)&amp;""-""&amp;MONTH(C380)&amp;""-""&amp;DAY(C380)&amp;""'""))&gt;0,""Depositada"",if(sum(QUERY(IMPORTRANGE(""https://docs.google.com/spreadsheets/d/1EcLIvUgMoBC5as4ikW0wuQsGH5yVZ6cQ1y16qEfgPnk"",""BD M Sangrias!a:i""),""select Col6 whe"&amp;"re Col7 = 'Caixa Atendimento' and Col9 = '""&amp;K380&amp;""' and Col6 = ""&amp;M380&amp;"" and Col4 = date '""&amp;YEAR(C380)&amp;""-""&amp;MONTH(C380)&amp;""-""&amp;DAY(C380)&amp;""'""))&gt;0,""Caixa Atendimento"",""Caixa Sangria"")),""""),""Caixa Sangria"")"),"")</f>
        <v/>
      </c>
      <c r="M380" s="185" t="str">
        <f>IFERROR(__xludf.DUMMYFUNCTION("ifna(VALUE(REGEXEXTRACT(E380,""[0-9.]+[,]+[0-9]+"")))"),"")</f>
        <v/>
      </c>
      <c r="N380" s="185"/>
      <c r="O380" s="185"/>
      <c r="P380" s="185"/>
      <c r="Q380" s="185"/>
      <c r="R380" s="185"/>
      <c r="S380" s="185"/>
      <c r="T380" s="185"/>
      <c r="U380" s="185"/>
      <c r="V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184" t="str">
        <f>IFERROR(__xludf.DUMMYFUNCTION("ifna(IF(and(D381=""Saída"",J381=""Sangria""),if(sum(QUERY(IMPORTRANGE(""https://docs.google.com/spreadsheets/d/1E4szPcLzsqlw4uyBAoJ61L1ChCgpz4wVP8tHfHW1g_c"",""BD M Sangrias!a:i""),""select Col6 where Col7 = 'Depositada' and Col9 = '""&amp;K381&amp;""' and Col6 ="&amp;" ""&amp;M381&amp;"" and Col4 = date '""&amp;YEAR(C381)&amp;""-""&amp;MONTH(C381)&amp;""-""&amp;DAY(C381)&amp;""'""))&gt;0,""Depositada"",if(sum(QUERY(IMPORTRANGE(""https://docs.google.com/spreadsheets/d/1EcLIvUgMoBC5as4ikW0wuQsGH5yVZ6cQ1y16qEfgPnk"",""BD M Sangrias!a:i""),""select Col6 whe"&amp;"re Col7 = 'Caixa Atendimento' and Col9 = '""&amp;K381&amp;""' and Col6 = ""&amp;M381&amp;"" and Col4 = date '""&amp;YEAR(C381)&amp;""-""&amp;MONTH(C381)&amp;""-""&amp;DAY(C381)&amp;""'""))&gt;0,""Caixa Atendimento"",""Caixa Sangria"")),""""),""Caixa Sangria"")"),"")</f>
        <v/>
      </c>
      <c r="M381" s="185" t="str">
        <f>IFERROR(__xludf.DUMMYFUNCTION("ifna(VALUE(REGEXEXTRACT(E381,""[0-9.]+[,]+[0-9]+"")))"),"")</f>
        <v/>
      </c>
      <c r="N381" s="185"/>
      <c r="O381" s="185"/>
      <c r="P381" s="185"/>
      <c r="Q381" s="185"/>
      <c r="R381" s="185"/>
      <c r="S381" s="185"/>
      <c r="T381" s="185"/>
      <c r="U381" s="185"/>
      <c r="V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184" t="str">
        <f>IFERROR(__xludf.DUMMYFUNCTION("ifna(IF(and(D382=""Saída"",J382=""Sangria""),if(sum(QUERY(IMPORTRANGE(""https://docs.google.com/spreadsheets/d/1E4szPcLzsqlw4uyBAoJ61L1ChCgpz4wVP8tHfHW1g_c"",""BD M Sangrias!a:i""),""select Col6 where Col7 = 'Depositada' and Col9 = '""&amp;K382&amp;""' and Col6 ="&amp;" ""&amp;M382&amp;"" and Col4 = date '""&amp;YEAR(C382)&amp;""-""&amp;MONTH(C382)&amp;""-""&amp;DAY(C382)&amp;""'""))&gt;0,""Depositada"",if(sum(QUERY(IMPORTRANGE(""https://docs.google.com/spreadsheets/d/1EcLIvUgMoBC5as4ikW0wuQsGH5yVZ6cQ1y16qEfgPnk"",""BD M Sangrias!a:i""),""select Col6 whe"&amp;"re Col7 = 'Caixa Atendimento' and Col9 = '""&amp;K382&amp;""' and Col6 = ""&amp;M382&amp;"" and Col4 = date '""&amp;YEAR(C382)&amp;""-""&amp;MONTH(C382)&amp;""-""&amp;DAY(C382)&amp;""'""))&gt;0,""Caixa Atendimento"",""Caixa Sangria"")),""""),""Caixa Sangria"")"),"")</f>
        <v/>
      </c>
      <c r="M382" s="185" t="str">
        <f>IFERROR(__xludf.DUMMYFUNCTION("ifna(VALUE(REGEXEXTRACT(E382,""[0-9.]+[,]+[0-9]+"")))"),"")</f>
        <v/>
      </c>
      <c r="N382" s="185"/>
      <c r="O382" s="185"/>
      <c r="P382" s="185"/>
      <c r="Q382" s="185"/>
      <c r="R382" s="185"/>
      <c r="S382" s="185"/>
      <c r="T382" s="185"/>
      <c r="U382" s="185"/>
      <c r="V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184" t="str">
        <f>IFERROR(__xludf.DUMMYFUNCTION("ifna(IF(and(D383=""Saída"",J383=""Sangria""),if(sum(QUERY(IMPORTRANGE(""https://docs.google.com/spreadsheets/d/1E4szPcLzsqlw4uyBAoJ61L1ChCgpz4wVP8tHfHW1g_c"",""BD M Sangrias!a:i""),""select Col6 where Col7 = 'Depositada' and Col9 = '""&amp;K383&amp;""' and Col6 ="&amp;" ""&amp;M383&amp;"" and Col4 = date '""&amp;YEAR(C383)&amp;""-""&amp;MONTH(C383)&amp;""-""&amp;DAY(C383)&amp;""'""))&gt;0,""Depositada"",if(sum(QUERY(IMPORTRANGE(""https://docs.google.com/spreadsheets/d/1EcLIvUgMoBC5as4ikW0wuQsGH5yVZ6cQ1y16qEfgPnk"",""BD M Sangrias!a:i""),""select Col6 whe"&amp;"re Col7 = 'Caixa Atendimento' and Col9 = '""&amp;K383&amp;""' and Col6 = ""&amp;M383&amp;"" and Col4 = date '""&amp;YEAR(C383)&amp;""-""&amp;MONTH(C383)&amp;""-""&amp;DAY(C383)&amp;""'""))&gt;0,""Caixa Atendimento"",""Caixa Sangria"")),""""),""Caixa Sangria"")"),"")</f>
        <v/>
      </c>
      <c r="M383" s="185" t="str">
        <f>IFERROR(__xludf.DUMMYFUNCTION("ifna(VALUE(REGEXEXTRACT(E383,""[0-9.]+[,]+[0-9]+"")))"),"")</f>
        <v/>
      </c>
      <c r="N383" s="185"/>
      <c r="O383" s="185"/>
      <c r="P383" s="185"/>
      <c r="Q383" s="185"/>
      <c r="R383" s="185"/>
      <c r="S383" s="185"/>
      <c r="T383" s="185"/>
      <c r="U383" s="185"/>
      <c r="V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184" t="str">
        <f>IFERROR(__xludf.DUMMYFUNCTION("ifna(IF(and(D384=""Saída"",J384=""Sangria""),if(sum(QUERY(IMPORTRANGE(""https://docs.google.com/spreadsheets/d/1E4szPcLzsqlw4uyBAoJ61L1ChCgpz4wVP8tHfHW1g_c"",""BD M Sangrias!a:i""),""select Col6 where Col7 = 'Depositada' and Col9 = '""&amp;K384&amp;""' and Col6 ="&amp;" ""&amp;M384&amp;"" and Col4 = date '""&amp;YEAR(C384)&amp;""-""&amp;MONTH(C384)&amp;""-""&amp;DAY(C384)&amp;""'""))&gt;0,""Depositada"",if(sum(QUERY(IMPORTRANGE(""https://docs.google.com/spreadsheets/d/1EcLIvUgMoBC5as4ikW0wuQsGH5yVZ6cQ1y16qEfgPnk"",""BD M Sangrias!a:i""),""select Col6 whe"&amp;"re Col7 = 'Caixa Atendimento' and Col9 = '""&amp;K384&amp;""' and Col6 = ""&amp;M384&amp;"" and Col4 = date '""&amp;YEAR(C384)&amp;""-""&amp;MONTH(C384)&amp;""-""&amp;DAY(C384)&amp;""'""))&gt;0,""Caixa Atendimento"",""Caixa Sangria"")),""""),""Caixa Sangria"")"),"")</f>
        <v/>
      </c>
      <c r="M384" s="185" t="str">
        <f>IFERROR(__xludf.DUMMYFUNCTION("ifna(VALUE(REGEXEXTRACT(E384,""[0-9.]+[,]+[0-9]+"")))"),"")</f>
        <v/>
      </c>
      <c r="N384" s="185"/>
      <c r="O384" s="185"/>
      <c r="P384" s="185"/>
      <c r="Q384" s="185"/>
      <c r="R384" s="185"/>
      <c r="S384" s="185"/>
      <c r="T384" s="185"/>
      <c r="U384" s="185"/>
      <c r="V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184" t="str">
        <f>IFERROR(__xludf.DUMMYFUNCTION("ifna(IF(and(D385=""Saída"",J385=""Sangria""),if(sum(QUERY(IMPORTRANGE(""https://docs.google.com/spreadsheets/d/1E4szPcLzsqlw4uyBAoJ61L1ChCgpz4wVP8tHfHW1g_c"",""BD M Sangrias!a:i""),""select Col6 where Col7 = 'Depositada' and Col9 = '""&amp;K385&amp;""' and Col6 ="&amp;" ""&amp;M385&amp;"" and Col4 = date '""&amp;YEAR(C385)&amp;""-""&amp;MONTH(C385)&amp;""-""&amp;DAY(C385)&amp;""'""))&gt;0,""Depositada"",if(sum(QUERY(IMPORTRANGE(""https://docs.google.com/spreadsheets/d/1EcLIvUgMoBC5as4ikW0wuQsGH5yVZ6cQ1y16qEfgPnk"",""BD M Sangrias!a:i""),""select Col6 whe"&amp;"re Col7 = 'Caixa Atendimento' and Col9 = '""&amp;K385&amp;""' and Col6 = ""&amp;M385&amp;"" and Col4 = date '""&amp;YEAR(C385)&amp;""-""&amp;MONTH(C385)&amp;""-""&amp;DAY(C385)&amp;""'""))&gt;0,""Caixa Atendimento"",""Caixa Sangria"")),""""),""Caixa Sangria"")"),"")</f>
        <v/>
      </c>
      <c r="M385" s="185" t="str">
        <f>IFERROR(__xludf.DUMMYFUNCTION("ifna(VALUE(REGEXEXTRACT(E385,""[0-9.]+[,]+[0-9]+"")))"),"")</f>
        <v/>
      </c>
      <c r="N385" s="185"/>
      <c r="O385" s="185"/>
      <c r="P385" s="185"/>
      <c r="Q385" s="185"/>
      <c r="R385" s="185"/>
      <c r="S385" s="185"/>
      <c r="T385" s="185"/>
      <c r="U385" s="185"/>
      <c r="V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184" t="str">
        <f>IFERROR(__xludf.DUMMYFUNCTION("ifna(IF(and(D386=""Saída"",J386=""Sangria""),if(sum(QUERY(IMPORTRANGE(""https://docs.google.com/spreadsheets/d/1E4szPcLzsqlw4uyBAoJ61L1ChCgpz4wVP8tHfHW1g_c"",""BD M Sangrias!a:i""),""select Col6 where Col7 = 'Depositada' and Col9 = '""&amp;K386&amp;""' and Col6 ="&amp;" ""&amp;M386&amp;"" and Col4 = date '""&amp;YEAR(C386)&amp;""-""&amp;MONTH(C386)&amp;""-""&amp;DAY(C386)&amp;""'""))&gt;0,""Depositada"",if(sum(QUERY(IMPORTRANGE(""https://docs.google.com/spreadsheets/d/1EcLIvUgMoBC5as4ikW0wuQsGH5yVZ6cQ1y16qEfgPnk"",""BD M Sangrias!a:i""),""select Col6 whe"&amp;"re Col7 = 'Caixa Atendimento' and Col9 = '""&amp;K386&amp;""' and Col6 = ""&amp;M386&amp;"" and Col4 = date '""&amp;YEAR(C386)&amp;""-""&amp;MONTH(C386)&amp;""-""&amp;DAY(C386)&amp;""'""))&gt;0,""Caixa Atendimento"",""Caixa Sangria"")),""""),""Caixa Sangria"")"),"")</f>
        <v/>
      </c>
      <c r="M386" s="185" t="str">
        <f>IFERROR(__xludf.DUMMYFUNCTION("ifna(VALUE(REGEXEXTRACT(E386,""[0-9.]+[,]+[0-9]+"")))"),"")</f>
        <v/>
      </c>
      <c r="N386" s="185"/>
      <c r="O386" s="185"/>
      <c r="P386" s="185"/>
      <c r="Q386" s="185"/>
      <c r="R386" s="185"/>
      <c r="S386" s="185"/>
      <c r="T386" s="185"/>
      <c r="U386" s="185"/>
      <c r="V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184" t="str">
        <f>IFERROR(__xludf.DUMMYFUNCTION("ifna(IF(and(D387=""Saída"",J387=""Sangria""),if(sum(QUERY(IMPORTRANGE(""https://docs.google.com/spreadsheets/d/1E4szPcLzsqlw4uyBAoJ61L1ChCgpz4wVP8tHfHW1g_c"",""BD M Sangrias!a:i""),""select Col6 where Col7 = 'Depositada' and Col9 = '""&amp;K387&amp;""' and Col6 ="&amp;" ""&amp;M387&amp;"" and Col4 = date '""&amp;YEAR(C387)&amp;""-""&amp;MONTH(C387)&amp;""-""&amp;DAY(C387)&amp;""'""))&gt;0,""Depositada"",if(sum(QUERY(IMPORTRANGE(""https://docs.google.com/spreadsheets/d/1EcLIvUgMoBC5as4ikW0wuQsGH5yVZ6cQ1y16qEfgPnk"",""BD M Sangrias!a:i""),""select Col6 whe"&amp;"re Col7 = 'Caixa Atendimento' and Col9 = '""&amp;K387&amp;""' and Col6 = ""&amp;M387&amp;"" and Col4 = date '""&amp;YEAR(C387)&amp;""-""&amp;MONTH(C387)&amp;""-""&amp;DAY(C387)&amp;""'""))&gt;0,""Caixa Atendimento"",""Caixa Sangria"")),""""),""Caixa Sangria"")"),"")</f>
        <v/>
      </c>
      <c r="M387" s="185" t="str">
        <f>IFERROR(__xludf.DUMMYFUNCTION("ifna(VALUE(REGEXEXTRACT(E387,""[0-9.]+[,]+[0-9]+"")))"),"")</f>
        <v/>
      </c>
      <c r="N387" s="185"/>
      <c r="O387" s="185"/>
      <c r="P387" s="185"/>
      <c r="Q387" s="185"/>
      <c r="R387" s="185"/>
      <c r="S387" s="185"/>
      <c r="T387" s="185"/>
      <c r="U387" s="185"/>
      <c r="V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184" t="str">
        <f>IFERROR(__xludf.DUMMYFUNCTION("ifna(IF(and(D388=""Saída"",J388=""Sangria""),if(sum(QUERY(IMPORTRANGE(""https://docs.google.com/spreadsheets/d/1E4szPcLzsqlw4uyBAoJ61L1ChCgpz4wVP8tHfHW1g_c"",""BD M Sangrias!a:i""),""select Col6 where Col7 = 'Depositada' and Col9 = '""&amp;K388&amp;""' and Col6 ="&amp;" ""&amp;M388&amp;"" and Col4 = date '""&amp;YEAR(C388)&amp;""-""&amp;MONTH(C388)&amp;""-""&amp;DAY(C388)&amp;""'""))&gt;0,""Depositada"",if(sum(QUERY(IMPORTRANGE(""https://docs.google.com/spreadsheets/d/1EcLIvUgMoBC5as4ikW0wuQsGH5yVZ6cQ1y16qEfgPnk"",""BD M Sangrias!a:i""),""select Col6 whe"&amp;"re Col7 = 'Caixa Atendimento' and Col9 = '""&amp;K388&amp;""' and Col6 = ""&amp;M388&amp;"" and Col4 = date '""&amp;YEAR(C388)&amp;""-""&amp;MONTH(C388)&amp;""-""&amp;DAY(C388)&amp;""'""))&gt;0,""Caixa Atendimento"",""Caixa Sangria"")),""""),""Caixa Sangria"")"),"")</f>
        <v/>
      </c>
      <c r="M388" s="185" t="str">
        <f>IFERROR(__xludf.DUMMYFUNCTION("ifna(VALUE(REGEXEXTRACT(E388,""[0-9.]+[,]+[0-9]+"")))"),"")</f>
        <v/>
      </c>
      <c r="N388" s="185"/>
      <c r="O388" s="185"/>
      <c r="P388" s="185"/>
      <c r="Q388" s="185"/>
      <c r="R388" s="185"/>
      <c r="S388" s="185"/>
      <c r="T388" s="185"/>
      <c r="U388" s="185"/>
      <c r="V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184" t="str">
        <f>IFERROR(__xludf.DUMMYFUNCTION("ifna(IF(and(D389=""Saída"",J389=""Sangria""),if(sum(QUERY(IMPORTRANGE(""https://docs.google.com/spreadsheets/d/1E4szPcLzsqlw4uyBAoJ61L1ChCgpz4wVP8tHfHW1g_c"",""BD M Sangrias!a:i""),""select Col6 where Col7 = 'Depositada' and Col9 = '""&amp;K389&amp;""' and Col6 ="&amp;" ""&amp;M389&amp;"" and Col4 = date '""&amp;YEAR(C389)&amp;""-""&amp;MONTH(C389)&amp;""-""&amp;DAY(C389)&amp;""'""))&gt;0,""Depositada"",if(sum(QUERY(IMPORTRANGE(""https://docs.google.com/spreadsheets/d/1EcLIvUgMoBC5as4ikW0wuQsGH5yVZ6cQ1y16qEfgPnk"",""BD M Sangrias!a:i""),""select Col6 whe"&amp;"re Col7 = 'Caixa Atendimento' and Col9 = '""&amp;K389&amp;""' and Col6 = ""&amp;M389&amp;"" and Col4 = date '""&amp;YEAR(C389)&amp;""-""&amp;MONTH(C389)&amp;""-""&amp;DAY(C389)&amp;""'""))&gt;0,""Caixa Atendimento"",""Caixa Sangria"")),""""),""Caixa Sangria"")"),"")</f>
        <v/>
      </c>
      <c r="M389" s="185" t="str">
        <f>IFERROR(__xludf.DUMMYFUNCTION("ifna(VALUE(REGEXEXTRACT(E389,""[0-9.]+[,]+[0-9]+"")))"),"")</f>
        <v/>
      </c>
      <c r="N389" s="185"/>
      <c r="O389" s="185"/>
      <c r="P389" s="185"/>
      <c r="Q389" s="185"/>
      <c r="R389" s="185"/>
      <c r="S389" s="185"/>
      <c r="T389" s="185"/>
      <c r="U389" s="185"/>
      <c r="V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184" t="str">
        <f>IFERROR(__xludf.DUMMYFUNCTION("ifna(IF(and(D390=""Saída"",J390=""Sangria""),if(sum(QUERY(IMPORTRANGE(""https://docs.google.com/spreadsheets/d/1E4szPcLzsqlw4uyBAoJ61L1ChCgpz4wVP8tHfHW1g_c"",""BD M Sangrias!a:i""),""select Col6 where Col7 = 'Depositada' and Col9 = '""&amp;K390&amp;""' and Col6 ="&amp;" ""&amp;M390&amp;"" and Col4 = date '""&amp;YEAR(C390)&amp;""-""&amp;MONTH(C390)&amp;""-""&amp;DAY(C390)&amp;""'""))&gt;0,""Depositada"",if(sum(QUERY(IMPORTRANGE(""https://docs.google.com/spreadsheets/d/1EcLIvUgMoBC5as4ikW0wuQsGH5yVZ6cQ1y16qEfgPnk"",""BD M Sangrias!a:i""),""select Col6 whe"&amp;"re Col7 = 'Caixa Atendimento' and Col9 = '""&amp;K390&amp;""' and Col6 = ""&amp;M390&amp;"" and Col4 = date '""&amp;YEAR(C390)&amp;""-""&amp;MONTH(C390)&amp;""-""&amp;DAY(C390)&amp;""'""))&gt;0,""Caixa Atendimento"",""Caixa Sangria"")),""""),""Caixa Sangria"")"),"")</f>
        <v/>
      </c>
      <c r="M390" s="185" t="str">
        <f>IFERROR(__xludf.DUMMYFUNCTION("ifna(VALUE(REGEXEXTRACT(E390,""[0-9.]+[,]+[0-9]+"")))"),"")</f>
        <v/>
      </c>
      <c r="N390" s="185"/>
      <c r="O390" s="185"/>
      <c r="P390" s="185"/>
      <c r="Q390" s="185"/>
      <c r="R390" s="185"/>
      <c r="S390" s="185"/>
      <c r="T390" s="185"/>
      <c r="U390" s="185"/>
      <c r="V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184" t="str">
        <f>IFERROR(__xludf.DUMMYFUNCTION("ifna(IF(and(D391=""Saída"",J391=""Sangria""),if(sum(QUERY(IMPORTRANGE(""https://docs.google.com/spreadsheets/d/1E4szPcLzsqlw4uyBAoJ61L1ChCgpz4wVP8tHfHW1g_c"",""BD M Sangrias!a:i""),""select Col6 where Col7 = 'Depositada' and Col9 = '""&amp;K391&amp;""' and Col6 ="&amp;" ""&amp;M391&amp;"" and Col4 = date '""&amp;YEAR(C391)&amp;""-""&amp;MONTH(C391)&amp;""-""&amp;DAY(C391)&amp;""'""))&gt;0,""Depositada"",if(sum(QUERY(IMPORTRANGE(""https://docs.google.com/spreadsheets/d/1EcLIvUgMoBC5as4ikW0wuQsGH5yVZ6cQ1y16qEfgPnk"",""BD M Sangrias!a:i""),""select Col6 whe"&amp;"re Col7 = 'Caixa Atendimento' and Col9 = '""&amp;K391&amp;""' and Col6 = ""&amp;M391&amp;"" and Col4 = date '""&amp;YEAR(C391)&amp;""-""&amp;MONTH(C391)&amp;""-""&amp;DAY(C391)&amp;""'""))&gt;0,""Caixa Atendimento"",""Caixa Sangria"")),""""),""Caixa Sangria"")"),"")</f>
        <v/>
      </c>
      <c r="M391" s="185" t="str">
        <f>IFERROR(__xludf.DUMMYFUNCTION("ifna(VALUE(REGEXEXTRACT(E391,""[0-9.]+[,]+[0-9]+"")))"),"")</f>
        <v/>
      </c>
      <c r="N391" s="185"/>
      <c r="O391" s="185"/>
      <c r="P391" s="185"/>
      <c r="Q391" s="185"/>
      <c r="R391" s="185"/>
      <c r="S391" s="185"/>
      <c r="T391" s="185"/>
      <c r="U391" s="185"/>
      <c r="V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184" t="str">
        <f>IFERROR(__xludf.DUMMYFUNCTION("ifna(IF(and(D392=""Saída"",J392=""Sangria""),if(sum(QUERY(IMPORTRANGE(""https://docs.google.com/spreadsheets/d/1E4szPcLzsqlw4uyBAoJ61L1ChCgpz4wVP8tHfHW1g_c"",""BD M Sangrias!a:i""),""select Col6 where Col7 = 'Depositada' and Col9 = '""&amp;K392&amp;""' and Col6 ="&amp;" ""&amp;M392&amp;"" and Col4 = date '""&amp;YEAR(C392)&amp;""-""&amp;MONTH(C392)&amp;""-""&amp;DAY(C392)&amp;""'""))&gt;0,""Depositada"",if(sum(QUERY(IMPORTRANGE(""https://docs.google.com/spreadsheets/d/1EcLIvUgMoBC5as4ikW0wuQsGH5yVZ6cQ1y16qEfgPnk"",""BD M Sangrias!a:i""),""select Col6 whe"&amp;"re Col7 = 'Caixa Atendimento' and Col9 = '""&amp;K392&amp;""' and Col6 = ""&amp;M392&amp;"" and Col4 = date '""&amp;YEAR(C392)&amp;""-""&amp;MONTH(C392)&amp;""-""&amp;DAY(C392)&amp;""'""))&gt;0,""Caixa Atendimento"",""Caixa Sangria"")),""""),""Caixa Sangria"")"),"")</f>
        <v/>
      </c>
      <c r="M392" s="185" t="str">
        <f>IFERROR(__xludf.DUMMYFUNCTION("ifna(VALUE(REGEXEXTRACT(E392,""[0-9.]+[,]+[0-9]+"")))"),"")</f>
        <v/>
      </c>
      <c r="N392" s="185"/>
      <c r="O392" s="185"/>
      <c r="P392" s="185"/>
      <c r="Q392" s="185"/>
      <c r="R392" s="185"/>
      <c r="S392" s="185"/>
      <c r="T392" s="185"/>
      <c r="U392" s="185"/>
      <c r="V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184" t="str">
        <f>IFERROR(__xludf.DUMMYFUNCTION("ifna(IF(and(D393=""Saída"",J393=""Sangria""),if(sum(QUERY(IMPORTRANGE(""https://docs.google.com/spreadsheets/d/1E4szPcLzsqlw4uyBAoJ61L1ChCgpz4wVP8tHfHW1g_c"",""BD M Sangrias!a:i""),""select Col6 where Col7 = 'Depositada' and Col9 = '""&amp;K393&amp;""' and Col6 ="&amp;" ""&amp;M393&amp;"" and Col4 = date '""&amp;YEAR(C393)&amp;""-""&amp;MONTH(C393)&amp;""-""&amp;DAY(C393)&amp;""'""))&gt;0,""Depositada"",if(sum(QUERY(IMPORTRANGE(""https://docs.google.com/spreadsheets/d/1EcLIvUgMoBC5as4ikW0wuQsGH5yVZ6cQ1y16qEfgPnk"",""BD M Sangrias!a:i""),""select Col6 whe"&amp;"re Col7 = 'Caixa Atendimento' and Col9 = '""&amp;K393&amp;""' and Col6 = ""&amp;M393&amp;"" and Col4 = date '""&amp;YEAR(C393)&amp;""-""&amp;MONTH(C393)&amp;""-""&amp;DAY(C393)&amp;""'""))&gt;0,""Caixa Atendimento"",""Caixa Sangria"")),""""),""Caixa Sangria"")"),"")</f>
        <v/>
      </c>
      <c r="M393" s="185" t="str">
        <f>IFERROR(__xludf.DUMMYFUNCTION("ifna(VALUE(REGEXEXTRACT(E393,""[0-9.]+[,]+[0-9]+"")))"),"")</f>
        <v/>
      </c>
      <c r="N393" s="185"/>
      <c r="O393" s="185"/>
      <c r="P393" s="185"/>
      <c r="Q393" s="185"/>
      <c r="R393" s="185"/>
      <c r="S393" s="185"/>
      <c r="T393" s="185"/>
      <c r="U393" s="185"/>
      <c r="V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184" t="str">
        <f>IFERROR(__xludf.DUMMYFUNCTION("ifna(IF(and(D394=""Saída"",J394=""Sangria""),if(sum(QUERY(IMPORTRANGE(""https://docs.google.com/spreadsheets/d/1E4szPcLzsqlw4uyBAoJ61L1ChCgpz4wVP8tHfHW1g_c"",""BD M Sangrias!a:i""),""select Col6 where Col7 = 'Depositada' and Col9 = '""&amp;K394&amp;""' and Col6 ="&amp;" ""&amp;M394&amp;"" and Col4 = date '""&amp;YEAR(C394)&amp;""-""&amp;MONTH(C394)&amp;""-""&amp;DAY(C394)&amp;""'""))&gt;0,""Depositada"",if(sum(QUERY(IMPORTRANGE(""https://docs.google.com/spreadsheets/d/1EcLIvUgMoBC5as4ikW0wuQsGH5yVZ6cQ1y16qEfgPnk"",""BD M Sangrias!a:i""),""select Col6 whe"&amp;"re Col7 = 'Caixa Atendimento' and Col9 = '""&amp;K394&amp;""' and Col6 = ""&amp;M394&amp;"" and Col4 = date '""&amp;YEAR(C394)&amp;""-""&amp;MONTH(C394)&amp;""-""&amp;DAY(C394)&amp;""'""))&gt;0,""Caixa Atendimento"",""Caixa Sangria"")),""""),""Caixa Sangria"")"),"")</f>
        <v/>
      </c>
      <c r="M394" s="185" t="str">
        <f>IFERROR(__xludf.DUMMYFUNCTION("ifna(VALUE(REGEXEXTRACT(E394,""[0-9.]+[,]+[0-9]+"")))"),"")</f>
        <v/>
      </c>
      <c r="N394" s="185"/>
      <c r="O394" s="185"/>
      <c r="P394" s="185"/>
      <c r="Q394" s="185"/>
      <c r="R394" s="185"/>
      <c r="S394" s="185"/>
      <c r="T394" s="185"/>
      <c r="U394" s="185"/>
      <c r="V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184" t="str">
        <f>IFERROR(__xludf.DUMMYFUNCTION("ifna(IF(and(D395=""Saída"",J395=""Sangria""),if(sum(QUERY(IMPORTRANGE(""https://docs.google.com/spreadsheets/d/1E4szPcLzsqlw4uyBAoJ61L1ChCgpz4wVP8tHfHW1g_c"",""BD M Sangrias!a:i""),""select Col6 where Col7 = 'Depositada' and Col9 = '""&amp;K395&amp;""' and Col6 ="&amp;" ""&amp;M395&amp;"" and Col4 = date '""&amp;YEAR(C395)&amp;""-""&amp;MONTH(C395)&amp;""-""&amp;DAY(C395)&amp;""'""))&gt;0,""Depositada"",if(sum(QUERY(IMPORTRANGE(""https://docs.google.com/spreadsheets/d/1EcLIvUgMoBC5as4ikW0wuQsGH5yVZ6cQ1y16qEfgPnk"",""BD M Sangrias!a:i""),""select Col6 whe"&amp;"re Col7 = 'Caixa Atendimento' and Col9 = '""&amp;K395&amp;""' and Col6 = ""&amp;M395&amp;"" and Col4 = date '""&amp;YEAR(C395)&amp;""-""&amp;MONTH(C395)&amp;""-""&amp;DAY(C395)&amp;""'""))&gt;0,""Caixa Atendimento"",""Caixa Sangria"")),""""),""Caixa Sangria"")"),"")</f>
        <v/>
      </c>
      <c r="M395" s="185" t="str">
        <f>IFERROR(__xludf.DUMMYFUNCTION("ifna(VALUE(REGEXEXTRACT(E395,""[0-9.]+[,]+[0-9]+"")))"),"")</f>
        <v/>
      </c>
      <c r="N395" s="185"/>
      <c r="O395" s="185"/>
      <c r="P395" s="185"/>
      <c r="Q395" s="185"/>
      <c r="R395" s="185"/>
      <c r="S395" s="185"/>
      <c r="T395" s="185"/>
      <c r="U395" s="185"/>
      <c r="V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184" t="str">
        <f>IFERROR(__xludf.DUMMYFUNCTION("ifna(IF(and(D396=""Saída"",J396=""Sangria""),if(sum(QUERY(IMPORTRANGE(""https://docs.google.com/spreadsheets/d/1E4szPcLzsqlw4uyBAoJ61L1ChCgpz4wVP8tHfHW1g_c"",""BD M Sangrias!a:i""),""select Col6 where Col7 = 'Depositada' and Col9 = '""&amp;K396&amp;""' and Col6 ="&amp;" ""&amp;M396&amp;"" and Col4 = date '""&amp;YEAR(C396)&amp;""-""&amp;MONTH(C396)&amp;""-""&amp;DAY(C396)&amp;""'""))&gt;0,""Depositada"",if(sum(QUERY(IMPORTRANGE(""https://docs.google.com/spreadsheets/d/1EcLIvUgMoBC5as4ikW0wuQsGH5yVZ6cQ1y16qEfgPnk"",""BD M Sangrias!a:i""),""select Col6 whe"&amp;"re Col7 = 'Caixa Atendimento' and Col9 = '""&amp;K396&amp;""' and Col6 = ""&amp;M396&amp;"" and Col4 = date '""&amp;YEAR(C396)&amp;""-""&amp;MONTH(C396)&amp;""-""&amp;DAY(C396)&amp;""'""))&gt;0,""Caixa Atendimento"",""Caixa Sangria"")),""""),""Caixa Sangria"")"),"")</f>
        <v/>
      </c>
      <c r="M396" s="185" t="str">
        <f>IFERROR(__xludf.DUMMYFUNCTION("ifna(VALUE(REGEXEXTRACT(E396,""[0-9.]+[,]+[0-9]+"")))"),"")</f>
        <v/>
      </c>
      <c r="N396" s="185"/>
      <c r="O396" s="185"/>
      <c r="P396" s="185"/>
      <c r="Q396" s="185"/>
      <c r="R396" s="185"/>
      <c r="S396" s="185"/>
      <c r="T396" s="185"/>
      <c r="U396" s="185"/>
      <c r="V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184" t="str">
        <f>IFERROR(__xludf.DUMMYFUNCTION("ifna(IF(and(D397=""Saída"",J397=""Sangria""),if(sum(QUERY(IMPORTRANGE(""https://docs.google.com/spreadsheets/d/1E4szPcLzsqlw4uyBAoJ61L1ChCgpz4wVP8tHfHW1g_c"",""BD M Sangrias!a:i""),""select Col6 where Col7 = 'Depositada' and Col9 = '""&amp;K397&amp;""' and Col6 ="&amp;" ""&amp;M397&amp;"" and Col4 = date '""&amp;YEAR(C397)&amp;""-""&amp;MONTH(C397)&amp;""-""&amp;DAY(C397)&amp;""'""))&gt;0,""Depositada"",if(sum(QUERY(IMPORTRANGE(""https://docs.google.com/spreadsheets/d/1EcLIvUgMoBC5as4ikW0wuQsGH5yVZ6cQ1y16qEfgPnk"",""BD M Sangrias!a:i""),""select Col6 whe"&amp;"re Col7 = 'Caixa Atendimento' and Col9 = '""&amp;K397&amp;""' and Col6 = ""&amp;M397&amp;"" and Col4 = date '""&amp;YEAR(C397)&amp;""-""&amp;MONTH(C397)&amp;""-""&amp;DAY(C397)&amp;""'""))&gt;0,""Caixa Atendimento"",""Caixa Sangria"")),""""),""Caixa Sangria"")"),"")</f>
        <v/>
      </c>
      <c r="M397" s="185" t="str">
        <f>IFERROR(__xludf.DUMMYFUNCTION("ifna(VALUE(REGEXEXTRACT(E397,""[0-9.]+[,]+[0-9]+"")))"),"")</f>
        <v/>
      </c>
      <c r="N397" s="185"/>
      <c r="O397" s="185"/>
      <c r="P397" s="185"/>
      <c r="Q397" s="185"/>
      <c r="R397" s="185"/>
      <c r="S397" s="185"/>
      <c r="T397" s="185"/>
      <c r="U397" s="185"/>
      <c r="V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184" t="str">
        <f>IFERROR(__xludf.DUMMYFUNCTION("ifna(IF(and(D398=""Saída"",J398=""Sangria""),if(sum(QUERY(IMPORTRANGE(""https://docs.google.com/spreadsheets/d/1E4szPcLzsqlw4uyBAoJ61L1ChCgpz4wVP8tHfHW1g_c"",""BD M Sangrias!a:i""),""select Col6 where Col7 = 'Depositada' and Col9 = '""&amp;K398&amp;""' and Col6 ="&amp;" ""&amp;M398&amp;"" and Col4 = date '""&amp;YEAR(C398)&amp;""-""&amp;MONTH(C398)&amp;""-""&amp;DAY(C398)&amp;""'""))&gt;0,""Depositada"",if(sum(QUERY(IMPORTRANGE(""https://docs.google.com/spreadsheets/d/1EcLIvUgMoBC5as4ikW0wuQsGH5yVZ6cQ1y16qEfgPnk"",""BD M Sangrias!a:i""),""select Col6 whe"&amp;"re Col7 = 'Caixa Atendimento' and Col9 = '""&amp;K398&amp;""' and Col6 = ""&amp;M398&amp;"" and Col4 = date '""&amp;YEAR(C398)&amp;""-""&amp;MONTH(C398)&amp;""-""&amp;DAY(C398)&amp;""'""))&gt;0,""Caixa Atendimento"",""Caixa Sangria"")),""""),""Caixa Sangria"")"),"")</f>
        <v/>
      </c>
      <c r="M398" s="185" t="str">
        <f>IFERROR(__xludf.DUMMYFUNCTION("ifna(VALUE(REGEXEXTRACT(E398,""[0-9.]+[,]+[0-9]+"")))"),"")</f>
        <v/>
      </c>
      <c r="N398" s="185"/>
      <c r="O398" s="185"/>
      <c r="P398" s="185"/>
      <c r="Q398" s="185"/>
      <c r="R398" s="185"/>
      <c r="S398" s="185"/>
      <c r="T398" s="185"/>
      <c r="U398" s="185"/>
      <c r="V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184" t="str">
        <f>IFERROR(__xludf.DUMMYFUNCTION("ifna(IF(and(D399=""Saída"",J399=""Sangria""),if(sum(QUERY(IMPORTRANGE(""https://docs.google.com/spreadsheets/d/1E4szPcLzsqlw4uyBAoJ61L1ChCgpz4wVP8tHfHW1g_c"",""BD M Sangrias!a:i""),""select Col6 where Col7 = 'Depositada' and Col9 = '""&amp;K399&amp;""' and Col6 ="&amp;" ""&amp;M399&amp;"" and Col4 = date '""&amp;YEAR(C399)&amp;""-""&amp;MONTH(C399)&amp;""-""&amp;DAY(C399)&amp;""'""))&gt;0,""Depositada"",if(sum(QUERY(IMPORTRANGE(""https://docs.google.com/spreadsheets/d/1EcLIvUgMoBC5as4ikW0wuQsGH5yVZ6cQ1y16qEfgPnk"",""BD M Sangrias!a:i""),""select Col6 whe"&amp;"re Col7 = 'Caixa Atendimento' and Col9 = '""&amp;K399&amp;""' and Col6 = ""&amp;M399&amp;"" and Col4 = date '""&amp;YEAR(C399)&amp;""-""&amp;MONTH(C399)&amp;""-""&amp;DAY(C399)&amp;""'""))&gt;0,""Caixa Atendimento"",""Caixa Sangria"")),""""),""Caixa Sangria"")"),"")</f>
        <v/>
      </c>
      <c r="M399" s="185" t="str">
        <f>IFERROR(__xludf.DUMMYFUNCTION("ifna(VALUE(REGEXEXTRACT(E399,""[0-9.]+[,]+[0-9]+"")))"),"")</f>
        <v/>
      </c>
      <c r="N399" s="185"/>
      <c r="O399" s="185"/>
      <c r="P399" s="185"/>
      <c r="Q399" s="185"/>
      <c r="R399" s="185"/>
      <c r="S399" s="185"/>
      <c r="T399" s="185"/>
      <c r="U399" s="185"/>
      <c r="V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184" t="str">
        <f>IFERROR(__xludf.DUMMYFUNCTION("ifna(IF(and(D400=""Saída"",J400=""Sangria""),if(sum(QUERY(IMPORTRANGE(""https://docs.google.com/spreadsheets/d/1E4szPcLzsqlw4uyBAoJ61L1ChCgpz4wVP8tHfHW1g_c"",""BD M Sangrias!a:i""),""select Col6 where Col7 = 'Depositada' and Col9 = '""&amp;K400&amp;""' and Col6 ="&amp;" ""&amp;M400&amp;"" and Col4 = date '""&amp;YEAR(C400)&amp;""-""&amp;MONTH(C400)&amp;""-""&amp;DAY(C400)&amp;""'""))&gt;0,""Depositada"",if(sum(QUERY(IMPORTRANGE(""https://docs.google.com/spreadsheets/d/1EcLIvUgMoBC5as4ikW0wuQsGH5yVZ6cQ1y16qEfgPnk"",""BD M Sangrias!a:i""),""select Col6 whe"&amp;"re Col7 = 'Caixa Atendimento' and Col9 = '""&amp;K400&amp;""' and Col6 = ""&amp;M400&amp;"" and Col4 = date '""&amp;YEAR(C400)&amp;""-""&amp;MONTH(C400)&amp;""-""&amp;DAY(C400)&amp;""'""))&gt;0,""Caixa Atendimento"",""Caixa Sangria"")),""""),""Caixa Sangria"")"),"")</f>
        <v/>
      </c>
      <c r="M400" s="185" t="str">
        <f>IFERROR(__xludf.DUMMYFUNCTION("ifna(VALUE(REGEXEXTRACT(E400,""[0-9.]+[,]+[0-9]+"")))"),"")</f>
        <v/>
      </c>
      <c r="N400" s="185"/>
      <c r="O400" s="185"/>
      <c r="P400" s="185"/>
      <c r="Q400" s="185"/>
      <c r="R400" s="185"/>
      <c r="S400" s="185"/>
      <c r="T400" s="185"/>
      <c r="U400" s="185"/>
      <c r="V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184" t="str">
        <f>IFERROR(__xludf.DUMMYFUNCTION("ifna(IF(and(D401=""Saída"",J401=""Sangria""),if(sum(QUERY(IMPORTRANGE(""https://docs.google.com/spreadsheets/d/1E4szPcLzsqlw4uyBAoJ61L1ChCgpz4wVP8tHfHW1g_c"",""BD M Sangrias!a:i""),""select Col6 where Col7 = 'Depositada' and Col9 = '""&amp;K401&amp;""' and Col6 ="&amp;" ""&amp;M401&amp;"" and Col4 = date '""&amp;YEAR(C401)&amp;""-""&amp;MONTH(C401)&amp;""-""&amp;DAY(C401)&amp;""'""))&gt;0,""Depositada"",if(sum(QUERY(IMPORTRANGE(""https://docs.google.com/spreadsheets/d/1EcLIvUgMoBC5as4ikW0wuQsGH5yVZ6cQ1y16qEfgPnk"",""BD M Sangrias!a:i""),""select Col6 whe"&amp;"re Col7 = 'Caixa Atendimento' and Col9 = '""&amp;K401&amp;""' and Col6 = ""&amp;M401&amp;"" and Col4 = date '""&amp;YEAR(C401)&amp;""-""&amp;MONTH(C401)&amp;""-""&amp;DAY(C401)&amp;""'""))&gt;0,""Caixa Atendimento"",""Caixa Sangria"")),""""),""Caixa Sangria"")"),"")</f>
        <v/>
      </c>
      <c r="M401" s="185" t="str">
        <f>IFERROR(__xludf.DUMMYFUNCTION("ifna(VALUE(REGEXEXTRACT(E401,""[0-9.]+[,]+[0-9]+"")))"),"")</f>
        <v/>
      </c>
      <c r="N401" s="185"/>
      <c r="O401" s="185"/>
      <c r="P401" s="185"/>
      <c r="Q401" s="185"/>
      <c r="R401" s="185"/>
      <c r="S401" s="185"/>
      <c r="T401" s="185"/>
      <c r="U401" s="185"/>
      <c r="V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184" t="str">
        <f>IFERROR(__xludf.DUMMYFUNCTION("ifna(IF(and(D402=""Saída"",J402=""Sangria""),if(sum(QUERY(IMPORTRANGE(""https://docs.google.com/spreadsheets/d/1E4szPcLzsqlw4uyBAoJ61L1ChCgpz4wVP8tHfHW1g_c"",""BD M Sangrias!a:i""),""select Col6 where Col7 = 'Depositada' and Col9 = '""&amp;K402&amp;""' and Col6 ="&amp;" ""&amp;M402&amp;"" and Col4 = date '""&amp;YEAR(C402)&amp;""-""&amp;MONTH(C402)&amp;""-""&amp;DAY(C402)&amp;""'""))&gt;0,""Depositada"",if(sum(QUERY(IMPORTRANGE(""https://docs.google.com/spreadsheets/d/1EcLIvUgMoBC5as4ikW0wuQsGH5yVZ6cQ1y16qEfgPnk"",""BD M Sangrias!a:i""),""select Col6 whe"&amp;"re Col7 = 'Caixa Atendimento' and Col9 = '""&amp;K402&amp;""' and Col6 = ""&amp;M402&amp;"" and Col4 = date '""&amp;YEAR(C402)&amp;""-""&amp;MONTH(C402)&amp;""-""&amp;DAY(C402)&amp;""'""))&gt;0,""Caixa Atendimento"",""Caixa Sangria"")),""""),""Caixa Sangria"")"),"")</f>
        <v/>
      </c>
      <c r="M402" s="185" t="str">
        <f>IFERROR(__xludf.DUMMYFUNCTION("ifna(VALUE(REGEXEXTRACT(E402,""[0-9.]+[,]+[0-9]+"")))"),"")</f>
        <v/>
      </c>
      <c r="N402" s="185"/>
      <c r="O402" s="185"/>
      <c r="P402" s="185"/>
      <c r="Q402" s="185"/>
      <c r="R402" s="185"/>
      <c r="S402" s="185"/>
      <c r="T402" s="185"/>
      <c r="U402" s="185"/>
      <c r="V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184" t="str">
        <f>IFERROR(__xludf.DUMMYFUNCTION("ifna(IF(and(D403=""Saída"",J403=""Sangria""),if(sum(QUERY(IMPORTRANGE(""https://docs.google.com/spreadsheets/d/1E4szPcLzsqlw4uyBAoJ61L1ChCgpz4wVP8tHfHW1g_c"",""BD M Sangrias!a:i""),""select Col6 where Col7 = 'Depositada' and Col9 = '""&amp;K403&amp;""' and Col6 ="&amp;" ""&amp;M403&amp;"" and Col4 = date '""&amp;YEAR(C403)&amp;""-""&amp;MONTH(C403)&amp;""-""&amp;DAY(C403)&amp;""'""))&gt;0,""Depositada"",if(sum(QUERY(IMPORTRANGE(""https://docs.google.com/spreadsheets/d/1EcLIvUgMoBC5as4ikW0wuQsGH5yVZ6cQ1y16qEfgPnk"",""BD M Sangrias!a:i""),""select Col6 whe"&amp;"re Col7 = 'Caixa Atendimento' and Col9 = '""&amp;K403&amp;""' and Col6 = ""&amp;M403&amp;"" and Col4 = date '""&amp;YEAR(C403)&amp;""-""&amp;MONTH(C403)&amp;""-""&amp;DAY(C403)&amp;""'""))&gt;0,""Caixa Atendimento"",""Caixa Sangria"")),""""),""Caixa Sangria"")"),"")</f>
        <v/>
      </c>
      <c r="M403" s="185" t="str">
        <f>IFERROR(__xludf.DUMMYFUNCTION("ifna(VALUE(REGEXEXTRACT(E403,""[0-9.]+[,]+[0-9]+"")))"),"")</f>
        <v/>
      </c>
      <c r="N403" s="185"/>
      <c r="O403" s="185"/>
      <c r="P403" s="185"/>
      <c r="Q403" s="185"/>
      <c r="R403" s="185"/>
      <c r="S403" s="185"/>
      <c r="T403" s="185"/>
      <c r="U403" s="185"/>
      <c r="V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184" t="str">
        <f>IFERROR(__xludf.DUMMYFUNCTION("ifna(IF(and(D404=""Saída"",J404=""Sangria""),if(sum(QUERY(IMPORTRANGE(""https://docs.google.com/spreadsheets/d/1E4szPcLzsqlw4uyBAoJ61L1ChCgpz4wVP8tHfHW1g_c"",""BD M Sangrias!a:i""),""select Col6 where Col7 = 'Depositada' and Col9 = '""&amp;K404&amp;""' and Col6 ="&amp;" ""&amp;M404&amp;"" and Col4 = date '""&amp;YEAR(C404)&amp;""-""&amp;MONTH(C404)&amp;""-""&amp;DAY(C404)&amp;""'""))&gt;0,""Depositada"",if(sum(QUERY(IMPORTRANGE(""https://docs.google.com/spreadsheets/d/1EcLIvUgMoBC5as4ikW0wuQsGH5yVZ6cQ1y16qEfgPnk"",""BD M Sangrias!a:i""),""select Col6 whe"&amp;"re Col7 = 'Caixa Atendimento' and Col9 = '""&amp;K404&amp;""' and Col6 = ""&amp;M404&amp;"" and Col4 = date '""&amp;YEAR(C404)&amp;""-""&amp;MONTH(C404)&amp;""-""&amp;DAY(C404)&amp;""'""))&gt;0,""Caixa Atendimento"",""Caixa Sangria"")),""""),""Caixa Sangria"")"),"")</f>
        <v/>
      </c>
      <c r="M404" s="185" t="str">
        <f>IFERROR(__xludf.DUMMYFUNCTION("ifna(VALUE(REGEXEXTRACT(E404,""[0-9.]+[,]+[0-9]+"")))"),"")</f>
        <v/>
      </c>
      <c r="N404" s="185"/>
      <c r="O404" s="185"/>
      <c r="P404" s="185"/>
      <c r="Q404" s="185"/>
      <c r="R404" s="185"/>
      <c r="S404" s="185"/>
      <c r="T404" s="185"/>
      <c r="U404" s="185"/>
      <c r="V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184" t="str">
        <f>IFERROR(__xludf.DUMMYFUNCTION("ifna(IF(and(D405=""Saída"",J405=""Sangria""),if(sum(QUERY(IMPORTRANGE(""https://docs.google.com/spreadsheets/d/1E4szPcLzsqlw4uyBAoJ61L1ChCgpz4wVP8tHfHW1g_c"",""BD M Sangrias!a:i""),""select Col6 where Col7 = 'Depositada' and Col9 = '""&amp;K405&amp;""' and Col6 ="&amp;" ""&amp;M405&amp;"" and Col4 = date '""&amp;YEAR(C405)&amp;""-""&amp;MONTH(C405)&amp;""-""&amp;DAY(C405)&amp;""'""))&gt;0,""Depositada"",if(sum(QUERY(IMPORTRANGE(""https://docs.google.com/spreadsheets/d/1EcLIvUgMoBC5as4ikW0wuQsGH5yVZ6cQ1y16qEfgPnk"",""BD M Sangrias!a:i""),""select Col6 whe"&amp;"re Col7 = 'Caixa Atendimento' and Col9 = '""&amp;K405&amp;""' and Col6 = ""&amp;M405&amp;"" and Col4 = date '""&amp;YEAR(C405)&amp;""-""&amp;MONTH(C405)&amp;""-""&amp;DAY(C405)&amp;""'""))&gt;0,""Caixa Atendimento"",""Caixa Sangria"")),""""),""Caixa Sangria"")"),"")</f>
        <v/>
      </c>
      <c r="M405" s="185" t="str">
        <f>IFERROR(__xludf.DUMMYFUNCTION("ifna(VALUE(REGEXEXTRACT(E405,""[0-9.]+[,]+[0-9]+"")))"),"")</f>
        <v/>
      </c>
      <c r="N405" s="185"/>
      <c r="O405" s="185"/>
      <c r="P405" s="185"/>
      <c r="Q405" s="185"/>
      <c r="R405" s="185"/>
      <c r="S405" s="185"/>
      <c r="T405" s="185"/>
      <c r="U405" s="185"/>
      <c r="V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184" t="str">
        <f>IFERROR(__xludf.DUMMYFUNCTION("ifna(IF(and(D406=""Saída"",J406=""Sangria""),if(sum(QUERY(IMPORTRANGE(""https://docs.google.com/spreadsheets/d/1E4szPcLzsqlw4uyBAoJ61L1ChCgpz4wVP8tHfHW1g_c"",""BD M Sangrias!a:i""),""select Col6 where Col7 = 'Depositada' and Col9 = '""&amp;K406&amp;""' and Col6 ="&amp;" ""&amp;M406&amp;"" and Col4 = date '""&amp;YEAR(C406)&amp;""-""&amp;MONTH(C406)&amp;""-""&amp;DAY(C406)&amp;""'""))&gt;0,""Depositada"",if(sum(QUERY(IMPORTRANGE(""https://docs.google.com/spreadsheets/d/1EcLIvUgMoBC5as4ikW0wuQsGH5yVZ6cQ1y16qEfgPnk"",""BD M Sangrias!a:i""),""select Col6 whe"&amp;"re Col7 = 'Caixa Atendimento' and Col9 = '""&amp;K406&amp;""' and Col6 = ""&amp;M406&amp;"" and Col4 = date '""&amp;YEAR(C406)&amp;""-""&amp;MONTH(C406)&amp;""-""&amp;DAY(C406)&amp;""'""))&gt;0,""Caixa Atendimento"",""Caixa Sangria"")),""""),""Caixa Sangria"")"),"")</f>
        <v/>
      </c>
      <c r="M406" s="185" t="str">
        <f>IFERROR(__xludf.DUMMYFUNCTION("ifna(VALUE(REGEXEXTRACT(E406,""[0-9.]+[,]+[0-9]+"")))"),"")</f>
        <v/>
      </c>
      <c r="N406" s="185"/>
      <c r="O406" s="185"/>
      <c r="P406" s="185"/>
      <c r="Q406" s="185"/>
      <c r="R406" s="185"/>
      <c r="S406" s="185"/>
      <c r="T406" s="185"/>
      <c r="U406" s="185"/>
      <c r="V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184" t="str">
        <f>IFERROR(__xludf.DUMMYFUNCTION("ifna(IF(and(D407=""Saída"",J407=""Sangria""),if(sum(QUERY(IMPORTRANGE(""https://docs.google.com/spreadsheets/d/1E4szPcLzsqlw4uyBAoJ61L1ChCgpz4wVP8tHfHW1g_c"",""BD M Sangrias!a:i""),""select Col6 where Col7 = 'Depositada' and Col9 = '""&amp;K407&amp;""' and Col6 ="&amp;" ""&amp;M407&amp;"" and Col4 = date '""&amp;YEAR(C407)&amp;""-""&amp;MONTH(C407)&amp;""-""&amp;DAY(C407)&amp;""'""))&gt;0,""Depositada"",if(sum(QUERY(IMPORTRANGE(""https://docs.google.com/spreadsheets/d/1EcLIvUgMoBC5as4ikW0wuQsGH5yVZ6cQ1y16qEfgPnk"",""BD M Sangrias!a:i""),""select Col6 whe"&amp;"re Col7 = 'Caixa Atendimento' and Col9 = '""&amp;K407&amp;""' and Col6 = ""&amp;M407&amp;"" and Col4 = date '""&amp;YEAR(C407)&amp;""-""&amp;MONTH(C407)&amp;""-""&amp;DAY(C407)&amp;""'""))&gt;0,""Caixa Atendimento"",""Caixa Sangria"")),""""),""Caixa Sangria"")"),"")</f>
        <v/>
      </c>
      <c r="M407" s="185" t="str">
        <f>IFERROR(__xludf.DUMMYFUNCTION("ifna(VALUE(REGEXEXTRACT(E407,""[0-9.]+[,]+[0-9]+"")))"),"")</f>
        <v/>
      </c>
      <c r="N407" s="185"/>
      <c r="O407" s="185"/>
      <c r="P407" s="185"/>
      <c r="Q407" s="185"/>
      <c r="R407" s="185"/>
      <c r="S407" s="185"/>
      <c r="T407" s="185"/>
      <c r="U407" s="185"/>
      <c r="V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184" t="str">
        <f>IFERROR(__xludf.DUMMYFUNCTION("ifna(IF(and(D408=""Saída"",J408=""Sangria""),if(sum(QUERY(IMPORTRANGE(""https://docs.google.com/spreadsheets/d/1E4szPcLzsqlw4uyBAoJ61L1ChCgpz4wVP8tHfHW1g_c"",""BD M Sangrias!a:i""),""select Col6 where Col7 = 'Depositada' and Col9 = '""&amp;K408&amp;""' and Col6 ="&amp;" ""&amp;M408&amp;"" and Col4 = date '""&amp;YEAR(C408)&amp;""-""&amp;MONTH(C408)&amp;""-""&amp;DAY(C408)&amp;""'""))&gt;0,""Depositada"",if(sum(QUERY(IMPORTRANGE(""https://docs.google.com/spreadsheets/d/1EcLIvUgMoBC5as4ikW0wuQsGH5yVZ6cQ1y16qEfgPnk"",""BD M Sangrias!a:i""),""select Col6 whe"&amp;"re Col7 = 'Caixa Atendimento' and Col9 = '""&amp;K408&amp;""' and Col6 = ""&amp;M408&amp;"" and Col4 = date '""&amp;YEAR(C408)&amp;""-""&amp;MONTH(C408)&amp;""-""&amp;DAY(C408)&amp;""'""))&gt;0,""Caixa Atendimento"",""Caixa Sangria"")),""""),""Caixa Sangria"")"),"")</f>
        <v/>
      </c>
      <c r="M408" s="185" t="str">
        <f>IFERROR(__xludf.DUMMYFUNCTION("ifna(VALUE(REGEXEXTRACT(E408,""[0-9.]+[,]+[0-9]+"")))"),"")</f>
        <v/>
      </c>
      <c r="N408" s="185"/>
      <c r="O408" s="185"/>
      <c r="P408" s="185"/>
      <c r="Q408" s="185"/>
      <c r="R408" s="185"/>
      <c r="S408" s="185"/>
      <c r="T408" s="185"/>
      <c r="U408" s="185"/>
      <c r="V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184" t="str">
        <f>IFERROR(__xludf.DUMMYFUNCTION("ifna(IF(and(D409=""Saída"",J409=""Sangria""),if(sum(QUERY(IMPORTRANGE(""https://docs.google.com/spreadsheets/d/1E4szPcLzsqlw4uyBAoJ61L1ChCgpz4wVP8tHfHW1g_c"",""BD M Sangrias!a:i""),""select Col6 where Col7 = 'Depositada' and Col9 = '""&amp;K409&amp;""' and Col6 ="&amp;" ""&amp;M409&amp;"" and Col4 = date '""&amp;YEAR(C409)&amp;""-""&amp;MONTH(C409)&amp;""-""&amp;DAY(C409)&amp;""'""))&gt;0,""Depositada"",if(sum(QUERY(IMPORTRANGE(""https://docs.google.com/spreadsheets/d/1EcLIvUgMoBC5as4ikW0wuQsGH5yVZ6cQ1y16qEfgPnk"",""BD M Sangrias!a:i""),""select Col6 whe"&amp;"re Col7 = 'Caixa Atendimento' and Col9 = '""&amp;K409&amp;""' and Col6 = ""&amp;M409&amp;"" and Col4 = date '""&amp;YEAR(C409)&amp;""-""&amp;MONTH(C409)&amp;""-""&amp;DAY(C409)&amp;""'""))&gt;0,""Caixa Atendimento"",""Caixa Sangria"")),""""),""Caixa Sangria"")"),"")</f>
        <v/>
      </c>
      <c r="M409" s="185" t="str">
        <f>IFERROR(__xludf.DUMMYFUNCTION("ifna(VALUE(REGEXEXTRACT(E409,""[0-9.]+[,]+[0-9]+"")))"),"")</f>
        <v/>
      </c>
      <c r="N409" s="185"/>
      <c r="O409" s="185"/>
      <c r="P409" s="185"/>
      <c r="Q409" s="185"/>
      <c r="R409" s="185"/>
      <c r="S409" s="185"/>
      <c r="T409" s="185"/>
      <c r="U409" s="185"/>
      <c r="V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184" t="str">
        <f>IFERROR(__xludf.DUMMYFUNCTION("ifna(IF(and(D410=""Saída"",J410=""Sangria""),if(sum(QUERY(IMPORTRANGE(""https://docs.google.com/spreadsheets/d/1E4szPcLzsqlw4uyBAoJ61L1ChCgpz4wVP8tHfHW1g_c"",""BD M Sangrias!a:i""),""select Col6 where Col7 = 'Depositada' and Col9 = '""&amp;K410&amp;""' and Col6 ="&amp;" ""&amp;M410&amp;"" and Col4 = date '""&amp;YEAR(C410)&amp;""-""&amp;MONTH(C410)&amp;""-""&amp;DAY(C410)&amp;""'""))&gt;0,""Depositada"",if(sum(QUERY(IMPORTRANGE(""https://docs.google.com/spreadsheets/d/1EcLIvUgMoBC5as4ikW0wuQsGH5yVZ6cQ1y16qEfgPnk"",""BD M Sangrias!a:i""),""select Col6 whe"&amp;"re Col7 = 'Caixa Atendimento' and Col9 = '""&amp;K410&amp;""' and Col6 = ""&amp;M410&amp;"" and Col4 = date '""&amp;YEAR(C410)&amp;""-""&amp;MONTH(C410)&amp;""-""&amp;DAY(C410)&amp;""'""))&gt;0,""Caixa Atendimento"",""Caixa Sangria"")),""""),""Caixa Sangria"")"),"")</f>
        <v/>
      </c>
      <c r="M410" s="185" t="str">
        <f>IFERROR(__xludf.DUMMYFUNCTION("ifna(VALUE(REGEXEXTRACT(E410,""[0-9.]+[,]+[0-9]+"")))"),"")</f>
        <v/>
      </c>
      <c r="N410" s="185"/>
      <c r="O410" s="185"/>
      <c r="P410" s="185"/>
      <c r="Q410" s="185"/>
      <c r="R410" s="185"/>
      <c r="S410" s="185"/>
      <c r="T410" s="185"/>
      <c r="U410" s="185"/>
      <c r="V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184" t="str">
        <f>IFERROR(__xludf.DUMMYFUNCTION("ifna(IF(and(D411=""Saída"",J411=""Sangria""),if(sum(QUERY(IMPORTRANGE(""https://docs.google.com/spreadsheets/d/1E4szPcLzsqlw4uyBAoJ61L1ChCgpz4wVP8tHfHW1g_c"",""BD M Sangrias!a:i""),""select Col6 where Col7 = 'Depositada' and Col9 = '""&amp;K411&amp;""' and Col6 ="&amp;" ""&amp;M411&amp;"" and Col4 = date '""&amp;YEAR(C411)&amp;""-""&amp;MONTH(C411)&amp;""-""&amp;DAY(C411)&amp;""'""))&gt;0,""Depositada"",if(sum(QUERY(IMPORTRANGE(""https://docs.google.com/spreadsheets/d/1EcLIvUgMoBC5as4ikW0wuQsGH5yVZ6cQ1y16qEfgPnk"",""BD M Sangrias!a:i""),""select Col6 whe"&amp;"re Col7 = 'Caixa Atendimento' and Col9 = '""&amp;K411&amp;""' and Col6 = ""&amp;M411&amp;"" and Col4 = date '""&amp;YEAR(C411)&amp;""-""&amp;MONTH(C411)&amp;""-""&amp;DAY(C411)&amp;""'""))&gt;0,""Caixa Atendimento"",""Caixa Sangria"")),""""),""Caixa Sangria"")"),"")</f>
        <v/>
      </c>
      <c r="M411" s="185" t="str">
        <f>IFERROR(__xludf.DUMMYFUNCTION("ifna(VALUE(REGEXEXTRACT(E411,""[0-9.]+[,]+[0-9]+"")))"),"")</f>
        <v/>
      </c>
      <c r="N411" s="185"/>
      <c r="O411" s="185"/>
      <c r="P411" s="185"/>
      <c r="Q411" s="185"/>
      <c r="R411" s="185"/>
      <c r="S411" s="185"/>
      <c r="T411" s="185"/>
      <c r="U411" s="185"/>
      <c r="V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184" t="str">
        <f>IFERROR(__xludf.DUMMYFUNCTION("ifna(IF(and(D412=""Saída"",J412=""Sangria""),if(sum(QUERY(IMPORTRANGE(""https://docs.google.com/spreadsheets/d/1E4szPcLzsqlw4uyBAoJ61L1ChCgpz4wVP8tHfHW1g_c"",""BD M Sangrias!a:i""),""select Col6 where Col7 = 'Depositada' and Col9 = '""&amp;K412&amp;""' and Col6 ="&amp;" ""&amp;M412&amp;"" and Col4 = date '""&amp;YEAR(C412)&amp;""-""&amp;MONTH(C412)&amp;""-""&amp;DAY(C412)&amp;""'""))&gt;0,""Depositada"",if(sum(QUERY(IMPORTRANGE(""https://docs.google.com/spreadsheets/d/1EcLIvUgMoBC5as4ikW0wuQsGH5yVZ6cQ1y16qEfgPnk"",""BD M Sangrias!a:i""),""select Col6 whe"&amp;"re Col7 = 'Caixa Atendimento' and Col9 = '""&amp;K412&amp;""' and Col6 = ""&amp;M412&amp;"" and Col4 = date '""&amp;YEAR(C412)&amp;""-""&amp;MONTH(C412)&amp;""-""&amp;DAY(C412)&amp;""'""))&gt;0,""Caixa Atendimento"",""Caixa Sangria"")),""""),""Caixa Sangria"")"),"")</f>
        <v/>
      </c>
      <c r="M412" s="185" t="str">
        <f>IFERROR(__xludf.DUMMYFUNCTION("ifna(VALUE(REGEXEXTRACT(E412,""[0-9.]+[,]+[0-9]+"")))"),"")</f>
        <v/>
      </c>
      <c r="N412" s="185"/>
      <c r="O412" s="185"/>
      <c r="P412" s="185"/>
      <c r="Q412" s="185"/>
      <c r="R412" s="185"/>
      <c r="S412" s="185"/>
      <c r="T412" s="185"/>
      <c r="U412" s="185"/>
      <c r="V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184" t="str">
        <f>IFERROR(__xludf.DUMMYFUNCTION("ifna(IF(and(D413=""Saída"",J413=""Sangria""),if(sum(QUERY(IMPORTRANGE(""https://docs.google.com/spreadsheets/d/1E4szPcLzsqlw4uyBAoJ61L1ChCgpz4wVP8tHfHW1g_c"",""BD M Sangrias!a:i""),""select Col6 where Col7 = 'Depositada' and Col9 = '""&amp;K413&amp;""' and Col6 ="&amp;" ""&amp;M413&amp;"" and Col4 = date '""&amp;YEAR(C413)&amp;""-""&amp;MONTH(C413)&amp;""-""&amp;DAY(C413)&amp;""'""))&gt;0,""Depositada"",if(sum(QUERY(IMPORTRANGE(""https://docs.google.com/spreadsheets/d/1EcLIvUgMoBC5as4ikW0wuQsGH5yVZ6cQ1y16qEfgPnk"",""BD M Sangrias!a:i""),""select Col6 whe"&amp;"re Col7 = 'Caixa Atendimento' and Col9 = '""&amp;K413&amp;""' and Col6 = ""&amp;M413&amp;"" and Col4 = date '""&amp;YEAR(C413)&amp;""-""&amp;MONTH(C413)&amp;""-""&amp;DAY(C413)&amp;""'""))&gt;0,""Caixa Atendimento"",""Caixa Sangria"")),""""),""Caixa Sangria"")"),"")</f>
        <v/>
      </c>
      <c r="M413" s="185" t="str">
        <f>IFERROR(__xludf.DUMMYFUNCTION("ifna(VALUE(REGEXEXTRACT(E413,""[0-9.]+[,]+[0-9]+"")))"),"")</f>
        <v/>
      </c>
      <c r="N413" s="185"/>
      <c r="O413" s="185"/>
      <c r="P413" s="185"/>
      <c r="Q413" s="185"/>
      <c r="R413" s="185"/>
      <c r="S413" s="185"/>
      <c r="T413" s="185"/>
      <c r="U413" s="185"/>
      <c r="V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184" t="str">
        <f>IFERROR(__xludf.DUMMYFUNCTION("ifna(IF(and(D414=""Saída"",J414=""Sangria""),if(sum(QUERY(IMPORTRANGE(""https://docs.google.com/spreadsheets/d/1E4szPcLzsqlw4uyBAoJ61L1ChCgpz4wVP8tHfHW1g_c"",""BD M Sangrias!a:i""),""select Col6 where Col7 = 'Depositada' and Col9 = '""&amp;K414&amp;""' and Col6 ="&amp;" ""&amp;M414&amp;"" and Col4 = date '""&amp;YEAR(C414)&amp;""-""&amp;MONTH(C414)&amp;""-""&amp;DAY(C414)&amp;""'""))&gt;0,""Depositada"",if(sum(QUERY(IMPORTRANGE(""https://docs.google.com/spreadsheets/d/1EcLIvUgMoBC5as4ikW0wuQsGH5yVZ6cQ1y16qEfgPnk"",""BD M Sangrias!a:i""),""select Col6 whe"&amp;"re Col7 = 'Caixa Atendimento' and Col9 = '""&amp;K414&amp;""' and Col6 = ""&amp;M414&amp;"" and Col4 = date '""&amp;YEAR(C414)&amp;""-""&amp;MONTH(C414)&amp;""-""&amp;DAY(C414)&amp;""'""))&gt;0,""Caixa Atendimento"",""Caixa Sangria"")),""""),""Caixa Sangria"")"),"")</f>
        <v/>
      </c>
      <c r="M414" s="185" t="str">
        <f>IFERROR(__xludf.DUMMYFUNCTION("ifna(VALUE(REGEXEXTRACT(E414,""[0-9.]+[,]+[0-9]+"")))"),"")</f>
        <v/>
      </c>
      <c r="N414" s="185"/>
      <c r="O414" s="185"/>
      <c r="P414" s="185"/>
      <c r="Q414" s="185"/>
      <c r="R414" s="185"/>
      <c r="S414" s="185"/>
      <c r="T414" s="185"/>
      <c r="U414" s="185"/>
      <c r="V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184" t="str">
        <f>IFERROR(__xludf.DUMMYFUNCTION("ifna(IF(and(D415=""Saída"",J415=""Sangria""),if(sum(QUERY(IMPORTRANGE(""https://docs.google.com/spreadsheets/d/1E4szPcLzsqlw4uyBAoJ61L1ChCgpz4wVP8tHfHW1g_c"",""BD M Sangrias!a:i""),""select Col6 where Col7 = 'Depositada' and Col9 = '""&amp;K415&amp;""' and Col6 ="&amp;" ""&amp;M415&amp;"" and Col4 = date '""&amp;YEAR(C415)&amp;""-""&amp;MONTH(C415)&amp;""-""&amp;DAY(C415)&amp;""'""))&gt;0,""Depositada"",if(sum(QUERY(IMPORTRANGE(""https://docs.google.com/spreadsheets/d/1EcLIvUgMoBC5as4ikW0wuQsGH5yVZ6cQ1y16qEfgPnk"",""BD M Sangrias!a:i""),""select Col6 whe"&amp;"re Col7 = 'Caixa Atendimento' and Col9 = '""&amp;K415&amp;""' and Col6 = ""&amp;M415&amp;"" and Col4 = date '""&amp;YEAR(C415)&amp;""-""&amp;MONTH(C415)&amp;""-""&amp;DAY(C415)&amp;""'""))&gt;0,""Caixa Atendimento"",""Caixa Sangria"")),""""),""Caixa Sangria"")"),"")</f>
        <v/>
      </c>
      <c r="M415" s="185" t="str">
        <f>IFERROR(__xludf.DUMMYFUNCTION("ifna(VALUE(REGEXEXTRACT(E415,""[0-9.]+[,]+[0-9]+"")))"),"")</f>
        <v/>
      </c>
      <c r="N415" s="185"/>
      <c r="O415" s="185"/>
      <c r="P415" s="185"/>
      <c r="Q415" s="185"/>
      <c r="R415" s="185"/>
      <c r="S415" s="185"/>
      <c r="T415" s="185"/>
      <c r="U415" s="185"/>
      <c r="V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184" t="str">
        <f>IFERROR(__xludf.DUMMYFUNCTION("ifna(IF(and(D416=""Saída"",J416=""Sangria""),if(sum(QUERY(IMPORTRANGE(""https://docs.google.com/spreadsheets/d/1E4szPcLzsqlw4uyBAoJ61L1ChCgpz4wVP8tHfHW1g_c"",""BD M Sangrias!a:i""),""select Col6 where Col7 = 'Depositada' and Col9 = '""&amp;K416&amp;""' and Col6 ="&amp;" ""&amp;M416&amp;"" and Col4 = date '""&amp;YEAR(C416)&amp;""-""&amp;MONTH(C416)&amp;""-""&amp;DAY(C416)&amp;""'""))&gt;0,""Depositada"",if(sum(QUERY(IMPORTRANGE(""https://docs.google.com/spreadsheets/d/1EcLIvUgMoBC5as4ikW0wuQsGH5yVZ6cQ1y16qEfgPnk"",""BD M Sangrias!a:i""),""select Col6 whe"&amp;"re Col7 = 'Caixa Atendimento' and Col9 = '""&amp;K416&amp;""' and Col6 = ""&amp;M416&amp;"" and Col4 = date '""&amp;YEAR(C416)&amp;""-""&amp;MONTH(C416)&amp;""-""&amp;DAY(C416)&amp;""'""))&gt;0,""Caixa Atendimento"",""Caixa Sangria"")),""""),""Caixa Sangria"")"),"")</f>
        <v/>
      </c>
      <c r="M416" s="185" t="str">
        <f>IFERROR(__xludf.DUMMYFUNCTION("ifna(VALUE(REGEXEXTRACT(E416,""[0-9.]+[,]+[0-9]+"")))"),"")</f>
        <v/>
      </c>
      <c r="N416" s="185"/>
      <c r="O416" s="185"/>
      <c r="P416" s="185"/>
      <c r="Q416" s="185"/>
      <c r="R416" s="185"/>
      <c r="S416" s="185"/>
      <c r="T416" s="185"/>
      <c r="U416" s="185"/>
      <c r="V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184" t="str">
        <f>IFERROR(__xludf.DUMMYFUNCTION("ifna(IF(and(D417=""Saída"",J417=""Sangria""),if(sum(QUERY(IMPORTRANGE(""https://docs.google.com/spreadsheets/d/1E4szPcLzsqlw4uyBAoJ61L1ChCgpz4wVP8tHfHW1g_c"",""BD M Sangrias!a:i""),""select Col6 where Col7 = 'Depositada' and Col9 = '""&amp;K417&amp;""' and Col6 ="&amp;" ""&amp;M417&amp;"" and Col4 = date '""&amp;YEAR(C417)&amp;""-""&amp;MONTH(C417)&amp;""-""&amp;DAY(C417)&amp;""'""))&gt;0,""Depositada"",if(sum(QUERY(IMPORTRANGE(""https://docs.google.com/spreadsheets/d/1EcLIvUgMoBC5as4ikW0wuQsGH5yVZ6cQ1y16qEfgPnk"",""BD M Sangrias!a:i""),""select Col6 whe"&amp;"re Col7 = 'Caixa Atendimento' and Col9 = '""&amp;K417&amp;""' and Col6 = ""&amp;M417&amp;"" and Col4 = date '""&amp;YEAR(C417)&amp;""-""&amp;MONTH(C417)&amp;""-""&amp;DAY(C417)&amp;""'""))&gt;0,""Caixa Atendimento"",""Caixa Sangria"")),""""),""Caixa Sangria"")"),"")</f>
        <v/>
      </c>
      <c r="M417" s="185" t="str">
        <f>IFERROR(__xludf.DUMMYFUNCTION("ifna(VALUE(REGEXEXTRACT(E417,""[0-9.]+[,]+[0-9]+"")))"),"")</f>
        <v/>
      </c>
      <c r="N417" s="185"/>
      <c r="O417" s="185"/>
      <c r="P417" s="185"/>
      <c r="Q417" s="185"/>
      <c r="R417" s="185"/>
      <c r="S417" s="185"/>
      <c r="T417" s="185"/>
      <c r="U417" s="185"/>
      <c r="V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184" t="str">
        <f>IFERROR(__xludf.DUMMYFUNCTION("ifna(IF(and(D418=""Saída"",J418=""Sangria""),if(sum(QUERY(IMPORTRANGE(""https://docs.google.com/spreadsheets/d/1E4szPcLzsqlw4uyBAoJ61L1ChCgpz4wVP8tHfHW1g_c"",""BD M Sangrias!a:i""),""select Col6 where Col7 = 'Depositada' and Col9 = '""&amp;K418&amp;""' and Col6 ="&amp;" ""&amp;M418&amp;"" and Col4 = date '""&amp;YEAR(C418)&amp;""-""&amp;MONTH(C418)&amp;""-""&amp;DAY(C418)&amp;""'""))&gt;0,""Depositada"",if(sum(QUERY(IMPORTRANGE(""https://docs.google.com/spreadsheets/d/1EcLIvUgMoBC5as4ikW0wuQsGH5yVZ6cQ1y16qEfgPnk"",""BD M Sangrias!a:i""),""select Col6 whe"&amp;"re Col7 = 'Caixa Atendimento' and Col9 = '""&amp;K418&amp;""' and Col6 = ""&amp;M418&amp;"" and Col4 = date '""&amp;YEAR(C418)&amp;""-""&amp;MONTH(C418)&amp;""-""&amp;DAY(C418)&amp;""'""))&gt;0,""Caixa Atendimento"",""Caixa Sangria"")),""""),""Caixa Sangria"")"),"")</f>
        <v/>
      </c>
      <c r="M418" s="185" t="str">
        <f>IFERROR(__xludf.DUMMYFUNCTION("ifna(VALUE(REGEXEXTRACT(E418,""[0-9.]+[,]+[0-9]+"")))"),"")</f>
        <v/>
      </c>
      <c r="N418" s="185"/>
      <c r="O418" s="185"/>
      <c r="P418" s="185"/>
      <c r="Q418" s="185"/>
      <c r="R418" s="185"/>
      <c r="S418" s="185"/>
      <c r="T418" s="185"/>
      <c r="U418" s="185"/>
      <c r="V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184" t="str">
        <f>IFERROR(__xludf.DUMMYFUNCTION("ifna(IF(and(D419=""Saída"",J419=""Sangria""),if(sum(QUERY(IMPORTRANGE(""https://docs.google.com/spreadsheets/d/1E4szPcLzsqlw4uyBAoJ61L1ChCgpz4wVP8tHfHW1g_c"",""BD M Sangrias!a:i""),""select Col6 where Col7 = 'Depositada' and Col9 = '""&amp;K419&amp;""' and Col6 ="&amp;" ""&amp;M419&amp;"" and Col4 = date '""&amp;YEAR(C419)&amp;""-""&amp;MONTH(C419)&amp;""-""&amp;DAY(C419)&amp;""'""))&gt;0,""Depositada"",if(sum(QUERY(IMPORTRANGE(""https://docs.google.com/spreadsheets/d/1EcLIvUgMoBC5as4ikW0wuQsGH5yVZ6cQ1y16qEfgPnk"",""BD M Sangrias!a:i""),""select Col6 whe"&amp;"re Col7 = 'Caixa Atendimento' and Col9 = '""&amp;K419&amp;""' and Col6 = ""&amp;M419&amp;"" and Col4 = date '""&amp;YEAR(C419)&amp;""-""&amp;MONTH(C419)&amp;""-""&amp;DAY(C419)&amp;""'""))&gt;0,""Caixa Atendimento"",""Caixa Sangria"")),""""),""Caixa Sangria"")"),"")</f>
        <v/>
      </c>
      <c r="M419" s="185" t="str">
        <f>IFERROR(__xludf.DUMMYFUNCTION("ifna(VALUE(REGEXEXTRACT(E419,""[0-9.]+[,]+[0-9]+"")))"),"")</f>
        <v/>
      </c>
      <c r="N419" s="185"/>
      <c r="O419" s="185"/>
      <c r="P419" s="185"/>
      <c r="Q419" s="185"/>
      <c r="R419" s="185"/>
      <c r="S419" s="185"/>
      <c r="T419" s="185"/>
      <c r="U419" s="185"/>
      <c r="V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184" t="str">
        <f>IFERROR(__xludf.DUMMYFUNCTION("ifna(IF(and(D420=""Saída"",J420=""Sangria""),if(sum(QUERY(IMPORTRANGE(""https://docs.google.com/spreadsheets/d/1E4szPcLzsqlw4uyBAoJ61L1ChCgpz4wVP8tHfHW1g_c"",""BD M Sangrias!a:i""),""select Col6 where Col7 = 'Depositada' and Col9 = '""&amp;K420&amp;""' and Col6 ="&amp;" ""&amp;M420&amp;"" and Col4 = date '""&amp;YEAR(C420)&amp;""-""&amp;MONTH(C420)&amp;""-""&amp;DAY(C420)&amp;""'""))&gt;0,""Depositada"",if(sum(QUERY(IMPORTRANGE(""https://docs.google.com/spreadsheets/d/1EcLIvUgMoBC5as4ikW0wuQsGH5yVZ6cQ1y16qEfgPnk"",""BD M Sangrias!a:i""),""select Col6 whe"&amp;"re Col7 = 'Caixa Atendimento' and Col9 = '""&amp;K420&amp;""' and Col6 = ""&amp;M420&amp;"" and Col4 = date '""&amp;YEAR(C420)&amp;""-""&amp;MONTH(C420)&amp;""-""&amp;DAY(C420)&amp;""'""))&gt;0,""Caixa Atendimento"",""Caixa Sangria"")),""""),""Caixa Sangria"")"),"")</f>
        <v/>
      </c>
      <c r="M420" s="185" t="str">
        <f>IFERROR(__xludf.DUMMYFUNCTION("ifna(VALUE(REGEXEXTRACT(E420,""[0-9.]+[,]+[0-9]+"")))"),"")</f>
        <v/>
      </c>
      <c r="N420" s="185"/>
      <c r="O420" s="185"/>
      <c r="P420" s="185"/>
      <c r="Q420" s="185"/>
      <c r="R420" s="185"/>
      <c r="S420" s="185"/>
      <c r="T420" s="185"/>
      <c r="U420" s="185"/>
      <c r="V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184" t="str">
        <f>IFERROR(__xludf.DUMMYFUNCTION("ifna(IF(and(D421=""Saída"",J421=""Sangria""),if(sum(QUERY(IMPORTRANGE(""https://docs.google.com/spreadsheets/d/1E4szPcLzsqlw4uyBAoJ61L1ChCgpz4wVP8tHfHW1g_c"",""BD M Sangrias!a:i""),""select Col6 where Col7 = 'Depositada' and Col9 = '""&amp;K421&amp;""' and Col6 ="&amp;" ""&amp;M421&amp;"" and Col4 = date '""&amp;YEAR(C421)&amp;""-""&amp;MONTH(C421)&amp;""-""&amp;DAY(C421)&amp;""'""))&gt;0,""Depositada"",if(sum(QUERY(IMPORTRANGE(""https://docs.google.com/spreadsheets/d/1EcLIvUgMoBC5as4ikW0wuQsGH5yVZ6cQ1y16qEfgPnk"",""BD M Sangrias!a:i""),""select Col6 whe"&amp;"re Col7 = 'Caixa Atendimento' and Col9 = '""&amp;K421&amp;""' and Col6 = ""&amp;M421&amp;"" and Col4 = date '""&amp;YEAR(C421)&amp;""-""&amp;MONTH(C421)&amp;""-""&amp;DAY(C421)&amp;""'""))&gt;0,""Caixa Atendimento"",""Caixa Sangria"")),""""),""Caixa Sangria"")"),"")</f>
        <v/>
      </c>
      <c r="M421" s="185" t="str">
        <f>IFERROR(__xludf.DUMMYFUNCTION("ifna(VALUE(REGEXEXTRACT(E421,""[0-9.]+[,]+[0-9]+"")))"),"")</f>
        <v/>
      </c>
      <c r="N421" s="185"/>
      <c r="O421" s="185"/>
      <c r="P421" s="185"/>
      <c r="Q421" s="185"/>
      <c r="R421" s="185"/>
      <c r="S421" s="185"/>
      <c r="T421" s="185"/>
      <c r="U421" s="185"/>
      <c r="V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184" t="str">
        <f>IFERROR(__xludf.DUMMYFUNCTION("ifna(IF(and(D422=""Saída"",J422=""Sangria""),if(sum(QUERY(IMPORTRANGE(""https://docs.google.com/spreadsheets/d/1E4szPcLzsqlw4uyBAoJ61L1ChCgpz4wVP8tHfHW1g_c"",""BD M Sangrias!a:i""),""select Col6 where Col7 = 'Depositada' and Col9 = '""&amp;K422&amp;""' and Col6 ="&amp;" ""&amp;M422&amp;"" and Col4 = date '""&amp;YEAR(C422)&amp;""-""&amp;MONTH(C422)&amp;""-""&amp;DAY(C422)&amp;""'""))&gt;0,""Depositada"",if(sum(QUERY(IMPORTRANGE(""https://docs.google.com/spreadsheets/d/1EcLIvUgMoBC5as4ikW0wuQsGH5yVZ6cQ1y16qEfgPnk"",""BD M Sangrias!a:i""),""select Col6 whe"&amp;"re Col7 = 'Caixa Atendimento' and Col9 = '""&amp;K422&amp;""' and Col6 = ""&amp;M422&amp;"" and Col4 = date '""&amp;YEAR(C422)&amp;""-""&amp;MONTH(C422)&amp;""-""&amp;DAY(C422)&amp;""'""))&gt;0,""Caixa Atendimento"",""Caixa Sangria"")),""""),""Caixa Sangria"")"),"")</f>
        <v/>
      </c>
      <c r="M422" s="185" t="str">
        <f>IFERROR(__xludf.DUMMYFUNCTION("ifna(VALUE(REGEXEXTRACT(E422,""[0-9.]+[,]+[0-9]+"")))"),"")</f>
        <v/>
      </c>
      <c r="N422" s="185"/>
      <c r="O422" s="185"/>
      <c r="P422" s="185"/>
      <c r="Q422" s="185"/>
      <c r="R422" s="185"/>
      <c r="S422" s="185"/>
      <c r="T422" s="185"/>
      <c r="U422" s="185"/>
      <c r="V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184" t="str">
        <f>IFERROR(__xludf.DUMMYFUNCTION("ifna(IF(and(D423=""Saída"",J423=""Sangria""),if(sum(QUERY(IMPORTRANGE(""https://docs.google.com/spreadsheets/d/1E4szPcLzsqlw4uyBAoJ61L1ChCgpz4wVP8tHfHW1g_c"",""BD M Sangrias!a:i""),""select Col6 where Col7 = 'Depositada' and Col9 = '""&amp;K423&amp;""' and Col6 ="&amp;" ""&amp;M423&amp;"" and Col4 = date '""&amp;YEAR(C423)&amp;""-""&amp;MONTH(C423)&amp;""-""&amp;DAY(C423)&amp;""'""))&gt;0,""Depositada"",if(sum(QUERY(IMPORTRANGE(""https://docs.google.com/spreadsheets/d/1EcLIvUgMoBC5as4ikW0wuQsGH5yVZ6cQ1y16qEfgPnk"",""BD M Sangrias!a:i""),""select Col6 whe"&amp;"re Col7 = 'Caixa Atendimento' and Col9 = '""&amp;K423&amp;""' and Col6 = ""&amp;M423&amp;"" and Col4 = date '""&amp;YEAR(C423)&amp;""-""&amp;MONTH(C423)&amp;""-""&amp;DAY(C423)&amp;""'""))&gt;0,""Caixa Atendimento"",""Caixa Sangria"")),""""),""Caixa Sangria"")"),"")</f>
        <v/>
      </c>
      <c r="M423" s="185" t="str">
        <f>IFERROR(__xludf.DUMMYFUNCTION("ifna(VALUE(REGEXEXTRACT(E423,""[0-9.]+[,]+[0-9]+"")))"),"")</f>
        <v/>
      </c>
      <c r="N423" s="185"/>
      <c r="O423" s="185"/>
      <c r="P423" s="185"/>
      <c r="Q423" s="185"/>
      <c r="R423" s="185"/>
      <c r="S423" s="185"/>
      <c r="T423" s="185"/>
      <c r="U423" s="185"/>
      <c r="V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184" t="str">
        <f>IFERROR(__xludf.DUMMYFUNCTION("ifna(IF(and(D424=""Saída"",J424=""Sangria""),if(sum(QUERY(IMPORTRANGE(""https://docs.google.com/spreadsheets/d/1E4szPcLzsqlw4uyBAoJ61L1ChCgpz4wVP8tHfHW1g_c"",""BD M Sangrias!a:i""),""select Col6 where Col7 = 'Depositada' and Col9 = '""&amp;K424&amp;""' and Col6 ="&amp;" ""&amp;M424&amp;"" and Col4 = date '""&amp;YEAR(C424)&amp;""-""&amp;MONTH(C424)&amp;""-""&amp;DAY(C424)&amp;""'""))&gt;0,""Depositada"",if(sum(QUERY(IMPORTRANGE(""https://docs.google.com/spreadsheets/d/1EcLIvUgMoBC5as4ikW0wuQsGH5yVZ6cQ1y16qEfgPnk"",""BD M Sangrias!a:i""),""select Col6 whe"&amp;"re Col7 = 'Caixa Atendimento' and Col9 = '""&amp;K424&amp;""' and Col6 = ""&amp;M424&amp;"" and Col4 = date '""&amp;YEAR(C424)&amp;""-""&amp;MONTH(C424)&amp;""-""&amp;DAY(C424)&amp;""'""))&gt;0,""Caixa Atendimento"",""Caixa Sangria"")),""""),""Caixa Sangria"")"),"")</f>
        <v/>
      </c>
      <c r="M424" s="185" t="str">
        <f>IFERROR(__xludf.DUMMYFUNCTION("ifna(VALUE(REGEXEXTRACT(E424,""[0-9.]+[,]+[0-9]+"")))"),"")</f>
        <v/>
      </c>
      <c r="N424" s="185"/>
      <c r="O424" s="185"/>
      <c r="P424" s="185"/>
      <c r="Q424" s="185"/>
      <c r="R424" s="185"/>
      <c r="S424" s="185"/>
      <c r="T424" s="185"/>
      <c r="U424" s="185"/>
      <c r="V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184" t="str">
        <f>IFERROR(__xludf.DUMMYFUNCTION("ifna(IF(and(D425=""Saída"",J425=""Sangria""),if(sum(QUERY(IMPORTRANGE(""https://docs.google.com/spreadsheets/d/1E4szPcLzsqlw4uyBAoJ61L1ChCgpz4wVP8tHfHW1g_c"",""BD M Sangrias!a:i""),""select Col6 where Col7 = 'Depositada' and Col9 = '""&amp;K425&amp;""' and Col6 ="&amp;" ""&amp;M425&amp;"" and Col4 = date '""&amp;YEAR(C425)&amp;""-""&amp;MONTH(C425)&amp;""-""&amp;DAY(C425)&amp;""'""))&gt;0,""Depositada"",if(sum(QUERY(IMPORTRANGE(""https://docs.google.com/spreadsheets/d/1EcLIvUgMoBC5as4ikW0wuQsGH5yVZ6cQ1y16qEfgPnk"",""BD M Sangrias!a:i""),""select Col6 whe"&amp;"re Col7 = 'Caixa Atendimento' and Col9 = '""&amp;K425&amp;""' and Col6 = ""&amp;M425&amp;"" and Col4 = date '""&amp;YEAR(C425)&amp;""-""&amp;MONTH(C425)&amp;""-""&amp;DAY(C425)&amp;""'""))&gt;0,""Caixa Atendimento"",""Caixa Sangria"")),""""),""Caixa Sangria"")"),"")</f>
        <v/>
      </c>
      <c r="M425" s="185" t="str">
        <f>IFERROR(__xludf.DUMMYFUNCTION("ifna(VALUE(REGEXEXTRACT(E425,""[0-9.]+[,]+[0-9]+"")))"),"")</f>
        <v/>
      </c>
      <c r="N425" s="185"/>
      <c r="O425" s="185"/>
      <c r="P425" s="185"/>
      <c r="Q425" s="185"/>
      <c r="R425" s="185"/>
      <c r="S425" s="185"/>
      <c r="T425" s="185"/>
      <c r="U425" s="185"/>
      <c r="V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184" t="str">
        <f>IFERROR(__xludf.DUMMYFUNCTION("ifna(IF(and(D426=""Saída"",J426=""Sangria""),if(sum(QUERY(IMPORTRANGE(""https://docs.google.com/spreadsheets/d/1E4szPcLzsqlw4uyBAoJ61L1ChCgpz4wVP8tHfHW1g_c"",""BD M Sangrias!a:i""),""select Col6 where Col7 = 'Depositada' and Col9 = '""&amp;K426&amp;""' and Col6 ="&amp;" ""&amp;M426&amp;"" and Col4 = date '""&amp;YEAR(C426)&amp;""-""&amp;MONTH(C426)&amp;""-""&amp;DAY(C426)&amp;""'""))&gt;0,""Depositada"",if(sum(QUERY(IMPORTRANGE(""https://docs.google.com/spreadsheets/d/1EcLIvUgMoBC5as4ikW0wuQsGH5yVZ6cQ1y16qEfgPnk"",""BD M Sangrias!a:i""),""select Col6 whe"&amp;"re Col7 = 'Caixa Atendimento' and Col9 = '""&amp;K426&amp;""' and Col6 = ""&amp;M426&amp;"" and Col4 = date '""&amp;YEAR(C426)&amp;""-""&amp;MONTH(C426)&amp;""-""&amp;DAY(C426)&amp;""'""))&gt;0,""Caixa Atendimento"",""Caixa Sangria"")),""""),""Caixa Sangria"")"),"")</f>
        <v/>
      </c>
      <c r="M426" s="185" t="str">
        <f>IFERROR(__xludf.DUMMYFUNCTION("ifna(VALUE(REGEXEXTRACT(E426,""[0-9.]+[,]+[0-9]+"")))"),"")</f>
        <v/>
      </c>
      <c r="N426" s="185"/>
      <c r="O426" s="185"/>
      <c r="P426" s="185"/>
      <c r="Q426" s="185"/>
      <c r="R426" s="185"/>
      <c r="S426" s="185"/>
      <c r="T426" s="185"/>
      <c r="U426" s="185"/>
      <c r="V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184" t="str">
        <f>IFERROR(__xludf.DUMMYFUNCTION("ifna(IF(and(D427=""Saída"",J427=""Sangria""),if(sum(QUERY(IMPORTRANGE(""https://docs.google.com/spreadsheets/d/1E4szPcLzsqlw4uyBAoJ61L1ChCgpz4wVP8tHfHW1g_c"",""BD M Sangrias!a:i""),""select Col6 where Col7 = 'Depositada' and Col9 = '""&amp;K427&amp;""' and Col6 ="&amp;" ""&amp;M427&amp;"" and Col4 = date '""&amp;YEAR(C427)&amp;""-""&amp;MONTH(C427)&amp;""-""&amp;DAY(C427)&amp;""'""))&gt;0,""Depositada"",if(sum(QUERY(IMPORTRANGE(""https://docs.google.com/spreadsheets/d/1EcLIvUgMoBC5as4ikW0wuQsGH5yVZ6cQ1y16qEfgPnk"",""BD M Sangrias!a:i""),""select Col6 whe"&amp;"re Col7 = 'Caixa Atendimento' and Col9 = '""&amp;K427&amp;""' and Col6 = ""&amp;M427&amp;"" and Col4 = date '""&amp;YEAR(C427)&amp;""-""&amp;MONTH(C427)&amp;""-""&amp;DAY(C427)&amp;""'""))&gt;0,""Caixa Atendimento"",""Caixa Sangria"")),""""),""Caixa Sangria"")"),"")</f>
        <v/>
      </c>
      <c r="M427" s="185" t="str">
        <f>IFERROR(__xludf.DUMMYFUNCTION("ifna(VALUE(REGEXEXTRACT(E427,""[0-9.]+[,]+[0-9]+"")))"),"")</f>
        <v/>
      </c>
      <c r="N427" s="185"/>
      <c r="O427" s="185"/>
      <c r="P427" s="185"/>
      <c r="Q427" s="185"/>
      <c r="R427" s="185"/>
      <c r="S427" s="185"/>
      <c r="T427" s="185"/>
      <c r="U427" s="185"/>
      <c r="V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184" t="str">
        <f>IFERROR(__xludf.DUMMYFUNCTION("ifna(IF(and(D428=""Saída"",J428=""Sangria""),if(sum(QUERY(IMPORTRANGE(""https://docs.google.com/spreadsheets/d/1E4szPcLzsqlw4uyBAoJ61L1ChCgpz4wVP8tHfHW1g_c"",""BD M Sangrias!a:i""),""select Col6 where Col7 = 'Depositada' and Col9 = '""&amp;K428&amp;""' and Col6 ="&amp;" ""&amp;M428&amp;"" and Col4 = date '""&amp;YEAR(C428)&amp;""-""&amp;MONTH(C428)&amp;""-""&amp;DAY(C428)&amp;""'""))&gt;0,""Depositada"",if(sum(QUERY(IMPORTRANGE(""https://docs.google.com/spreadsheets/d/1EcLIvUgMoBC5as4ikW0wuQsGH5yVZ6cQ1y16qEfgPnk"",""BD M Sangrias!a:i""),""select Col6 whe"&amp;"re Col7 = 'Caixa Atendimento' and Col9 = '""&amp;K428&amp;""' and Col6 = ""&amp;M428&amp;"" and Col4 = date '""&amp;YEAR(C428)&amp;""-""&amp;MONTH(C428)&amp;""-""&amp;DAY(C428)&amp;""'""))&gt;0,""Caixa Atendimento"",""Caixa Sangria"")),""""),""Caixa Sangria"")"),"")</f>
        <v/>
      </c>
      <c r="M428" s="185" t="str">
        <f>IFERROR(__xludf.DUMMYFUNCTION("ifna(VALUE(REGEXEXTRACT(E428,""[0-9.]+[,]+[0-9]+"")))"),"")</f>
        <v/>
      </c>
      <c r="N428" s="185"/>
      <c r="O428" s="185"/>
      <c r="P428" s="185"/>
      <c r="Q428" s="185"/>
      <c r="R428" s="185"/>
      <c r="S428" s="185"/>
      <c r="T428" s="185"/>
      <c r="U428" s="185"/>
      <c r="V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184" t="str">
        <f>IFERROR(__xludf.DUMMYFUNCTION("ifna(IF(and(D429=""Saída"",J429=""Sangria""),if(sum(QUERY(IMPORTRANGE(""https://docs.google.com/spreadsheets/d/1E4szPcLzsqlw4uyBAoJ61L1ChCgpz4wVP8tHfHW1g_c"",""BD M Sangrias!a:i""),""select Col6 where Col7 = 'Depositada' and Col9 = '""&amp;K429&amp;""' and Col6 ="&amp;" ""&amp;M429&amp;"" and Col4 = date '""&amp;YEAR(C429)&amp;""-""&amp;MONTH(C429)&amp;""-""&amp;DAY(C429)&amp;""'""))&gt;0,""Depositada"",if(sum(QUERY(IMPORTRANGE(""https://docs.google.com/spreadsheets/d/1EcLIvUgMoBC5as4ikW0wuQsGH5yVZ6cQ1y16qEfgPnk"",""BD M Sangrias!a:i""),""select Col6 whe"&amp;"re Col7 = 'Caixa Atendimento' and Col9 = '""&amp;K429&amp;""' and Col6 = ""&amp;M429&amp;"" and Col4 = date '""&amp;YEAR(C429)&amp;""-""&amp;MONTH(C429)&amp;""-""&amp;DAY(C429)&amp;""'""))&gt;0,""Caixa Atendimento"",""Caixa Sangria"")),""""),""Caixa Sangria"")"),"")</f>
        <v/>
      </c>
      <c r="M429" s="185" t="str">
        <f>IFERROR(__xludf.DUMMYFUNCTION("ifna(VALUE(REGEXEXTRACT(E429,""[0-9.]+[,]+[0-9]+"")))"),"")</f>
        <v/>
      </c>
      <c r="N429" s="185"/>
      <c r="O429" s="185"/>
      <c r="P429" s="185"/>
      <c r="Q429" s="185"/>
      <c r="R429" s="185"/>
      <c r="S429" s="185"/>
      <c r="T429" s="185"/>
      <c r="U429" s="185"/>
      <c r="V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184" t="str">
        <f>IFERROR(__xludf.DUMMYFUNCTION("ifna(IF(and(D430=""Saída"",J430=""Sangria""),if(sum(QUERY(IMPORTRANGE(""https://docs.google.com/spreadsheets/d/1E4szPcLzsqlw4uyBAoJ61L1ChCgpz4wVP8tHfHW1g_c"",""BD M Sangrias!a:i""),""select Col6 where Col7 = 'Depositada' and Col9 = '""&amp;K430&amp;""' and Col6 ="&amp;" ""&amp;M430&amp;"" and Col4 = date '""&amp;YEAR(C430)&amp;""-""&amp;MONTH(C430)&amp;""-""&amp;DAY(C430)&amp;""'""))&gt;0,""Depositada"",if(sum(QUERY(IMPORTRANGE(""https://docs.google.com/spreadsheets/d/1EcLIvUgMoBC5as4ikW0wuQsGH5yVZ6cQ1y16qEfgPnk"",""BD M Sangrias!a:i""),""select Col6 whe"&amp;"re Col7 = 'Caixa Atendimento' and Col9 = '""&amp;K430&amp;""' and Col6 = ""&amp;M430&amp;"" and Col4 = date '""&amp;YEAR(C430)&amp;""-""&amp;MONTH(C430)&amp;""-""&amp;DAY(C430)&amp;""'""))&gt;0,""Caixa Atendimento"",""Caixa Sangria"")),""""),""Caixa Sangria"")"),"")</f>
        <v/>
      </c>
      <c r="M430" s="185" t="str">
        <f>IFERROR(__xludf.DUMMYFUNCTION("ifna(VALUE(REGEXEXTRACT(E430,""[0-9.]+[,]+[0-9]+"")))"),"")</f>
        <v/>
      </c>
      <c r="N430" s="185"/>
      <c r="O430" s="185"/>
      <c r="P430" s="185"/>
      <c r="Q430" s="185"/>
      <c r="R430" s="185"/>
      <c r="S430" s="185"/>
      <c r="T430" s="185"/>
      <c r="U430" s="185"/>
      <c r="V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184" t="str">
        <f>IFERROR(__xludf.DUMMYFUNCTION("ifna(IF(and(D431=""Saída"",J431=""Sangria""),if(sum(QUERY(IMPORTRANGE(""https://docs.google.com/spreadsheets/d/1E4szPcLzsqlw4uyBAoJ61L1ChCgpz4wVP8tHfHW1g_c"",""BD M Sangrias!a:i""),""select Col6 where Col7 = 'Depositada' and Col9 = '""&amp;K431&amp;""' and Col6 ="&amp;" ""&amp;M431&amp;"" and Col4 = date '""&amp;YEAR(C431)&amp;""-""&amp;MONTH(C431)&amp;""-""&amp;DAY(C431)&amp;""'""))&gt;0,""Depositada"",if(sum(QUERY(IMPORTRANGE(""https://docs.google.com/spreadsheets/d/1EcLIvUgMoBC5as4ikW0wuQsGH5yVZ6cQ1y16qEfgPnk"",""BD M Sangrias!a:i""),""select Col6 whe"&amp;"re Col7 = 'Caixa Atendimento' and Col9 = '""&amp;K431&amp;""' and Col6 = ""&amp;M431&amp;"" and Col4 = date '""&amp;YEAR(C431)&amp;""-""&amp;MONTH(C431)&amp;""-""&amp;DAY(C431)&amp;""'""))&gt;0,""Caixa Atendimento"",""Caixa Sangria"")),""""),""Caixa Sangria"")"),"")</f>
        <v/>
      </c>
      <c r="M431" s="185" t="str">
        <f>IFERROR(__xludf.DUMMYFUNCTION("ifna(VALUE(REGEXEXTRACT(E431,""[0-9.]+[,]+[0-9]+"")))"),"")</f>
        <v/>
      </c>
      <c r="N431" s="185"/>
      <c r="O431" s="185"/>
      <c r="P431" s="185"/>
      <c r="Q431" s="185"/>
      <c r="R431" s="185"/>
      <c r="S431" s="185"/>
      <c r="T431" s="185"/>
      <c r="U431" s="185"/>
      <c r="V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184" t="str">
        <f>IFERROR(__xludf.DUMMYFUNCTION("ifna(IF(and(D432=""Saída"",J432=""Sangria""),if(sum(QUERY(IMPORTRANGE(""https://docs.google.com/spreadsheets/d/1E4szPcLzsqlw4uyBAoJ61L1ChCgpz4wVP8tHfHW1g_c"",""BD M Sangrias!a:i""),""select Col6 where Col7 = 'Depositada' and Col9 = '""&amp;K432&amp;""' and Col6 ="&amp;" ""&amp;M432&amp;"" and Col4 = date '""&amp;YEAR(C432)&amp;""-""&amp;MONTH(C432)&amp;""-""&amp;DAY(C432)&amp;""'""))&gt;0,""Depositada"",if(sum(QUERY(IMPORTRANGE(""https://docs.google.com/spreadsheets/d/1EcLIvUgMoBC5as4ikW0wuQsGH5yVZ6cQ1y16qEfgPnk"",""BD M Sangrias!a:i""),""select Col6 whe"&amp;"re Col7 = 'Caixa Atendimento' and Col9 = '""&amp;K432&amp;""' and Col6 = ""&amp;M432&amp;"" and Col4 = date '""&amp;YEAR(C432)&amp;""-""&amp;MONTH(C432)&amp;""-""&amp;DAY(C432)&amp;""'""))&gt;0,""Caixa Atendimento"",""Caixa Sangria"")),""""),""Caixa Sangria"")"),"")</f>
        <v/>
      </c>
      <c r="M432" s="185" t="str">
        <f>IFERROR(__xludf.DUMMYFUNCTION("ifna(VALUE(REGEXEXTRACT(E432,""[0-9.]+[,]+[0-9]+"")))"),"")</f>
        <v/>
      </c>
      <c r="N432" s="185"/>
      <c r="O432" s="185"/>
      <c r="P432" s="185"/>
      <c r="Q432" s="185"/>
      <c r="R432" s="185"/>
      <c r="S432" s="185"/>
      <c r="T432" s="185"/>
      <c r="U432" s="185"/>
      <c r="V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184" t="str">
        <f>IFERROR(__xludf.DUMMYFUNCTION("ifna(IF(and(D433=""Saída"",J433=""Sangria""),if(sum(QUERY(IMPORTRANGE(""https://docs.google.com/spreadsheets/d/1E4szPcLzsqlw4uyBAoJ61L1ChCgpz4wVP8tHfHW1g_c"",""BD M Sangrias!a:i""),""select Col6 where Col7 = 'Depositada' and Col9 = '""&amp;K433&amp;""' and Col6 ="&amp;" ""&amp;M433&amp;"" and Col4 = date '""&amp;YEAR(C433)&amp;""-""&amp;MONTH(C433)&amp;""-""&amp;DAY(C433)&amp;""'""))&gt;0,""Depositada"",if(sum(QUERY(IMPORTRANGE(""https://docs.google.com/spreadsheets/d/1EcLIvUgMoBC5as4ikW0wuQsGH5yVZ6cQ1y16qEfgPnk"",""BD M Sangrias!a:i""),""select Col6 whe"&amp;"re Col7 = 'Caixa Atendimento' and Col9 = '""&amp;K433&amp;""' and Col6 = ""&amp;M433&amp;"" and Col4 = date '""&amp;YEAR(C433)&amp;""-""&amp;MONTH(C433)&amp;""-""&amp;DAY(C433)&amp;""'""))&gt;0,""Caixa Atendimento"",""Caixa Sangria"")),""""),""Caixa Sangria"")"),"")</f>
        <v/>
      </c>
      <c r="M433" s="185" t="str">
        <f>IFERROR(__xludf.DUMMYFUNCTION("ifna(VALUE(REGEXEXTRACT(E433,""[0-9.]+[,]+[0-9]+"")))"),"")</f>
        <v/>
      </c>
      <c r="N433" s="185"/>
      <c r="O433" s="185"/>
      <c r="P433" s="185"/>
      <c r="Q433" s="185"/>
      <c r="R433" s="185"/>
      <c r="S433" s="185"/>
      <c r="T433" s="185"/>
      <c r="U433" s="185"/>
      <c r="V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184" t="str">
        <f>IFERROR(__xludf.DUMMYFUNCTION("ifna(IF(and(D434=""Saída"",J434=""Sangria""),if(sum(QUERY(IMPORTRANGE(""https://docs.google.com/spreadsheets/d/1E4szPcLzsqlw4uyBAoJ61L1ChCgpz4wVP8tHfHW1g_c"",""BD M Sangrias!a:i""),""select Col6 where Col7 = 'Depositada' and Col9 = '""&amp;K434&amp;""' and Col6 ="&amp;" ""&amp;M434&amp;"" and Col4 = date '""&amp;YEAR(C434)&amp;""-""&amp;MONTH(C434)&amp;""-""&amp;DAY(C434)&amp;""'""))&gt;0,""Depositada"",if(sum(QUERY(IMPORTRANGE(""https://docs.google.com/spreadsheets/d/1EcLIvUgMoBC5as4ikW0wuQsGH5yVZ6cQ1y16qEfgPnk"",""BD M Sangrias!a:i""),""select Col6 whe"&amp;"re Col7 = 'Caixa Atendimento' and Col9 = '""&amp;K434&amp;""' and Col6 = ""&amp;M434&amp;"" and Col4 = date '""&amp;YEAR(C434)&amp;""-""&amp;MONTH(C434)&amp;""-""&amp;DAY(C434)&amp;""'""))&gt;0,""Caixa Atendimento"",""Caixa Sangria"")),""""),""Caixa Sangria"")"),"")</f>
        <v/>
      </c>
      <c r="M434" s="185" t="str">
        <f>IFERROR(__xludf.DUMMYFUNCTION("ifna(VALUE(REGEXEXTRACT(E434,""[0-9.]+[,]+[0-9]+"")))"),"")</f>
        <v/>
      </c>
      <c r="N434" s="185"/>
      <c r="O434" s="185"/>
      <c r="P434" s="185"/>
      <c r="Q434" s="185"/>
      <c r="R434" s="185"/>
      <c r="S434" s="185"/>
      <c r="T434" s="185"/>
      <c r="U434" s="185"/>
      <c r="V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184" t="str">
        <f>IFERROR(__xludf.DUMMYFUNCTION("ifna(IF(and(D435=""Saída"",J435=""Sangria""),if(sum(QUERY(IMPORTRANGE(""https://docs.google.com/spreadsheets/d/1E4szPcLzsqlw4uyBAoJ61L1ChCgpz4wVP8tHfHW1g_c"",""BD M Sangrias!a:i""),""select Col6 where Col7 = 'Depositada' and Col9 = '""&amp;K435&amp;""' and Col6 ="&amp;" ""&amp;M435&amp;"" and Col4 = date '""&amp;YEAR(C435)&amp;""-""&amp;MONTH(C435)&amp;""-""&amp;DAY(C435)&amp;""'""))&gt;0,""Depositada"",if(sum(QUERY(IMPORTRANGE(""https://docs.google.com/spreadsheets/d/1EcLIvUgMoBC5as4ikW0wuQsGH5yVZ6cQ1y16qEfgPnk"",""BD M Sangrias!a:i""),""select Col6 whe"&amp;"re Col7 = 'Caixa Atendimento' and Col9 = '""&amp;K435&amp;""' and Col6 = ""&amp;M435&amp;"" and Col4 = date '""&amp;YEAR(C435)&amp;""-""&amp;MONTH(C435)&amp;""-""&amp;DAY(C435)&amp;""'""))&gt;0,""Caixa Atendimento"",""Caixa Sangria"")),""""),""Caixa Sangria"")"),"")</f>
        <v/>
      </c>
      <c r="M435" s="185" t="str">
        <f>IFERROR(__xludf.DUMMYFUNCTION("ifna(VALUE(REGEXEXTRACT(E435,""[0-9.]+[,]+[0-9]+"")))"),"")</f>
        <v/>
      </c>
      <c r="N435" s="185"/>
      <c r="O435" s="185"/>
      <c r="P435" s="185"/>
      <c r="Q435" s="185"/>
      <c r="R435" s="185"/>
      <c r="S435" s="185"/>
      <c r="T435" s="185"/>
      <c r="U435" s="185"/>
      <c r="V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184" t="str">
        <f>IFERROR(__xludf.DUMMYFUNCTION("ifna(IF(and(D436=""Saída"",J436=""Sangria""),if(sum(QUERY(IMPORTRANGE(""https://docs.google.com/spreadsheets/d/1E4szPcLzsqlw4uyBAoJ61L1ChCgpz4wVP8tHfHW1g_c"",""BD M Sangrias!a:i""),""select Col6 where Col7 = 'Depositada' and Col9 = '""&amp;K436&amp;""' and Col6 ="&amp;" ""&amp;M436&amp;"" and Col4 = date '""&amp;YEAR(C436)&amp;""-""&amp;MONTH(C436)&amp;""-""&amp;DAY(C436)&amp;""'""))&gt;0,""Depositada"",if(sum(QUERY(IMPORTRANGE(""https://docs.google.com/spreadsheets/d/1EcLIvUgMoBC5as4ikW0wuQsGH5yVZ6cQ1y16qEfgPnk"",""BD M Sangrias!a:i""),""select Col6 whe"&amp;"re Col7 = 'Caixa Atendimento' and Col9 = '""&amp;K436&amp;""' and Col6 = ""&amp;M436&amp;"" and Col4 = date '""&amp;YEAR(C436)&amp;""-""&amp;MONTH(C436)&amp;""-""&amp;DAY(C436)&amp;""'""))&gt;0,""Caixa Atendimento"",""Caixa Sangria"")),""""),""Caixa Sangria"")"),"")</f>
        <v/>
      </c>
      <c r="M436" s="185" t="str">
        <f>IFERROR(__xludf.DUMMYFUNCTION("ifna(VALUE(REGEXEXTRACT(E436,""[0-9.]+[,]+[0-9]+"")))"),"")</f>
        <v/>
      </c>
      <c r="N436" s="185"/>
      <c r="O436" s="185"/>
      <c r="P436" s="185"/>
      <c r="Q436" s="185"/>
      <c r="R436" s="185"/>
      <c r="S436" s="185"/>
      <c r="T436" s="185"/>
      <c r="U436" s="185"/>
      <c r="V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184" t="str">
        <f>IFERROR(__xludf.DUMMYFUNCTION("ifna(IF(and(D437=""Saída"",J437=""Sangria""),if(sum(QUERY(IMPORTRANGE(""https://docs.google.com/spreadsheets/d/1E4szPcLzsqlw4uyBAoJ61L1ChCgpz4wVP8tHfHW1g_c"",""BD M Sangrias!a:i""),""select Col6 where Col7 = 'Depositada' and Col9 = '""&amp;K437&amp;""' and Col6 ="&amp;" ""&amp;M437&amp;"" and Col4 = date '""&amp;YEAR(C437)&amp;""-""&amp;MONTH(C437)&amp;""-""&amp;DAY(C437)&amp;""'""))&gt;0,""Depositada"",if(sum(QUERY(IMPORTRANGE(""https://docs.google.com/spreadsheets/d/1EcLIvUgMoBC5as4ikW0wuQsGH5yVZ6cQ1y16qEfgPnk"",""BD M Sangrias!a:i""),""select Col6 whe"&amp;"re Col7 = 'Caixa Atendimento' and Col9 = '""&amp;K437&amp;""' and Col6 = ""&amp;M437&amp;"" and Col4 = date '""&amp;YEAR(C437)&amp;""-""&amp;MONTH(C437)&amp;""-""&amp;DAY(C437)&amp;""'""))&gt;0,""Caixa Atendimento"",""Caixa Sangria"")),""""),""Caixa Sangria"")"),"")</f>
        <v/>
      </c>
      <c r="M437" s="185" t="str">
        <f>IFERROR(__xludf.DUMMYFUNCTION("ifna(VALUE(REGEXEXTRACT(E437,""[0-9.]+[,]+[0-9]+"")))"),"")</f>
        <v/>
      </c>
      <c r="N437" s="185"/>
      <c r="O437" s="185"/>
      <c r="P437" s="185"/>
      <c r="Q437" s="185"/>
      <c r="R437" s="185"/>
      <c r="S437" s="185"/>
      <c r="T437" s="185"/>
      <c r="U437" s="185"/>
      <c r="V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184" t="str">
        <f>IFERROR(__xludf.DUMMYFUNCTION("ifna(IF(and(D438=""Saída"",J438=""Sangria""),if(sum(QUERY(IMPORTRANGE(""https://docs.google.com/spreadsheets/d/1E4szPcLzsqlw4uyBAoJ61L1ChCgpz4wVP8tHfHW1g_c"",""BD M Sangrias!a:i""),""select Col6 where Col7 = 'Depositada' and Col9 = '""&amp;K438&amp;""' and Col6 ="&amp;" ""&amp;M438&amp;"" and Col4 = date '""&amp;YEAR(C438)&amp;""-""&amp;MONTH(C438)&amp;""-""&amp;DAY(C438)&amp;""'""))&gt;0,""Depositada"",if(sum(QUERY(IMPORTRANGE(""https://docs.google.com/spreadsheets/d/1EcLIvUgMoBC5as4ikW0wuQsGH5yVZ6cQ1y16qEfgPnk"",""BD M Sangrias!a:i""),""select Col6 whe"&amp;"re Col7 = 'Caixa Atendimento' and Col9 = '""&amp;K438&amp;""' and Col6 = ""&amp;M438&amp;"" and Col4 = date '""&amp;YEAR(C438)&amp;""-""&amp;MONTH(C438)&amp;""-""&amp;DAY(C438)&amp;""'""))&gt;0,""Caixa Atendimento"",""Caixa Sangria"")),""""),""Caixa Sangria"")"),"")</f>
        <v/>
      </c>
      <c r="M438" s="185" t="str">
        <f>IFERROR(__xludf.DUMMYFUNCTION("ifna(VALUE(REGEXEXTRACT(E438,""[0-9.]+[,]+[0-9]+"")))"),"")</f>
        <v/>
      </c>
      <c r="N438" s="185"/>
      <c r="O438" s="185"/>
      <c r="P438" s="185"/>
      <c r="Q438" s="185"/>
      <c r="R438" s="185"/>
      <c r="S438" s="185"/>
      <c r="T438" s="185"/>
      <c r="U438" s="185"/>
      <c r="V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184" t="str">
        <f>IFERROR(__xludf.DUMMYFUNCTION("ifna(IF(and(D439=""Saída"",J439=""Sangria""),if(sum(QUERY(IMPORTRANGE(""https://docs.google.com/spreadsheets/d/1E4szPcLzsqlw4uyBAoJ61L1ChCgpz4wVP8tHfHW1g_c"",""BD M Sangrias!a:i""),""select Col6 where Col7 = 'Depositada' and Col9 = '""&amp;K439&amp;""' and Col6 ="&amp;" ""&amp;M439&amp;"" and Col4 = date '""&amp;YEAR(C439)&amp;""-""&amp;MONTH(C439)&amp;""-""&amp;DAY(C439)&amp;""'""))&gt;0,""Depositada"",if(sum(QUERY(IMPORTRANGE(""https://docs.google.com/spreadsheets/d/1EcLIvUgMoBC5as4ikW0wuQsGH5yVZ6cQ1y16qEfgPnk"",""BD M Sangrias!a:i""),""select Col6 whe"&amp;"re Col7 = 'Caixa Atendimento' and Col9 = '""&amp;K439&amp;""' and Col6 = ""&amp;M439&amp;"" and Col4 = date '""&amp;YEAR(C439)&amp;""-""&amp;MONTH(C439)&amp;""-""&amp;DAY(C439)&amp;""'""))&gt;0,""Caixa Atendimento"",""Caixa Sangria"")),""""),""Caixa Sangria"")"),"")</f>
        <v/>
      </c>
      <c r="M439" s="185" t="str">
        <f>IFERROR(__xludf.DUMMYFUNCTION("ifna(VALUE(REGEXEXTRACT(E439,""[0-9.]+[,]+[0-9]+"")))"),"")</f>
        <v/>
      </c>
      <c r="N439" s="185"/>
      <c r="O439" s="185"/>
      <c r="P439" s="185"/>
      <c r="Q439" s="185"/>
      <c r="R439" s="185"/>
      <c r="S439" s="185"/>
      <c r="T439" s="185"/>
      <c r="U439" s="185"/>
      <c r="V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184" t="str">
        <f>IFERROR(__xludf.DUMMYFUNCTION("ifna(IF(and(D440=""Saída"",J440=""Sangria""),if(sum(QUERY(IMPORTRANGE(""https://docs.google.com/spreadsheets/d/1E4szPcLzsqlw4uyBAoJ61L1ChCgpz4wVP8tHfHW1g_c"",""BD M Sangrias!a:i""),""select Col6 where Col7 = 'Depositada' and Col9 = '""&amp;K440&amp;""' and Col6 ="&amp;" ""&amp;M440&amp;"" and Col4 = date '""&amp;YEAR(C440)&amp;""-""&amp;MONTH(C440)&amp;""-""&amp;DAY(C440)&amp;""'""))&gt;0,""Depositada"",if(sum(QUERY(IMPORTRANGE(""https://docs.google.com/spreadsheets/d/1EcLIvUgMoBC5as4ikW0wuQsGH5yVZ6cQ1y16qEfgPnk"",""BD M Sangrias!a:i""),""select Col6 whe"&amp;"re Col7 = 'Caixa Atendimento' and Col9 = '""&amp;K440&amp;""' and Col6 = ""&amp;M440&amp;"" and Col4 = date '""&amp;YEAR(C440)&amp;""-""&amp;MONTH(C440)&amp;""-""&amp;DAY(C440)&amp;""'""))&gt;0,""Caixa Atendimento"",""Caixa Sangria"")),""""),""Caixa Sangria"")"),"")</f>
        <v/>
      </c>
      <c r="M440" s="185" t="str">
        <f>IFERROR(__xludf.DUMMYFUNCTION("ifna(VALUE(REGEXEXTRACT(E440,""[0-9.]+[,]+[0-9]+"")))"),"")</f>
        <v/>
      </c>
      <c r="N440" s="185"/>
      <c r="O440" s="185"/>
      <c r="P440" s="185"/>
      <c r="Q440" s="185"/>
      <c r="R440" s="185"/>
      <c r="S440" s="185"/>
      <c r="T440" s="185"/>
      <c r="U440" s="185"/>
      <c r="V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184" t="str">
        <f>IFERROR(__xludf.DUMMYFUNCTION("ifna(IF(and(D441=""Saída"",J441=""Sangria""),if(sum(QUERY(IMPORTRANGE(""https://docs.google.com/spreadsheets/d/1E4szPcLzsqlw4uyBAoJ61L1ChCgpz4wVP8tHfHW1g_c"",""BD M Sangrias!a:i""),""select Col6 where Col7 = 'Depositada' and Col9 = '""&amp;K441&amp;""' and Col6 ="&amp;" ""&amp;M441&amp;"" and Col4 = date '""&amp;YEAR(C441)&amp;""-""&amp;MONTH(C441)&amp;""-""&amp;DAY(C441)&amp;""'""))&gt;0,""Depositada"",if(sum(QUERY(IMPORTRANGE(""https://docs.google.com/spreadsheets/d/1EcLIvUgMoBC5as4ikW0wuQsGH5yVZ6cQ1y16qEfgPnk"",""BD M Sangrias!a:i""),""select Col6 whe"&amp;"re Col7 = 'Caixa Atendimento' and Col9 = '""&amp;K441&amp;""' and Col6 = ""&amp;M441&amp;"" and Col4 = date '""&amp;YEAR(C441)&amp;""-""&amp;MONTH(C441)&amp;""-""&amp;DAY(C441)&amp;""'""))&gt;0,""Caixa Atendimento"",""Caixa Sangria"")),""""),""Caixa Sangria"")"),"")</f>
        <v/>
      </c>
      <c r="M441" s="185" t="str">
        <f>IFERROR(__xludf.DUMMYFUNCTION("ifna(VALUE(REGEXEXTRACT(E441,""[0-9.]+[,]+[0-9]+"")))"),"")</f>
        <v/>
      </c>
      <c r="N441" s="185"/>
      <c r="O441" s="185"/>
      <c r="P441" s="185"/>
      <c r="Q441" s="185"/>
      <c r="R441" s="185"/>
      <c r="S441" s="185"/>
      <c r="T441" s="185"/>
      <c r="U441" s="185"/>
      <c r="V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184" t="str">
        <f>IFERROR(__xludf.DUMMYFUNCTION("ifna(IF(and(D442=""Saída"",J442=""Sangria""),if(sum(QUERY(IMPORTRANGE(""https://docs.google.com/spreadsheets/d/1E4szPcLzsqlw4uyBAoJ61L1ChCgpz4wVP8tHfHW1g_c"",""BD M Sangrias!a:i""),""select Col6 where Col7 = 'Depositada' and Col9 = '""&amp;K442&amp;""' and Col6 ="&amp;" ""&amp;M442&amp;"" and Col4 = date '""&amp;YEAR(C442)&amp;""-""&amp;MONTH(C442)&amp;""-""&amp;DAY(C442)&amp;""'""))&gt;0,""Depositada"",if(sum(QUERY(IMPORTRANGE(""https://docs.google.com/spreadsheets/d/1EcLIvUgMoBC5as4ikW0wuQsGH5yVZ6cQ1y16qEfgPnk"",""BD M Sangrias!a:i""),""select Col6 whe"&amp;"re Col7 = 'Caixa Atendimento' and Col9 = '""&amp;K442&amp;""' and Col6 = ""&amp;M442&amp;"" and Col4 = date '""&amp;YEAR(C442)&amp;""-""&amp;MONTH(C442)&amp;""-""&amp;DAY(C442)&amp;""'""))&gt;0,""Caixa Atendimento"",""Caixa Sangria"")),""""),""Caixa Sangria"")"),"")</f>
        <v/>
      </c>
      <c r="M442" s="185" t="str">
        <f>IFERROR(__xludf.DUMMYFUNCTION("ifna(VALUE(REGEXEXTRACT(E442,""[0-9.]+[,]+[0-9]+"")))"),"")</f>
        <v/>
      </c>
      <c r="N442" s="185"/>
      <c r="O442" s="185"/>
      <c r="P442" s="185"/>
      <c r="Q442" s="185"/>
      <c r="R442" s="185"/>
      <c r="S442" s="185"/>
      <c r="T442" s="185"/>
      <c r="U442" s="185"/>
      <c r="V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184" t="str">
        <f>IFERROR(__xludf.DUMMYFUNCTION("ifna(IF(and(D443=""Saída"",J443=""Sangria""),if(sum(QUERY(IMPORTRANGE(""https://docs.google.com/spreadsheets/d/1E4szPcLzsqlw4uyBAoJ61L1ChCgpz4wVP8tHfHW1g_c"",""BD M Sangrias!a:i""),""select Col6 where Col7 = 'Depositada' and Col9 = '""&amp;K443&amp;""' and Col6 ="&amp;" ""&amp;M443&amp;"" and Col4 = date '""&amp;YEAR(C443)&amp;""-""&amp;MONTH(C443)&amp;""-""&amp;DAY(C443)&amp;""'""))&gt;0,""Depositada"",if(sum(QUERY(IMPORTRANGE(""https://docs.google.com/spreadsheets/d/1EcLIvUgMoBC5as4ikW0wuQsGH5yVZ6cQ1y16qEfgPnk"",""BD M Sangrias!a:i""),""select Col6 whe"&amp;"re Col7 = 'Caixa Atendimento' and Col9 = '""&amp;K443&amp;""' and Col6 = ""&amp;M443&amp;"" and Col4 = date '""&amp;YEAR(C443)&amp;""-""&amp;MONTH(C443)&amp;""-""&amp;DAY(C443)&amp;""'""))&gt;0,""Caixa Atendimento"",""Caixa Sangria"")),""""),""Caixa Sangria"")"),"")</f>
        <v/>
      </c>
      <c r="M443" s="185" t="str">
        <f>IFERROR(__xludf.DUMMYFUNCTION("ifna(VALUE(REGEXEXTRACT(E443,""[0-9.]+[,]+[0-9]+"")))"),"")</f>
        <v/>
      </c>
      <c r="N443" s="185"/>
      <c r="O443" s="185"/>
      <c r="P443" s="185"/>
      <c r="Q443" s="185"/>
      <c r="R443" s="185"/>
      <c r="S443" s="185"/>
      <c r="T443" s="185"/>
      <c r="U443" s="185"/>
      <c r="V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184" t="str">
        <f>IFERROR(__xludf.DUMMYFUNCTION("ifna(IF(and(D444=""Saída"",J444=""Sangria""),if(sum(QUERY(IMPORTRANGE(""https://docs.google.com/spreadsheets/d/1E4szPcLzsqlw4uyBAoJ61L1ChCgpz4wVP8tHfHW1g_c"",""BD M Sangrias!a:i""),""select Col6 where Col7 = 'Depositada' and Col9 = '""&amp;K444&amp;""' and Col6 ="&amp;" ""&amp;M444&amp;"" and Col4 = date '""&amp;YEAR(C444)&amp;""-""&amp;MONTH(C444)&amp;""-""&amp;DAY(C444)&amp;""'""))&gt;0,""Depositada"",if(sum(QUERY(IMPORTRANGE(""https://docs.google.com/spreadsheets/d/1EcLIvUgMoBC5as4ikW0wuQsGH5yVZ6cQ1y16qEfgPnk"",""BD M Sangrias!a:i""),""select Col6 whe"&amp;"re Col7 = 'Caixa Atendimento' and Col9 = '""&amp;K444&amp;""' and Col6 = ""&amp;M444&amp;"" and Col4 = date '""&amp;YEAR(C444)&amp;""-""&amp;MONTH(C444)&amp;""-""&amp;DAY(C444)&amp;""'""))&gt;0,""Caixa Atendimento"",""Caixa Sangria"")),""""),""Caixa Sangria"")"),"")</f>
        <v/>
      </c>
      <c r="M444" s="185" t="str">
        <f>IFERROR(__xludf.DUMMYFUNCTION("ifna(VALUE(REGEXEXTRACT(E444,""[0-9.]+[,]+[0-9]+"")))"),"")</f>
        <v/>
      </c>
      <c r="N444" s="185"/>
      <c r="O444" s="185"/>
      <c r="P444" s="185"/>
      <c r="Q444" s="185"/>
      <c r="R444" s="185"/>
      <c r="S444" s="185"/>
      <c r="T444" s="185"/>
      <c r="U444" s="185"/>
      <c r="V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184" t="str">
        <f>IFERROR(__xludf.DUMMYFUNCTION("ifna(IF(and(D445=""Saída"",J445=""Sangria""),if(sum(QUERY(IMPORTRANGE(""https://docs.google.com/spreadsheets/d/1E4szPcLzsqlw4uyBAoJ61L1ChCgpz4wVP8tHfHW1g_c"",""BD M Sangrias!a:i""),""select Col6 where Col7 = 'Depositada' and Col9 = '""&amp;K445&amp;""' and Col6 ="&amp;" ""&amp;M445&amp;"" and Col4 = date '""&amp;YEAR(C445)&amp;""-""&amp;MONTH(C445)&amp;""-""&amp;DAY(C445)&amp;""'""))&gt;0,""Depositada"",if(sum(QUERY(IMPORTRANGE(""https://docs.google.com/spreadsheets/d/1EcLIvUgMoBC5as4ikW0wuQsGH5yVZ6cQ1y16qEfgPnk"",""BD M Sangrias!a:i""),""select Col6 whe"&amp;"re Col7 = 'Caixa Atendimento' and Col9 = '""&amp;K445&amp;""' and Col6 = ""&amp;M445&amp;"" and Col4 = date '""&amp;YEAR(C445)&amp;""-""&amp;MONTH(C445)&amp;""-""&amp;DAY(C445)&amp;""'""))&gt;0,""Caixa Atendimento"",""Caixa Sangria"")),""""),""Caixa Sangria"")"),"")</f>
        <v/>
      </c>
      <c r="M445" s="185" t="str">
        <f>IFERROR(__xludf.DUMMYFUNCTION("ifna(VALUE(REGEXEXTRACT(E445,""[0-9.]+[,]+[0-9]+"")))"),"")</f>
        <v/>
      </c>
      <c r="N445" s="185"/>
      <c r="O445" s="185"/>
      <c r="P445" s="185"/>
      <c r="Q445" s="185"/>
      <c r="R445" s="185"/>
      <c r="S445" s="185"/>
      <c r="T445" s="185"/>
      <c r="U445" s="185"/>
      <c r="V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184" t="str">
        <f>IFERROR(__xludf.DUMMYFUNCTION("ifna(IF(and(D446=""Saída"",J446=""Sangria""),if(sum(QUERY(IMPORTRANGE(""https://docs.google.com/spreadsheets/d/1E4szPcLzsqlw4uyBAoJ61L1ChCgpz4wVP8tHfHW1g_c"",""BD M Sangrias!a:i""),""select Col6 where Col7 = 'Depositada' and Col9 = '""&amp;K446&amp;""' and Col6 ="&amp;" ""&amp;M446&amp;"" and Col4 = date '""&amp;YEAR(C446)&amp;""-""&amp;MONTH(C446)&amp;""-""&amp;DAY(C446)&amp;""'""))&gt;0,""Depositada"",if(sum(QUERY(IMPORTRANGE(""https://docs.google.com/spreadsheets/d/1EcLIvUgMoBC5as4ikW0wuQsGH5yVZ6cQ1y16qEfgPnk"",""BD M Sangrias!a:i""),""select Col6 whe"&amp;"re Col7 = 'Caixa Atendimento' and Col9 = '""&amp;K446&amp;""' and Col6 = ""&amp;M446&amp;"" and Col4 = date '""&amp;YEAR(C446)&amp;""-""&amp;MONTH(C446)&amp;""-""&amp;DAY(C446)&amp;""'""))&gt;0,""Caixa Atendimento"",""Caixa Sangria"")),""""),""Caixa Sangria"")"),"")</f>
        <v/>
      </c>
      <c r="M446" s="185" t="str">
        <f>IFERROR(__xludf.DUMMYFUNCTION("ifna(VALUE(REGEXEXTRACT(E446,""[0-9.]+[,]+[0-9]+"")))"),"")</f>
        <v/>
      </c>
      <c r="N446" s="185"/>
      <c r="O446" s="185"/>
      <c r="P446" s="185"/>
      <c r="Q446" s="185"/>
      <c r="R446" s="185"/>
      <c r="S446" s="185"/>
      <c r="T446" s="185"/>
      <c r="U446" s="185"/>
      <c r="V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184" t="str">
        <f>IFERROR(__xludf.DUMMYFUNCTION("ifna(IF(and(D447=""Saída"",J447=""Sangria""),if(sum(QUERY(IMPORTRANGE(""https://docs.google.com/spreadsheets/d/1E4szPcLzsqlw4uyBAoJ61L1ChCgpz4wVP8tHfHW1g_c"",""BD M Sangrias!a:i""),""select Col6 where Col7 = 'Depositada' and Col9 = '""&amp;K447&amp;""' and Col6 ="&amp;" ""&amp;M447&amp;"" and Col4 = date '""&amp;YEAR(C447)&amp;""-""&amp;MONTH(C447)&amp;""-""&amp;DAY(C447)&amp;""'""))&gt;0,""Depositada"",if(sum(QUERY(IMPORTRANGE(""https://docs.google.com/spreadsheets/d/1EcLIvUgMoBC5as4ikW0wuQsGH5yVZ6cQ1y16qEfgPnk"",""BD M Sangrias!a:i""),""select Col6 whe"&amp;"re Col7 = 'Caixa Atendimento' and Col9 = '""&amp;K447&amp;""' and Col6 = ""&amp;M447&amp;"" and Col4 = date '""&amp;YEAR(C447)&amp;""-""&amp;MONTH(C447)&amp;""-""&amp;DAY(C447)&amp;""'""))&gt;0,""Caixa Atendimento"",""Caixa Sangria"")),""""),""Caixa Sangria"")"),"")</f>
        <v/>
      </c>
      <c r="M447" s="185" t="str">
        <f>IFERROR(__xludf.DUMMYFUNCTION("ifna(VALUE(REGEXEXTRACT(E447,""[0-9.]+[,]+[0-9]+"")))"),"")</f>
        <v/>
      </c>
      <c r="N447" s="185"/>
      <c r="O447" s="185"/>
      <c r="P447" s="185"/>
      <c r="Q447" s="185"/>
      <c r="R447" s="185"/>
      <c r="S447" s="185"/>
      <c r="T447" s="185"/>
      <c r="U447" s="185"/>
      <c r="V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184" t="str">
        <f>IFERROR(__xludf.DUMMYFUNCTION("ifna(IF(and(D448=""Saída"",J448=""Sangria""),if(sum(QUERY(IMPORTRANGE(""https://docs.google.com/spreadsheets/d/1E4szPcLzsqlw4uyBAoJ61L1ChCgpz4wVP8tHfHW1g_c"",""BD M Sangrias!a:i""),""select Col6 where Col7 = 'Depositada' and Col9 = '""&amp;K448&amp;""' and Col6 ="&amp;" ""&amp;M448&amp;"" and Col4 = date '""&amp;YEAR(C448)&amp;""-""&amp;MONTH(C448)&amp;""-""&amp;DAY(C448)&amp;""'""))&gt;0,""Depositada"",if(sum(QUERY(IMPORTRANGE(""https://docs.google.com/spreadsheets/d/1EcLIvUgMoBC5as4ikW0wuQsGH5yVZ6cQ1y16qEfgPnk"",""BD M Sangrias!a:i""),""select Col6 whe"&amp;"re Col7 = 'Caixa Atendimento' and Col9 = '""&amp;K448&amp;""' and Col6 = ""&amp;M448&amp;"" and Col4 = date '""&amp;YEAR(C448)&amp;""-""&amp;MONTH(C448)&amp;""-""&amp;DAY(C448)&amp;""'""))&gt;0,""Caixa Atendimento"",""Caixa Sangria"")),""""),""Caixa Sangria"")"),"")</f>
        <v/>
      </c>
      <c r="M448" s="185" t="str">
        <f>IFERROR(__xludf.DUMMYFUNCTION("ifna(VALUE(REGEXEXTRACT(E448,""[0-9.]+[,]+[0-9]+"")))"),"")</f>
        <v/>
      </c>
      <c r="N448" s="185"/>
      <c r="O448" s="185"/>
      <c r="P448" s="185"/>
      <c r="Q448" s="185"/>
      <c r="R448" s="185"/>
      <c r="S448" s="185"/>
      <c r="T448" s="185"/>
      <c r="U448" s="185"/>
      <c r="V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184" t="str">
        <f>IFERROR(__xludf.DUMMYFUNCTION("ifna(IF(and(D449=""Saída"",J449=""Sangria""),if(sum(QUERY(IMPORTRANGE(""https://docs.google.com/spreadsheets/d/1E4szPcLzsqlw4uyBAoJ61L1ChCgpz4wVP8tHfHW1g_c"",""BD M Sangrias!a:i""),""select Col6 where Col7 = 'Depositada' and Col9 = '""&amp;K449&amp;""' and Col6 ="&amp;" ""&amp;M449&amp;"" and Col4 = date '""&amp;YEAR(C449)&amp;""-""&amp;MONTH(C449)&amp;""-""&amp;DAY(C449)&amp;""'""))&gt;0,""Depositada"",if(sum(QUERY(IMPORTRANGE(""https://docs.google.com/spreadsheets/d/1EcLIvUgMoBC5as4ikW0wuQsGH5yVZ6cQ1y16qEfgPnk"",""BD M Sangrias!a:i""),""select Col6 whe"&amp;"re Col7 = 'Caixa Atendimento' and Col9 = '""&amp;K449&amp;""' and Col6 = ""&amp;M449&amp;"" and Col4 = date '""&amp;YEAR(C449)&amp;""-""&amp;MONTH(C449)&amp;""-""&amp;DAY(C449)&amp;""'""))&gt;0,""Caixa Atendimento"",""Caixa Sangria"")),""""),""Caixa Sangria"")"),"")</f>
        <v/>
      </c>
      <c r="M449" s="185" t="str">
        <f>IFERROR(__xludf.DUMMYFUNCTION("ifna(VALUE(REGEXEXTRACT(E449,""[0-9.]+[,]+[0-9]+"")))"),"")</f>
        <v/>
      </c>
      <c r="N449" s="185"/>
      <c r="O449" s="185"/>
      <c r="P449" s="185"/>
      <c r="Q449" s="185"/>
      <c r="R449" s="185"/>
      <c r="S449" s="185"/>
      <c r="T449" s="185"/>
      <c r="U449" s="185"/>
      <c r="V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184" t="str">
        <f>IFERROR(__xludf.DUMMYFUNCTION("ifna(IF(and(D450=""Saída"",J450=""Sangria""),if(sum(QUERY(IMPORTRANGE(""https://docs.google.com/spreadsheets/d/1E4szPcLzsqlw4uyBAoJ61L1ChCgpz4wVP8tHfHW1g_c"",""BD M Sangrias!a:i""),""select Col6 where Col7 = 'Depositada' and Col9 = '""&amp;K450&amp;""' and Col6 ="&amp;" ""&amp;M450&amp;"" and Col4 = date '""&amp;YEAR(C450)&amp;""-""&amp;MONTH(C450)&amp;""-""&amp;DAY(C450)&amp;""'""))&gt;0,""Depositada"",if(sum(QUERY(IMPORTRANGE(""https://docs.google.com/spreadsheets/d/1EcLIvUgMoBC5as4ikW0wuQsGH5yVZ6cQ1y16qEfgPnk"",""BD M Sangrias!a:i""),""select Col6 whe"&amp;"re Col7 = 'Caixa Atendimento' and Col9 = '""&amp;K450&amp;""' and Col6 = ""&amp;M450&amp;"" and Col4 = date '""&amp;YEAR(C450)&amp;""-""&amp;MONTH(C450)&amp;""-""&amp;DAY(C450)&amp;""'""))&gt;0,""Caixa Atendimento"",""Caixa Sangria"")),""""),""Caixa Sangria"")"),"")</f>
        <v/>
      </c>
      <c r="M450" s="185" t="str">
        <f>IFERROR(__xludf.DUMMYFUNCTION("ifna(VALUE(REGEXEXTRACT(E450,""[0-9.]+[,]+[0-9]+"")))"),"")</f>
        <v/>
      </c>
      <c r="N450" s="185"/>
      <c r="O450" s="185"/>
      <c r="P450" s="185"/>
      <c r="Q450" s="185"/>
      <c r="R450" s="185"/>
      <c r="S450" s="185"/>
      <c r="T450" s="185"/>
      <c r="U450" s="185"/>
      <c r="V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184" t="str">
        <f>IFERROR(__xludf.DUMMYFUNCTION("ifna(IF(and(D451=""Saída"",J451=""Sangria""),if(sum(QUERY(IMPORTRANGE(""https://docs.google.com/spreadsheets/d/1E4szPcLzsqlw4uyBAoJ61L1ChCgpz4wVP8tHfHW1g_c"",""BD M Sangrias!a:i""),""select Col6 where Col7 = 'Depositada' and Col9 = '""&amp;K451&amp;""' and Col6 ="&amp;" ""&amp;M451&amp;"" and Col4 = date '""&amp;YEAR(C451)&amp;""-""&amp;MONTH(C451)&amp;""-""&amp;DAY(C451)&amp;""'""))&gt;0,""Depositada"",if(sum(QUERY(IMPORTRANGE(""https://docs.google.com/spreadsheets/d/1EcLIvUgMoBC5as4ikW0wuQsGH5yVZ6cQ1y16qEfgPnk"",""BD M Sangrias!a:i""),""select Col6 whe"&amp;"re Col7 = 'Caixa Atendimento' and Col9 = '""&amp;K451&amp;""' and Col6 = ""&amp;M451&amp;"" and Col4 = date '""&amp;YEAR(C451)&amp;""-""&amp;MONTH(C451)&amp;""-""&amp;DAY(C451)&amp;""'""))&gt;0,""Caixa Atendimento"",""Caixa Sangria"")),""""),""Caixa Sangria"")"),"")</f>
        <v/>
      </c>
      <c r="M451" s="185" t="str">
        <f>IFERROR(__xludf.DUMMYFUNCTION("ifna(VALUE(REGEXEXTRACT(E451,""[0-9.]+[,]+[0-9]+"")))"),"")</f>
        <v/>
      </c>
      <c r="N451" s="185"/>
      <c r="O451" s="185"/>
      <c r="P451" s="185"/>
      <c r="Q451" s="185"/>
      <c r="R451" s="185"/>
      <c r="S451" s="185"/>
      <c r="T451" s="185"/>
      <c r="U451" s="185"/>
      <c r="V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184" t="str">
        <f>IFERROR(__xludf.DUMMYFUNCTION("ifna(IF(and(D452=""Saída"",J452=""Sangria""),if(sum(QUERY(IMPORTRANGE(""https://docs.google.com/spreadsheets/d/1E4szPcLzsqlw4uyBAoJ61L1ChCgpz4wVP8tHfHW1g_c"",""BD M Sangrias!a:i""),""select Col6 where Col7 = 'Depositada' and Col9 = '""&amp;K452&amp;""' and Col6 ="&amp;" ""&amp;M452&amp;"" and Col4 = date '""&amp;YEAR(C452)&amp;""-""&amp;MONTH(C452)&amp;""-""&amp;DAY(C452)&amp;""'""))&gt;0,""Depositada"",if(sum(QUERY(IMPORTRANGE(""https://docs.google.com/spreadsheets/d/1EcLIvUgMoBC5as4ikW0wuQsGH5yVZ6cQ1y16qEfgPnk"",""BD M Sangrias!a:i""),""select Col6 whe"&amp;"re Col7 = 'Caixa Atendimento' and Col9 = '""&amp;K452&amp;""' and Col6 = ""&amp;M452&amp;"" and Col4 = date '""&amp;YEAR(C452)&amp;""-""&amp;MONTH(C452)&amp;""-""&amp;DAY(C452)&amp;""'""))&gt;0,""Caixa Atendimento"",""Caixa Sangria"")),""""),""Caixa Sangria"")"),"")</f>
        <v/>
      </c>
      <c r="M452" s="185" t="str">
        <f>IFERROR(__xludf.DUMMYFUNCTION("ifna(VALUE(REGEXEXTRACT(E452,""[0-9.]+[,]+[0-9]+"")))"),"")</f>
        <v/>
      </c>
      <c r="N452" s="185"/>
      <c r="O452" s="185"/>
      <c r="P452" s="185"/>
      <c r="Q452" s="185"/>
      <c r="R452" s="185"/>
      <c r="S452" s="185"/>
      <c r="T452" s="185"/>
      <c r="U452" s="185"/>
      <c r="V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184" t="str">
        <f>IFERROR(__xludf.DUMMYFUNCTION("ifna(IF(and(D453=""Saída"",J453=""Sangria""),if(sum(QUERY(IMPORTRANGE(""https://docs.google.com/spreadsheets/d/1E4szPcLzsqlw4uyBAoJ61L1ChCgpz4wVP8tHfHW1g_c"",""BD M Sangrias!a:i""),""select Col6 where Col7 = 'Depositada' and Col9 = '""&amp;K453&amp;""' and Col6 ="&amp;" ""&amp;M453&amp;"" and Col4 = date '""&amp;YEAR(C453)&amp;""-""&amp;MONTH(C453)&amp;""-""&amp;DAY(C453)&amp;""'""))&gt;0,""Depositada"",if(sum(QUERY(IMPORTRANGE(""https://docs.google.com/spreadsheets/d/1EcLIvUgMoBC5as4ikW0wuQsGH5yVZ6cQ1y16qEfgPnk"",""BD M Sangrias!a:i""),""select Col6 whe"&amp;"re Col7 = 'Caixa Atendimento' and Col9 = '""&amp;K453&amp;""' and Col6 = ""&amp;M453&amp;"" and Col4 = date '""&amp;YEAR(C453)&amp;""-""&amp;MONTH(C453)&amp;""-""&amp;DAY(C453)&amp;""'""))&gt;0,""Caixa Atendimento"",""Caixa Sangria"")),""""),""Caixa Sangria"")"),"")</f>
        <v/>
      </c>
      <c r="M453" s="185" t="str">
        <f>IFERROR(__xludf.DUMMYFUNCTION("ifna(VALUE(REGEXEXTRACT(E453,""[0-9.]+[,]+[0-9]+"")))"),"")</f>
        <v/>
      </c>
      <c r="N453" s="185"/>
      <c r="O453" s="185"/>
      <c r="P453" s="185"/>
      <c r="Q453" s="185"/>
      <c r="R453" s="185"/>
      <c r="S453" s="185"/>
      <c r="T453" s="185"/>
      <c r="U453" s="185"/>
      <c r="V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184" t="str">
        <f>IFERROR(__xludf.DUMMYFUNCTION("ifna(IF(and(D454=""Saída"",J454=""Sangria""),if(sum(QUERY(IMPORTRANGE(""https://docs.google.com/spreadsheets/d/1E4szPcLzsqlw4uyBAoJ61L1ChCgpz4wVP8tHfHW1g_c"",""BD M Sangrias!a:i""),""select Col6 where Col7 = 'Depositada' and Col9 = '""&amp;K454&amp;""' and Col6 ="&amp;" ""&amp;M454&amp;"" and Col4 = date '""&amp;YEAR(C454)&amp;""-""&amp;MONTH(C454)&amp;""-""&amp;DAY(C454)&amp;""'""))&gt;0,""Depositada"",if(sum(QUERY(IMPORTRANGE(""https://docs.google.com/spreadsheets/d/1EcLIvUgMoBC5as4ikW0wuQsGH5yVZ6cQ1y16qEfgPnk"",""BD M Sangrias!a:i""),""select Col6 whe"&amp;"re Col7 = 'Caixa Atendimento' and Col9 = '""&amp;K454&amp;""' and Col6 = ""&amp;M454&amp;"" and Col4 = date '""&amp;YEAR(C454)&amp;""-""&amp;MONTH(C454)&amp;""-""&amp;DAY(C454)&amp;""'""))&gt;0,""Caixa Atendimento"",""Caixa Sangria"")),""""),""Caixa Sangria"")"),"")</f>
        <v/>
      </c>
      <c r="M454" s="185" t="str">
        <f>IFERROR(__xludf.DUMMYFUNCTION("ifna(VALUE(REGEXEXTRACT(E454,""[0-9.]+[,]+[0-9]+"")))"),"")</f>
        <v/>
      </c>
      <c r="N454" s="185"/>
      <c r="O454" s="185"/>
      <c r="P454" s="185"/>
      <c r="Q454" s="185"/>
      <c r="R454" s="185"/>
      <c r="S454" s="185"/>
      <c r="T454" s="185"/>
      <c r="U454" s="185"/>
      <c r="V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184" t="str">
        <f>IFERROR(__xludf.DUMMYFUNCTION("ifna(IF(and(D455=""Saída"",J455=""Sangria""),if(sum(QUERY(IMPORTRANGE(""https://docs.google.com/spreadsheets/d/1E4szPcLzsqlw4uyBAoJ61L1ChCgpz4wVP8tHfHW1g_c"",""BD M Sangrias!a:i""),""select Col6 where Col7 = 'Depositada' and Col9 = '""&amp;K455&amp;""' and Col6 ="&amp;" ""&amp;M455&amp;"" and Col4 = date '""&amp;YEAR(C455)&amp;""-""&amp;MONTH(C455)&amp;""-""&amp;DAY(C455)&amp;""'""))&gt;0,""Depositada"",if(sum(QUERY(IMPORTRANGE(""https://docs.google.com/spreadsheets/d/1EcLIvUgMoBC5as4ikW0wuQsGH5yVZ6cQ1y16qEfgPnk"",""BD M Sangrias!a:i""),""select Col6 whe"&amp;"re Col7 = 'Caixa Atendimento' and Col9 = '""&amp;K455&amp;""' and Col6 = ""&amp;M455&amp;"" and Col4 = date '""&amp;YEAR(C455)&amp;""-""&amp;MONTH(C455)&amp;""-""&amp;DAY(C455)&amp;""'""))&gt;0,""Caixa Atendimento"",""Caixa Sangria"")),""""),""Caixa Sangria"")"),"")</f>
        <v/>
      </c>
      <c r="M455" s="185" t="str">
        <f>IFERROR(__xludf.DUMMYFUNCTION("ifna(VALUE(REGEXEXTRACT(E455,""[0-9.]+[,]+[0-9]+"")))"),"")</f>
        <v/>
      </c>
      <c r="N455" s="185"/>
      <c r="O455" s="185"/>
      <c r="P455" s="185"/>
      <c r="Q455" s="185"/>
      <c r="R455" s="185"/>
      <c r="S455" s="185"/>
      <c r="T455" s="185"/>
      <c r="U455" s="185"/>
      <c r="V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184" t="str">
        <f>IFERROR(__xludf.DUMMYFUNCTION("ifna(IF(and(D456=""Saída"",J456=""Sangria""),if(sum(QUERY(IMPORTRANGE(""https://docs.google.com/spreadsheets/d/1E4szPcLzsqlw4uyBAoJ61L1ChCgpz4wVP8tHfHW1g_c"",""BD M Sangrias!a:i""),""select Col6 where Col7 = 'Depositada' and Col9 = '""&amp;K456&amp;""' and Col6 ="&amp;" ""&amp;M456&amp;"" and Col4 = date '""&amp;YEAR(C456)&amp;""-""&amp;MONTH(C456)&amp;""-""&amp;DAY(C456)&amp;""'""))&gt;0,""Depositada"",if(sum(QUERY(IMPORTRANGE(""https://docs.google.com/spreadsheets/d/1EcLIvUgMoBC5as4ikW0wuQsGH5yVZ6cQ1y16qEfgPnk"",""BD M Sangrias!a:i""),""select Col6 whe"&amp;"re Col7 = 'Caixa Atendimento' and Col9 = '""&amp;K456&amp;""' and Col6 = ""&amp;M456&amp;"" and Col4 = date '""&amp;YEAR(C456)&amp;""-""&amp;MONTH(C456)&amp;""-""&amp;DAY(C456)&amp;""'""))&gt;0,""Caixa Atendimento"",""Caixa Sangria"")),""""),""Caixa Sangria"")"),"")</f>
        <v/>
      </c>
      <c r="M456" s="185" t="str">
        <f>IFERROR(__xludf.DUMMYFUNCTION("ifna(VALUE(REGEXEXTRACT(E456,""[0-9.]+[,]+[0-9]+"")))"),"")</f>
        <v/>
      </c>
      <c r="N456" s="185"/>
      <c r="O456" s="185"/>
      <c r="P456" s="185"/>
      <c r="Q456" s="185"/>
      <c r="R456" s="185"/>
      <c r="S456" s="185"/>
      <c r="T456" s="185"/>
      <c r="U456" s="185"/>
      <c r="V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184" t="str">
        <f>IFERROR(__xludf.DUMMYFUNCTION("ifna(IF(and(D457=""Saída"",J457=""Sangria""),if(sum(QUERY(IMPORTRANGE(""https://docs.google.com/spreadsheets/d/1E4szPcLzsqlw4uyBAoJ61L1ChCgpz4wVP8tHfHW1g_c"",""BD M Sangrias!a:i""),""select Col6 where Col7 = 'Depositada' and Col9 = '""&amp;K457&amp;""' and Col6 ="&amp;" ""&amp;M457&amp;"" and Col4 = date '""&amp;YEAR(C457)&amp;""-""&amp;MONTH(C457)&amp;""-""&amp;DAY(C457)&amp;""'""))&gt;0,""Depositada"",if(sum(QUERY(IMPORTRANGE(""https://docs.google.com/spreadsheets/d/1EcLIvUgMoBC5as4ikW0wuQsGH5yVZ6cQ1y16qEfgPnk"",""BD M Sangrias!a:i""),""select Col6 whe"&amp;"re Col7 = 'Caixa Atendimento' and Col9 = '""&amp;K457&amp;""' and Col6 = ""&amp;M457&amp;"" and Col4 = date '""&amp;YEAR(C457)&amp;""-""&amp;MONTH(C457)&amp;""-""&amp;DAY(C457)&amp;""'""))&gt;0,""Caixa Atendimento"",""Caixa Sangria"")),""""),""Caixa Sangria"")"),"")</f>
        <v/>
      </c>
      <c r="M457" s="185" t="str">
        <f>IFERROR(__xludf.DUMMYFUNCTION("ifna(VALUE(REGEXEXTRACT(E457,""[0-9.]+[,]+[0-9]+"")))"),"")</f>
        <v/>
      </c>
      <c r="N457" s="185"/>
      <c r="O457" s="185"/>
      <c r="P457" s="185"/>
      <c r="Q457" s="185"/>
      <c r="R457" s="185"/>
      <c r="S457" s="185"/>
      <c r="T457" s="185"/>
      <c r="U457" s="185"/>
      <c r="V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184" t="str">
        <f>IFERROR(__xludf.DUMMYFUNCTION("ifna(IF(and(D458=""Saída"",J458=""Sangria""),if(sum(QUERY(IMPORTRANGE(""https://docs.google.com/spreadsheets/d/1E4szPcLzsqlw4uyBAoJ61L1ChCgpz4wVP8tHfHW1g_c"",""BD M Sangrias!a:i""),""select Col6 where Col7 = 'Depositada' and Col9 = '""&amp;K458&amp;""' and Col6 ="&amp;" ""&amp;M458&amp;"" and Col4 = date '""&amp;YEAR(C458)&amp;""-""&amp;MONTH(C458)&amp;""-""&amp;DAY(C458)&amp;""'""))&gt;0,""Depositada"",if(sum(QUERY(IMPORTRANGE(""https://docs.google.com/spreadsheets/d/1EcLIvUgMoBC5as4ikW0wuQsGH5yVZ6cQ1y16qEfgPnk"",""BD M Sangrias!a:i""),""select Col6 whe"&amp;"re Col7 = 'Caixa Atendimento' and Col9 = '""&amp;K458&amp;""' and Col6 = ""&amp;M458&amp;"" and Col4 = date '""&amp;YEAR(C458)&amp;""-""&amp;MONTH(C458)&amp;""-""&amp;DAY(C458)&amp;""'""))&gt;0,""Caixa Atendimento"",""Caixa Sangria"")),""""),""Caixa Sangria"")"),"")</f>
        <v/>
      </c>
      <c r="M458" s="185" t="str">
        <f>IFERROR(__xludf.DUMMYFUNCTION("ifna(VALUE(REGEXEXTRACT(E458,""[0-9.]+[,]+[0-9]+"")))"),"")</f>
        <v/>
      </c>
      <c r="N458" s="185"/>
      <c r="O458" s="185"/>
      <c r="P458" s="185"/>
      <c r="Q458" s="185"/>
      <c r="R458" s="185"/>
      <c r="S458" s="185"/>
      <c r="T458" s="185"/>
      <c r="U458" s="185"/>
      <c r="V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184" t="str">
        <f>IFERROR(__xludf.DUMMYFUNCTION("ifna(IF(and(D459=""Saída"",J459=""Sangria""),if(sum(QUERY(IMPORTRANGE(""https://docs.google.com/spreadsheets/d/1E4szPcLzsqlw4uyBAoJ61L1ChCgpz4wVP8tHfHW1g_c"",""BD M Sangrias!a:i""),""select Col6 where Col7 = 'Depositada' and Col9 = '""&amp;K459&amp;""' and Col6 ="&amp;" ""&amp;M459&amp;"" and Col4 = date '""&amp;YEAR(C459)&amp;""-""&amp;MONTH(C459)&amp;""-""&amp;DAY(C459)&amp;""'""))&gt;0,""Depositada"",if(sum(QUERY(IMPORTRANGE(""https://docs.google.com/spreadsheets/d/1EcLIvUgMoBC5as4ikW0wuQsGH5yVZ6cQ1y16qEfgPnk"",""BD M Sangrias!a:i""),""select Col6 whe"&amp;"re Col7 = 'Caixa Atendimento' and Col9 = '""&amp;K459&amp;""' and Col6 = ""&amp;M459&amp;"" and Col4 = date '""&amp;YEAR(C459)&amp;""-""&amp;MONTH(C459)&amp;""-""&amp;DAY(C459)&amp;""'""))&gt;0,""Caixa Atendimento"",""Caixa Sangria"")),""""),""Caixa Sangria"")"),"")</f>
        <v/>
      </c>
      <c r="M459" s="185" t="str">
        <f>IFERROR(__xludf.DUMMYFUNCTION("ifna(VALUE(REGEXEXTRACT(E459,""[0-9.]+[,]+[0-9]+"")))"),"")</f>
        <v/>
      </c>
      <c r="N459" s="185"/>
      <c r="O459" s="185"/>
      <c r="P459" s="185"/>
      <c r="Q459" s="185"/>
      <c r="R459" s="185"/>
      <c r="S459" s="185"/>
      <c r="T459" s="185"/>
      <c r="U459" s="185"/>
      <c r="V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184" t="str">
        <f>IFERROR(__xludf.DUMMYFUNCTION("ifna(IF(and(D460=""Saída"",J460=""Sangria""),if(sum(QUERY(IMPORTRANGE(""https://docs.google.com/spreadsheets/d/1E4szPcLzsqlw4uyBAoJ61L1ChCgpz4wVP8tHfHW1g_c"",""BD M Sangrias!a:i""),""select Col6 where Col7 = 'Depositada' and Col9 = '""&amp;K460&amp;""' and Col6 ="&amp;" ""&amp;M460&amp;"" and Col4 = date '""&amp;YEAR(C460)&amp;""-""&amp;MONTH(C460)&amp;""-""&amp;DAY(C460)&amp;""'""))&gt;0,""Depositada"",if(sum(QUERY(IMPORTRANGE(""https://docs.google.com/spreadsheets/d/1EcLIvUgMoBC5as4ikW0wuQsGH5yVZ6cQ1y16qEfgPnk"",""BD M Sangrias!a:i""),""select Col6 whe"&amp;"re Col7 = 'Caixa Atendimento' and Col9 = '""&amp;K460&amp;""' and Col6 = ""&amp;M460&amp;"" and Col4 = date '""&amp;YEAR(C460)&amp;""-""&amp;MONTH(C460)&amp;""-""&amp;DAY(C460)&amp;""'""))&gt;0,""Caixa Atendimento"",""Caixa Sangria"")),""""),""Caixa Sangria"")"),"")</f>
        <v/>
      </c>
      <c r="M460" s="185" t="str">
        <f>IFERROR(__xludf.DUMMYFUNCTION("ifna(VALUE(REGEXEXTRACT(E460,""[0-9.]+[,]+[0-9]+"")))"),"")</f>
        <v/>
      </c>
      <c r="N460" s="185"/>
      <c r="O460" s="185"/>
      <c r="P460" s="185"/>
      <c r="Q460" s="185"/>
      <c r="R460" s="185"/>
      <c r="S460" s="185"/>
      <c r="T460" s="185"/>
      <c r="U460" s="185"/>
      <c r="V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184" t="str">
        <f>IFERROR(__xludf.DUMMYFUNCTION("ifna(IF(and(D461=""Saída"",J461=""Sangria""),if(sum(QUERY(IMPORTRANGE(""https://docs.google.com/spreadsheets/d/1E4szPcLzsqlw4uyBAoJ61L1ChCgpz4wVP8tHfHW1g_c"",""BD M Sangrias!a:i""),""select Col6 where Col7 = 'Depositada' and Col9 = '""&amp;K461&amp;""' and Col6 ="&amp;" ""&amp;M461&amp;"" and Col4 = date '""&amp;YEAR(C461)&amp;""-""&amp;MONTH(C461)&amp;""-""&amp;DAY(C461)&amp;""'""))&gt;0,""Depositada"",if(sum(QUERY(IMPORTRANGE(""https://docs.google.com/spreadsheets/d/1EcLIvUgMoBC5as4ikW0wuQsGH5yVZ6cQ1y16qEfgPnk"",""BD M Sangrias!a:i""),""select Col6 whe"&amp;"re Col7 = 'Caixa Atendimento' and Col9 = '""&amp;K461&amp;""' and Col6 = ""&amp;M461&amp;"" and Col4 = date '""&amp;YEAR(C461)&amp;""-""&amp;MONTH(C461)&amp;""-""&amp;DAY(C461)&amp;""'""))&gt;0,""Caixa Atendimento"",""Caixa Sangria"")),""""),""Caixa Sangria"")"),"")</f>
        <v/>
      </c>
      <c r="M461" s="185" t="str">
        <f>IFERROR(__xludf.DUMMYFUNCTION("ifna(VALUE(REGEXEXTRACT(E461,""[0-9.]+[,]+[0-9]+"")))"),"")</f>
        <v/>
      </c>
      <c r="N461" s="185"/>
      <c r="O461" s="185"/>
      <c r="P461" s="185"/>
      <c r="Q461" s="185"/>
      <c r="R461" s="185"/>
      <c r="S461" s="185"/>
      <c r="T461" s="185"/>
      <c r="U461" s="185"/>
      <c r="V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184" t="str">
        <f>IFERROR(__xludf.DUMMYFUNCTION("ifna(IF(and(D462=""Saída"",J462=""Sangria""),if(sum(QUERY(IMPORTRANGE(""https://docs.google.com/spreadsheets/d/1E4szPcLzsqlw4uyBAoJ61L1ChCgpz4wVP8tHfHW1g_c"",""BD M Sangrias!a:i""),""select Col6 where Col7 = 'Depositada' and Col9 = '""&amp;K462&amp;""' and Col6 ="&amp;" ""&amp;M462&amp;"" and Col4 = date '""&amp;YEAR(C462)&amp;""-""&amp;MONTH(C462)&amp;""-""&amp;DAY(C462)&amp;""'""))&gt;0,""Depositada"",if(sum(QUERY(IMPORTRANGE(""https://docs.google.com/spreadsheets/d/1EcLIvUgMoBC5as4ikW0wuQsGH5yVZ6cQ1y16qEfgPnk"",""BD M Sangrias!a:i""),""select Col6 whe"&amp;"re Col7 = 'Caixa Atendimento' and Col9 = '""&amp;K462&amp;""' and Col6 = ""&amp;M462&amp;"" and Col4 = date '""&amp;YEAR(C462)&amp;""-""&amp;MONTH(C462)&amp;""-""&amp;DAY(C462)&amp;""'""))&gt;0,""Caixa Atendimento"",""Caixa Sangria"")),""""),""Caixa Sangria"")"),"")</f>
        <v/>
      </c>
      <c r="M462" s="185" t="str">
        <f>IFERROR(__xludf.DUMMYFUNCTION("ifna(VALUE(REGEXEXTRACT(E462,""[0-9.]+[,]+[0-9]+"")))"),"")</f>
        <v/>
      </c>
      <c r="N462" s="185"/>
      <c r="O462" s="185"/>
      <c r="P462" s="185"/>
      <c r="Q462" s="185"/>
      <c r="R462" s="185"/>
      <c r="S462" s="185"/>
      <c r="T462" s="185"/>
      <c r="U462" s="185"/>
      <c r="V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184" t="str">
        <f>IFERROR(__xludf.DUMMYFUNCTION("ifna(IF(and(D463=""Saída"",J463=""Sangria""),if(sum(QUERY(IMPORTRANGE(""https://docs.google.com/spreadsheets/d/1E4szPcLzsqlw4uyBAoJ61L1ChCgpz4wVP8tHfHW1g_c"",""BD M Sangrias!a:i""),""select Col6 where Col7 = 'Depositada' and Col9 = '""&amp;K463&amp;""' and Col6 ="&amp;" ""&amp;M463&amp;"" and Col4 = date '""&amp;YEAR(C463)&amp;""-""&amp;MONTH(C463)&amp;""-""&amp;DAY(C463)&amp;""'""))&gt;0,""Depositada"",if(sum(QUERY(IMPORTRANGE(""https://docs.google.com/spreadsheets/d/1EcLIvUgMoBC5as4ikW0wuQsGH5yVZ6cQ1y16qEfgPnk"",""BD M Sangrias!a:i""),""select Col6 whe"&amp;"re Col7 = 'Caixa Atendimento' and Col9 = '""&amp;K463&amp;""' and Col6 = ""&amp;M463&amp;"" and Col4 = date '""&amp;YEAR(C463)&amp;""-""&amp;MONTH(C463)&amp;""-""&amp;DAY(C463)&amp;""'""))&gt;0,""Caixa Atendimento"",""Caixa Sangria"")),""""),""Caixa Sangria"")"),"")</f>
        <v/>
      </c>
      <c r="M463" s="185" t="str">
        <f>IFERROR(__xludf.DUMMYFUNCTION("ifna(VALUE(REGEXEXTRACT(E463,""[0-9.]+[,]+[0-9]+"")))"),"")</f>
        <v/>
      </c>
      <c r="N463" s="185"/>
      <c r="O463" s="185"/>
      <c r="P463" s="185"/>
      <c r="Q463" s="185"/>
      <c r="R463" s="185"/>
      <c r="S463" s="185"/>
      <c r="T463" s="185"/>
      <c r="U463" s="185"/>
      <c r="V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184" t="str">
        <f>IFERROR(__xludf.DUMMYFUNCTION("ifna(IF(and(D464=""Saída"",J464=""Sangria""),if(sum(QUERY(IMPORTRANGE(""https://docs.google.com/spreadsheets/d/1E4szPcLzsqlw4uyBAoJ61L1ChCgpz4wVP8tHfHW1g_c"",""BD M Sangrias!a:i""),""select Col6 where Col7 = 'Depositada' and Col9 = '""&amp;K464&amp;""' and Col6 ="&amp;" ""&amp;M464&amp;"" and Col4 = date '""&amp;YEAR(C464)&amp;""-""&amp;MONTH(C464)&amp;""-""&amp;DAY(C464)&amp;""'""))&gt;0,""Depositada"",if(sum(QUERY(IMPORTRANGE(""https://docs.google.com/spreadsheets/d/1EcLIvUgMoBC5as4ikW0wuQsGH5yVZ6cQ1y16qEfgPnk"",""BD M Sangrias!a:i""),""select Col6 whe"&amp;"re Col7 = 'Caixa Atendimento' and Col9 = '""&amp;K464&amp;""' and Col6 = ""&amp;M464&amp;"" and Col4 = date '""&amp;YEAR(C464)&amp;""-""&amp;MONTH(C464)&amp;""-""&amp;DAY(C464)&amp;""'""))&gt;0,""Caixa Atendimento"",""Caixa Sangria"")),""""),""Caixa Sangria"")"),"")</f>
        <v/>
      </c>
      <c r="M464" s="185" t="str">
        <f>IFERROR(__xludf.DUMMYFUNCTION("ifna(VALUE(REGEXEXTRACT(E464,""[0-9.]+[,]+[0-9]+"")))"),"")</f>
        <v/>
      </c>
      <c r="N464" s="185"/>
      <c r="O464" s="185"/>
      <c r="P464" s="185"/>
      <c r="Q464" s="185"/>
      <c r="R464" s="185"/>
      <c r="S464" s="185"/>
      <c r="T464" s="185"/>
      <c r="U464" s="185"/>
      <c r="V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184" t="str">
        <f>IFERROR(__xludf.DUMMYFUNCTION("ifna(IF(and(D465=""Saída"",J465=""Sangria""),if(sum(QUERY(IMPORTRANGE(""https://docs.google.com/spreadsheets/d/1E4szPcLzsqlw4uyBAoJ61L1ChCgpz4wVP8tHfHW1g_c"",""BD M Sangrias!a:i""),""select Col6 where Col7 = 'Depositada' and Col9 = '""&amp;K465&amp;""' and Col6 ="&amp;" ""&amp;M465&amp;"" and Col4 = date '""&amp;YEAR(C465)&amp;""-""&amp;MONTH(C465)&amp;""-""&amp;DAY(C465)&amp;""'""))&gt;0,""Depositada"",if(sum(QUERY(IMPORTRANGE(""https://docs.google.com/spreadsheets/d/1EcLIvUgMoBC5as4ikW0wuQsGH5yVZ6cQ1y16qEfgPnk"",""BD M Sangrias!a:i""),""select Col6 whe"&amp;"re Col7 = 'Caixa Atendimento' and Col9 = '""&amp;K465&amp;""' and Col6 = ""&amp;M465&amp;"" and Col4 = date '""&amp;YEAR(C465)&amp;""-""&amp;MONTH(C465)&amp;""-""&amp;DAY(C465)&amp;""'""))&gt;0,""Caixa Atendimento"",""Caixa Sangria"")),""""),""Caixa Sangria"")"),"")</f>
        <v/>
      </c>
      <c r="M465" s="185" t="str">
        <f>IFERROR(__xludf.DUMMYFUNCTION("ifna(VALUE(REGEXEXTRACT(E465,""[0-9.]+[,]+[0-9]+"")))"),"")</f>
        <v/>
      </c>
      <c r="N465" s="185"/>
      <c r="O465" s="185"/>
      <c r="P465" s="185"/>
      <c r="Q465" s="185"/>
      <c r="R465" s="185"/>
      <c r="S465" s="185"/>
      <c r="T465" s="185"/>
      <c r="U465" s="185"/>
      <c r="V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184" t="str">
        <f>IFERROR(__xludf.DUMMYFUNCTION("ifna(IF(and(D466=""Saída"",J466=""Sangria""),if(sum(QUERY(IMPORTRANGE(""https://docs.google.com/spreadsheets/d/1E4szPcLzsqlw4uyBAoJ61L1ChCgpz4wVP8tHfHW1g_c"",""BD M Sangrias!a:i""),""select Col6 where Col7 = 'Depositada' and Col9 = '""&amp;K466&amp;""' and Col6 ="&amp;" ""&amp;M466&amp;"" and Col4 = date '""&amp;YEAR(C466)&amp;""-""&amp;MONTH(C466)&amp;""-""&amp;DAY(C466)&amp;""'""))&gt;0,""Depositada"",if(sum(QUERY(IMPORTRANGE(""https://docs.google.com/spreadsheets/d/1EcLIvUgMoBC5as4ikW0wuQsGH5yVZ6cQ1y16qEfgPnk"",""BD M Sangrias!a:i""),""select Col6 whe"&amp;"re Col7 = 'Caixa Atendimento' and Col9 = '""&amp;K466&amp;""' and Col6 = ""&amp;M466&amp;"" and Col4 = date '""&amp;YEAR(C466)&amp;""-""&amp;MONTH(C466)&amp;""-""&amp;DAY(C466)&amp;""'""))&gt;0,""Caixa Atendimento"",""Caixa Sangria"")),""""),""Caixa Sangria"")"),"")</f>
        <v/>
      </c>
      <c r="M466" s="185" t="str">
        <f>IFERROR(__xludf.DUMMYFUNCTION("ifna(VALUE(REGEXEXTRACT(E466,""[0-9.]+[,]+[0-9]+"")))"),"")</f>
        <v/>
      </c>
      <c r="N466" s="185"/>
      <c r="O466" s="185"/>
      <c r="P466" s="185"/>
      <c r="Q466" s="185"/>
      <c r="R466" s="185"/>
      <c r="S466" s="185"/>
      <c r="T466" s="185"/>
      <c r="U466" s="185"/>
      <c r="V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184" t="str">
        <f>IFERROR(__xludf.DUMMYFUNCTION("ifna(IF(and(D467=""Saída"",J467=""Sangria""),if(sum(QUERY(IMPORTRANGE(""https://docs.google.com/spreadsheets/d/1E4szPcLzsqlw4uyBAoJ61L1ChCgpz4wVP8tHfHW1g_c"",""BD M Sangrias!a:i""),""select Col6 where Col7 = 'Depositada' and Col9 = '""&amp;K467&amp;""' and Col6 ="&amp;" ""&amp;M467&amp;"" and Col4 = date '""&amp;YEAR(C467)&amp;""-""&amp;MONTH(C467)&amp;""-""&amp;DAY(C467)&amp;""'""))&gt;0,""Depositada"",if(sum(QUERY(IMPORTRANGE(""https://docs.google.com/spreadsheets/d/1EcLIvUgMoBC5as4ikW0wuQsGH5yVZ6cQ1y16qEfgPnk"",""BD M Sangrias!a:i""),""select Col6 whe"&amp;"re Col7 = 'Caixa Atendimento' and Col9 = '""&amp;K467&amp;""' and Col6 = ""&amp;M467&amp;"" and Col4 = date '""&amp;YEAR(C467)&amp;""-""&amp;MONTH(C467)&amp;""-""&amp;DAY(C467)&amp;""'""))&gt;0,""Caixa Atendimento"",""Caixa Sangria"")),""""),""Caixa Sangria"")"),"")</f>
        <v/>
      </c>
      <c r="M467" s="185" t="str">
        <f>IFERROR(__xludf.DUMMYFUNCTION("ifna(VALUE(REGEXEXTRACT(E467,""[0-9.]+[,]+[0-9]+"")))"),"")</f>
        <v/>
      </c>
      <c r="N467" s="185"/>
      <c r="O467" s="185"/>
      <c r="P467" s="185"/>
      <c r="Q467" s="185"/>
      <c r="R467" s="185"/>
      <c r="S467" s="185"/>
      <c r="T467" s="185"/>
      <c r="U467" s="185"/>
      <c r="V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184" t="str">
        <f>IFERROR(__xludf.DUMMYFUNCTION("ifna(IF(and(D468=""Saída"",J468=""Sangria""),if(sum(QUERY(IMPORTRANGE(""https://docs.google.com/spreadsheets/d/1E4szPcLzsqlw4uyBAoJ61L1ChCgpz4wVP8tHfHW1g_c"",""BD M Sangrias!a:i""),""select Col6 where Col7 = 'Depositada' and Col9 = '""&amp;K468&amp;""' and Col6 ="&amp;" ""&amp;M468&amp;"" and Col4 = date '""&amp;YEAR(C468)&amp;""-""&amp;MONTH(C468)&amp;""-""&amp;DAY(C468)&amp;""'""))&gt;0,""Depositada"",if(sum(QUERY(IMPORTRANGE(""https://docs.google.com/spreadsheets/d/1EcLIvUgMoBC5as4ikW0wuQsGH5yVZ6cQ1y16qEfgPnk"",""BD M Sangrias!a:i""),""select Col6 whe"&amp;"re Col7 = 'Caixa Atendimento' and Col9 = '""&amp;K468&amp;""' and Col6 = ""&amp;M468&amp;"" and Col4 = date '""&amp;YEAR(C468)&amp;""-""&amp;MONTH(C468)&amp;""-""&amp;DAY(C468)&amp;""'""))&gt;0,""Caixa Atendimento"",""Caixa Sangria"")),""""),""Caixa Sangria"")"),"")</f>
        <v/>
      </c>
      <c r="M468" s="185" t="str">
        <f>IFERROR(__xludf.DUMMYFUNCTION("ifna(VALUE(REGEXEXTRACT(E468,""[0-9.]+[,]+[0-9]+"")))"),"")</f>
        <v/>
      </c>
      <c r="N468" s="185"/>
      <c r="O468" s="185"/>
      <c r="P468" s="185"/>
      <c r="Q468" s="185"/>
      <c r="R468" s="185"/>
      <c r="S468" s="185"/>
      <c r="T468" s="185"/>
      <c r="U468" s="185"/>
      <c r="V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184" t="str">
        <f>IFERROR(__xludf.DUMMYFUNCTION("ifna(IF(and(D469=""Saída"",J469=""Sangria""),if(sum(QUERY(IMPORTRANGE(""https://docs.google.com/spreadsheets/d/1E4szPcLzsqlw4uyBAoJ61L1ChCgpz4wVP8tHfHW1g_c"",""BD M Sangrias!a:i""),""select Col6 where Col7 = 'Depositada' and Col9 = '""&amp;K469&amp;""' and Col6 ="&amp;" ""&amp;M469&amp;"" and Col4 = date '""&amp;YEAR(C469)&amp;""-""&amp;MONTH(C469)&amp;""-""&amp;DAY(C469)&amp;""'""))&gt;0,""Depositada"",if(sum(QUERY(IMPORTRANGE(""https://docs.google.com/spreadsheets/d/1EcLIvUgMoBC5as4ikW0wuQsGH5yVZ6cQ1y16qEfgPnk"",""BD M Sangrias!a:i""),""select Col6 whe"&amp;"re Col7 = 'Caixa Atendimento' and Col9 = '""&amp;K469&amp;""' and Col6 = ""&amp;M469&amp;"" and Col4 = date '""&amp;YEAR(C469)&amp;""-""&amp;MONTH(C469)&amp;""-""&amp;DAY(C469)&amp;""'""))&gt;0,""Caixa Atendimento"",""Caixa Sangria"")),""""),""Caixa Sangria"")"),"")</f>
        <v/>
      </c>
      <c r="M469" s="185" t="str">
        <f>IFERROR(__xludf.DUMMYFUNCTION("ifna(VALUE(REGEXEXTRACT(E469,""[0-9.]+[,]+[0-9]+"")))"),"")</f>
        <v/>
      </c>
      <c r="N469" s="185"/>
      <c r="O469" s="185"/>
      <c r="P469" s="185"/>
      <c r="Q469" s="185"/>
      <c r="R469" s="185"/>
      <c r="S469" s="185"/>
      <c r="T469" s="185"/>
      <c r="U469" s="185"/>
      <c r="V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184" t="str">
        <f>IFERROR(__xludf.DUMMYFUNCTION("ifna(IF(and(D470=""Saída"",J470=""Sangria""),if(sum(QUERY(IMPORTRANGE(""https://docs.google.com/spreadsheets/d/1E4szPcLzsqlw4uyBAoJ61L1ChCgpz4wVP8tHfHW1g_c"",""BD M Sangrias!a:i""),""select Col6 where Col7 = 'Depositada' and Col9 = '""&amp;K470&amp;""' and Col6 ="&amp;" ""&amp;M470&amp;"" and Col4 = date '""&amp;YEAR(C470)&amp;""-""&amp;MONTH(C470)&amp;""-""&amp;DAY(C470)&amp;""'""))&gt;0,""Depositada"",if(sum(QUERY(IMPORTRANGE(""https://docs.google.com/spreadsheets/d/1EcLIvUgMoBC5as4ikW0wuQsGH5yVZ6cQ1y16qEfgPnk"",""BD M Sangrias!a:i""),""select Col6 whe"&amp;"re Col7 = 'Caixa Atendimento' and Col9 = '""&amp;K470&amp;""' and Col6 = ""&amp;M470&amp;"" and Col4 = date '""&amp;YEAR(C470)&amp;""-""&amp;MONTH(C470)&amp;""-""&amp;DAY(C470)&amp;""'""))&gt;0,""Caixa Atendimento"",""Caixa Sangria"")),""""),""Caixa Sangria"")"),"")</f>
        <v/>
      </c>
      <c r="M470" s="185" t="str">
        <f>IFERROR(__xludf.DUMMYFUNCTION("ifna(VALUE(REGEXEXTRACT(E470,""[0-9.]+[,]+[0-9]+"")))"),"")</f>
        <v/>
      </c>
      <c r="N470" s="185"/>
      <c r="O470" s="185"/>
      <c r="P470" s="185"/>
      <c r="Q470" s="185"/>
      <c r="R470" s="185"/>
      <c r="S470" s="185"/>
      <c r="T470" s="185"/>
      <c r="U470" s="185"/>
      <c r="V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184" t="str">
        <f>IFERROR(__xludf.DUMMYFUNCTION("ifna(IF(and(D471=""Saída"",J471=""Sangria""),if(sum(QUERY(IMPORTRANGE(""https://docs.google.com/spreadsheets/d/1E4szPcLzsqlw4uyBAoJ61L1ChCgpz4wVP8tHfHW1g_c"",""BD M Sangrias!a:i""),""select Col6 where Col7 = 'Depositada' and Col9 = '""&amp;K471&amp;""' and Col6 ="&amp;" ""&amp;M471&amp;"" and Col4 = date '""&amp;YEAR(C471)&amp;""-""&amp;MONTH(C471)&amp;""-""&amp;DAY(C471)&amp;""'""))&gt;0,""Depositada"",if(sum(QUERY(IMPORTRANGE(""https://docs.google.com/spreadsheets/d/1EcLIvUgMoBC5as4ikW0wuQsGH5yVZ6cQ1y16qEfgPnk"",""BD M Sangrias!a:i""),""select Col6 whe"&amp;"re Col7 = 'Caixa Atendimento' and Col9 = '""&amp;K471&amp;""' and Col6 = ""&amp;M471&amp;"" and Col4 = date '""&amp;YEAR(C471)&amp;""-""&amp;MONTH(C471)&amp;""-""&amp;DAY(C471)&amp;""'""))&gt;0,""Caixa Atendimento"",""Caixa Sangria"")),""""),""Caixa Sangria"")"),"")</f>
        <v/>
      </c>
      <c r="M471" s="185" t="str">
        <f>IFERROR(__xludf.DUMMYFUNCTION("ifna(VALUE(REGEXEXTRACT(E471,""[0-9.]+[,]+[0-9]+"")))"),"")</f>
        <v/>
      </c>
      <c r="N471" s="185"/>
      <c r="O471" s="185"/>
      <c r="P471" s="185"/>
      <c r="Q471" s="185"/>
      <c r="R471" s="185"/>
      <c r="S471" s="185"/>
      <c r="T471" s="185"/>
      <c r="U471" s="185"/>
      <c r="V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184" t="str">
        <f>IFERROR(__xludf.DUMMYFUNCTION("ifna(IF(and(D472=""Saída"",J472=""Sangria""),if(sum(QUERY(IMPORTRANGE(""https://docs.google.com/spreadsheets/d/1E4szPcLzsqlw4uyBAoJ61L1ChCgpz4wVP8tHfHW1g_c"",""BD M Sangrias!a:i""),""select Col6 where Col7 = 'Depositada' and Col9 = '""&amp;K472&amp;""' and Col6 ="&amp;" ""&amp;M472&amp;"" and Col4 = date '""&amp;YEAR(C472)&amp;""-""&amp;MONTH(C472)&amp;""-""&amp;DAY(C472)&amp;""'""))&gt;0,""Depositada"",if(sum(QUERY(IMPORTRANGE(""https://docs.google.com/spreadsheets/d/1EcLIvUgMoBC5as4ikW0wuQsGH5yVZ6cQ1y16qEfgPnk"",""BD M Sangrias!a:i""),""select Col6 whe"&amp;"re Col7 = 'Caixa Atendimento' and Col9 = '""&amp;K472&amp;""' and Col6 = ""&amp;M472&amp;"" and Col4 = date '""&amp;YEAR(C472)&amp;""-""&amp;MONTH(C472)&amp;""-""&amp;DAY(C472)&amp;""'""))&gt;0,""Caixa Atendimento"",""Caixa Sangria"")),""""),""Caixa Sangria"")"),"")</f>
        <v/>
      </c>
      <c r="M472" s="185" t="str">
        <f>IFERROR(__xludf.DUMMYFUNCTION("ifna(VALUE(REGEXEXTRACT(E472,""[0-9.]+[,]+[0-9]+"")))"),"")</f>
        <v/>
      </c>
      <c r="N472" s="185"/>
      <c r="O472" s="185"/>
      <c r="P472" s="185"/>
      <c r="Q472" s="185"/>
      <c r="R472" s="185"/>
      <c r="S472" s="185"/>
      <c r="T472" s="185"/>
      <c r="U472" s="185"/>
      <c r="V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184" t="str">
        <f>IFERROR(__xludf.DUMMYFUNCTION("ifna(IF(and(D473=""Saída"",J473=""Sangria""),if(sum(QUERY(IMPORTRANGE(""https://docs.google.com/spreadsheets/d/1E4szPcLzsqlw4uyBAoJ61L1ChCgpz4wVP8tHfHW1g_c"",""BD M Sangrias!a:i""),""select Col6 where Col7 = 'Depositada' and Col9 = '""&amp;K473&amp;""' and Col6 ="&amp;" ""&amp;M473&amp;"" and Col4 = date '""&amp;YEAR(C473)&amp;""-""&amp;MONTH(C473)&amp;""-""&amp;DAY(C473)&amp;""'""))&gt;0,""Depositada"",if(sum(QUERY(IMPORTRANGE(""https://docs.google.com/spreadsheets/d/1EcLIvUgMoBC5as4ikW0wuQsGH5yVZ6cQ1y16qEfgPnk"",""BD M Sangrias!a:i""),""select Col6 whe"&amp;"re Col7 = 'Caixa Atendimento' and Col9 = '""&amp;K473&amp;""' and Col6 = ""&amp;M473&amp;"" and Col4 = date '""&amp;YEAR(C473)&amp;""-""&amp;MONTH(C473)&amp;""-""&amp;DAY(C473)&amp;""'""))&gt;0,""Caixa Atendimento"",""Caixa Sangria"")),""""),""Caixa Sangria"")"),"")</f>
        <v/>
      </c>
      <c r="M473" s="185" t="str">
        <f>IFERROR(__xludf.DUMMYFUNCTION("ifna(VALUE(REGEXEXTRACT(E473,""[0-9.]+[,]+[0-9]+"")))"),"")</f>
        <v/>
      </c>
      <c r="N473" s="185"/>
      <c r="O473" s="185"/>
      <c r="P473" s="185"/>
      <c r="Q473" s="185"/>
      <c r="R473" s="185"/>
      <c r="S473" s="185"/>
      <c r="T473" s="185"/>
      <c r="U473" s="185"/>
      <c r="V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184" t="str">
        <f>IFERROR(__xludf.DUMMYFUNCTION("ifna(IF(and(D474=""Saída"",J474=""Sangria""),if(sum(QUERY(IMPORTRANGE(""https://docs.google.com/spreadsheets/d/1E4szPcLzsqlw4uyBAoJ61L1ChCgpz4wVP8tHfHW1g_c"",""BD M Sangrias!a:i""),""select Col6 where Col7 = 'Depositada' and Col9 = '""&amp;K474&amp;""' and Col6 ="&amp;" ""&amp;M474&amp;"" and Col4 = date '""&amp;YEAR(C474)&amp;""-""&amp;MONTH(C474)&amp;""-""&amp;DAY(C474)&amp;""'""))&gt;0,""Depositada"",if(sum(QUERY(IMPORTRANGE(""https://docs.google.com/spreadsheets/d/1EcLIvUgMoBC5as4ikW0wuQsGH5yVZ6cQ1y16qEfgPnk"",""BD M Sangrias!a:i""),""select Col6 whe"&amp;"re Col7 = 'Caixa Atendimento' and Col9 = '""&amp;K474&amp;""' and Col6 = ""&amp;M474&amp;"" and Col4 = date '""&amp;YEAR(C474)&amp;""-""&amp;MONTH(C474)&amp;""-""&amp;DAY(C474)&amp;""'""))&gt;0,""Caixa Atendimento"",""Caixa Sangria"")),""""),""Caixa Sangria"")"),"")</f>
        <v/>
      </c>
      <c r="M474" s="185" t="str">
        <f>IFERROR(__xludf.DUMMYFUNCTION("ifna(VALUE(REGEXEXTRACT(E474,""[0-9.]+[,]+[0-9]+"")))"),"")</f>
        <v/>
      </c>
      <c r="N474" s="185"/>
      <c r="O474" s="185"/>
      <c r="P474" s="185"/>
      <c r="Q474" s="185"/>
      <c r="R474" s="185"/>
      <c r="S474" s="185"/>
      <c r="T474" s="185"/>
      <c r="U474" s="185"/>
      <c r="V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184" t="str">
        <f>IFERROR(__xludf.DUMMYFUNCTION("ifna(IF(and(D475=""Saída"",J475=""Sangria""),if(sum(QUERY(IMPORTRANGE(""https://docs.google.com/spreadsheets/d/1E4szPcLzsqlw4uyBAoJ61L1ChCgpz4wVP8tHfHW1g_c"",""BD M Sangrias!a:i""),""select Col6 where Col7 = 'Depositada' and Col9 = '""&amp;K475&amp;""' and Col6 ="&amp;" ""&amp;M475&amp;"" and Col4 = date '""&amp;YEAR(C475)&amp;""-""&amp;MONTH(C475)&amp;""-""&amp;DAY(C475)&amp;""'""))&gt;0,""Depositada"",if(sum(QUERY(IMPORTRANGE(""https://docs.google.com/spreadsheets/d/1EcLIvUgMoBC5as4ikW0wuQsGH5yVZ6cQ1y16qEfgPnk"",""BD M Sangrias!a:i""),""select Col6 whe"&amp;"re Col7 = 'Caixa Atendimento' and Col9 = '""&amp;K475&amp;""' and Col6 = ""&amp;M475&amp;"" and Col4 = date '""&amp;YEAR(C475)&amp;""-""&amp;MONTH(C475)&amp;""-""&amp;DAY(C475)&amp;""'""))&gt;0,""Caixa Atendimento"",""Caixa Sangria"")),""""),""Caixa Sangria"")"),"")</f>
        <v/>
      </c>
      <c r="M475" s="185" t="str">
        <f>IFERROR(__xludf.DUMMYFUNCTION("ifna(VALUE(REGEXEXTRACT(E475,""[0-9.]+[,]+[0-9]+"")))"),"")</f>
        <v/>
      </c>
      <c r="N475" s="185"/>
      <c r="O475" s="185"/>
      <c r="P475" s="185"/>
      <c r="Q475" s="185"/>
      <c r="R475" s="185"/>
      <c r="S475" s="185"/>
      <c r="T475" s="185"/>
      <c r="U475" s="185"/>
      <c r="V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184" t="str">
        <f>IFERROR(__xludf.DUMMYFUNCTION("ifna(IF(and(D476=""Saída"",J476=""Sangria""),if(sum(QUERY(IMPORTRANGE(""https://docs.google.com/spreadsheets/d/1E4szPcLzsqlw4uyBAoJ61L1ChCgpz4wVP8tHfHW1g_c"",""BD M Sangrias!a:i""),""select Col6 where Col7 = 'Depositada' and Col9 = '""&amp;K476&amp;""' and Col6 ="&amp;" ""&amp;M476&amp;"" and Col4 = date '""&amp;YEAR(C476)&amp;""-""&amp;MONTH(C476)&amp;""-""&amp;DAY(C476)&amp;""'""))&gt;0,""Depositada"",if(sum(QUERY(IMPORTRANGE(""https://docs.google.com/spreadsheets/d/1EcLIvUgMoBC5as4ikW0wuQsGH5yVZ6cQ1y16qEfgPnk"",""BD M Sangrias!a:i""),""select Col6 whe"&amp;"re Col7 = 'Caixa Atendimento' and Col9 = '""&amp;K476&amp;""' and Col6 = ""&amp;M476&amp;"" and Col4 = date '""&amp;YEAR(C476)&amp;""-""&amp;MONTH(C476)&amp;""-""&amp;DAY(C476)&amp;""'""))&gt;0,""Caixa Atendimento"",""Caixa Sangria"")),""""),""Caixa Sangria"")"),"")</f>
        <v/>
      </c>
      <c r="M476" s="185" t="str">
        <f>IFERROR(__xludf.DUMMYFUNCTION("ifna(VALUE(REGEXEXTRACT(E476,""[0-9.]+[,]+[0-9]+"")))"),"")</f>
        <v/>
      </c>
      <c r="N476" s="185"/>
      <c r="O476" s="185"/>
      <c r="P476" s="185"/>
      <c r="Q476" s="185"/>
      <c r="R476" s="185"/>
      <c r="S476" s="185"/>
      <c r="T476" s="185"/>
      <c r="U476" s="185"/>
      <c r="V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184" t="str">
        <f>IFERROR(__xludf.DUMMYFUNCTION("ifna(IF(and(D477=""Saída"",J477=""Sangria""),if(sum(QUERY(IMPORTRANGE(""https://docs.google.com/spreadsheets/d/1E4szPcLzsqlw4uyBAoJ61L1ChCgpz4wVP8tHfHW1g_c"",""BD M Sangrias!a:i""),""select Col6 where Col7 = 'Depositada' and Col9 = '""&amp;K477&amp;""' and Col6 ="&amp;" ""&amp;M477&amp;"" and Col4 = date '""&amp;YEAR(C477)&amp;""-""&amp;MONTH(C477)&amp;""-""&amp;DAY(C477)&amp;""'""))&gt;0,""Depositada"",if(sum(QUERY(IMPORTRANGE(""https://docs.google.com/spreadsheets/d/1EcLIvUgMoBC5as4ikW0wuQsGH5yVZ6cQ1y16qEfgPnk"",""BD M Sangrias!a:i""),""select Col6 whe"&amp;"re Col7 = 'Caixa Atendimento' and Col9 = '""&amp;K477&amp;""' and Col6 = ""&amp;M477&amp;"" and Col4 = date '""&amp;YEAR(C477)&amp;""-""&amp;MONTH(C477)&amp;""-""&amp;DAY(C477)&amp;""'""))&gt;0,""Caixa Atendimento"",""Caixa Sangria"")),""""),""Caixa Sangria"")"),"")</f>
        <v/>
      </c>
      <c r="M477" s="185" t="str">
        <f>IFERROR(__xludf.DUMMYFUNCTION("ifna(VALUE(REGEXEXTRACT(E477,""[0-9.]+[,]+[0-9]+"")))"),"")</f>
        <v/>
      </c>
      <c r="N477" s="185"/>
      <c r="O477" s="185"/>
      <c r="P477" s="185"/>
      <c r="Q477" s="185"/>
      <c r="R477" s="185"/>
      <c r="S477" s="185"/>
      <c r="T477" s="185"/>
      <c r="U477" s="185"/>
      <c r="V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184" t="str">
        <f>IFERROR(__xludf.DUMMYFUNCTION("ifna(IF(and(D478=""Saída"",J478=""Sangria""),if(sum(QUERY(IMPORTRANGE(""https://docs.google.com/spreadsheets/d/1E4szPcLzsqlw4uyBAoJ61L1ChCgpz4wVP8tHfHW1g_c"",""BD M Sangrias!a:i""),""select Col6 where Col7 = 'Depositada' and Col9 = '""&amp;K478&amp;""' and Col6 ="&amp;" ""&amp;M478&amp;"" and Col4 = date '""&amp;YEAR(C478)&amp;""-""&amp;MONTH(C478)&amp;""-""&amp;DAY(C478)&amp;""'""))&gt;0,""Depositada"",if(sum(QUERY(IMPORTRANGE(""https://docs.google.com/spreadsheets/d/1EcLIvUgMoBC5as4ikW0wuQsGH5yVZ6cQ1y16qEfgPnk"",""BD M Sangrias!a:i""),""select Col6 whe"&amp;"re Col7 = 'Caixa Atendimento' and Col9 = '""&amp;K478&amp;""' and Col6 = ""&amp;M478&amp;"" and Col4 = date '""&amp;YEAR(C478)&amp;""-""&amp;MONTH(C478)&amp;""-""&amp;DAY(C478)&amp;""'""))&gt;0,""Caixa Atendimento"",""Caixa Sangria"")),""""),""Caixa Sangria"")"),"")</f>
        <v/>
      </c>
      <c r="M478" s="185" t="str">
        <f>IFERROR(__xludf.DUMMYFUNCTION("ifna(VALUE(REGEXEXTRACT(E478,""[0-9.]+[,]+[0-9]+"")))"),"")</f>
        <v/>
      </c>
      <c r="N478" s="185"/>
      <c r="O478" s="185"/>
      <c r="P478" s="185"/>
      <c r="Q478" s="185"/>
      <c r="R478" s="185"/>
      <c r="S478" s="185"/>
      <c r="T478" s="185"/>
      <c r="U478" s="185"/>
      <c r="V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184" t="str">
        <f>IFERROR(__xludf.DUMMYFUNCTION("ifna(IF(and(D479=""Saída"",J479=""Sangria""),if(sum(QUERY(IMPORTRANGE(""https://docs.google.com/spreadsheets/d/1E4szPcLzsqlw4uyBAoJ61L1ChCgpz4wVP8tHfHW1g_c"",""BD M Sangrias!a:i""),""select Col6 where Col7 = 'Depositada' and Col9 = '""&amp;K479&amp;""' and Col6 ="&amp;" ""&amp;M479&amp;"" and Col4 = date '""&amp;YEAR(C479)&amp;""-""&amp;MONTH(C479)&amp;""-""&amp;DAY(C479)&amp;""'""))&gt;0,""Depositada"",if(sum(QUERY(IMPORTRANGE(""https://docs.google.com/spreadsheets/d/1EcLIvUgMoBC5as4ikW0wuQsGH5yVZ6cQ1y16qEfgPnk"",""BD M Sangrias!a:i""),""select Col6 whe"&amp;"re Col7 = 'Caixa Atendimento' and Col9 = '""&amp;K479&amp;""' and Col6 = ""&amp;M479&amp;"" and Col4 = date '""&amp;YEAR(C479)&amp;""-""&amp;MONTH(C479)&amp;""-""&amp;DAY(C479)&amp;""'""))&gt;0,""Caixa Atendimento"",""Caixa Sangria"")),""""),""Caixa Sangria"")"),"")</f>
        <v/>
      </c>
      <c r="M479" s="185" t="str">
        <f>IFERROR(__xludf.DUMMYFUNCTION("ifna(VALUE(REGEXEXTRACT(E479,""[0-9.]+[,]+[0-9]+"")))"),"")</f>
        <v/>
      </c>
      <c r="N479" s="185"/>
      <c r="O479" s="185"/>
      <c r="P479" s="185"/>
      <c r="Q479" s="185"/>
      <c r="R479" s="185"/>
      <c r="S479" s="185"/>
      <c r="T479" s="185"/>
      <c r="U479" s="185"/>
      <c r="V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184" t="str">
        <f>IFERROR(__xludf.DUMMYFUNCTION("ifna(IF(and(D480=""Saída"",J480=""Sangria""),if(sum(QUERY(IMPORTRANGE(""https://docs.google.com/spreadsheets/d/1E4szPcLzsqlw4uyBAoJ61L1ChCgpz4wVP8tHfHW1g_c"",""BD M Sangrias!a:i""),""select Col6 where Col7 = 'Depositada' and Col9 = '""&amp;K480&amp;""' and Col6 ="&amp;" ""&amp;M480&amp;"" and Col4 = date '""&amp;YEAR(C480)&amp;""-""&amp;MONTH(C480)&amp;""-""&amp;DAY(C480)&amp;""'""))&gt;0,""Depositada"",if(sum(QUERY(IMPORTRANGE(""https://docs.google.com/spreadsheets/d/1EcLIvUgMoBC5as4ikW0wuQsGH5yVZ6cQ1y16qEfgPnk"",""BD M Sangrias!a:i""),""select Col6 whe"&amp;"re Col7 = 'Caixa Atendimento' and Col9 = '""&amp;K480&amp;""' and Col6 = ""&amp;M480&amp;"" and Col4 = date '""&amp;YEAR(C480)&amp;""-""&amp;MONTH(C480)&amp;""-""&amp;DAY(C480)&amp;""'""))&gt;0,""Caixa Atendimento"",""Caixa Sangria"")),""""),""Caixa Sangria"")"),"")</f>
        <v/>
      </c>
      <c r="M480" s="185" t="str">
        <f>IFERROR(__xludf.DUMMYFUNCTION("ifna(VALUE(REGEXEXTRACT(E480,""[0-9.]+[,]+[0-9]+"")))"),"")</f>
        <v/>
      </c>
      <c r="N480" s="185"/>
      <c r="O480" s="185"/>
      <c r="P480" s="185"/>
      <c r="Q480" s="185"/>
      <c r="R480" s="185"/>
      <c r="S480" s="185"/>
      <c r="T480" s="185"/>
      <c r="U480" s="185"/>
      <c r="V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184" t="str">
        <f>IFERROR(__xludf.DUMMYFUNCTION("ifna(IF(and(D481=""Saída"",J481=""Sangria""),if(sum(QUERY(IMPORTRANGE(""https://docs.google.com/spreadsheets/d/1E4szPcLzsqlw4uyBAoJ61L1ChCgpz4wVP8tHfHW1g_c"",""BD M Sangrias!a:i""),""select Col6 where Col7 = 'Depositada' and Col9 = '""&amp;K481&amp;""' and Col6 ="&amp;" ""&amp;M481&amp;"" and Col4 = date '""&amp;YEAR(C481)&amp;""-""&amp;MONTH(C481)&amp;""-""&amp;DAY(C481)&amp;""'""))&gt;0,""Depositada"",if(sum(QUERY(IMPORTRANGE(""https://docs.google.com/spreadsheets/d/1EcLIvUgMoBC5as4ikW0wuQsGH5yVZ6cQ1y16qEfgPnk"",""BD M Sangrias!a:i""),""select Col6 whe"&amp;"re Col7 = 'Caixa Atendimento' and Col9 = '""&amp;K481&amp;""' and Col6 = ""&amp;M481&amp;"" and Col4 = date '""&amp;YEAR(C481)&amp;""-""&amp;MONTH(C481)&amp;""-""&amp;DAY(C481)&amp;""'""))&gt;0,""Caixa Atendimento"",""Caixa Sangria"")),""""),""Caixa Sangria"")"),"")</f>
        <v/>
      </c>
      <c r="M481" s="185" t="str">
        <f>IFERROR(__xludf.DUMMYFUNCTION("ifna(VALUE(REGEXEXTRACT(E481,""[0-9.]+[,]+[0-9]+"")))"),"")</f>
        <v/>
      </c>
      <c r="N481" s="185"/>
      <c r="O481" s="185"/>
      <c r="P481" s="185"/>
      <c r="Q481" s="185"/>
      <c r="R481" s="185"/>
      <c r="S481" s="185"/>
      <c r="T481" s="185"/>
      <c r="U481" s="185"/>
      <c r="V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184" t="str">
        <f>IFERROR(__xludf.DUMMYFUNCTION("ifna(IF(and(D482=""Saída"",J482=""Sangria""),if(sum(QUERY(IMPORTRANGE(""https://docs.google.com/spreadsheets/d/1E4szPcLzsqlw4uyBAoJ61L1ChCgpz4wVP8tHfHW1g_c"",""BD M Sangrias!a:i""),""select Col6 where Col7 = 'Depositada' and Col9 = '""&amp;K482&amp;""' and Col6 ="&amp;" ""&amp;M482&amp;"" and Col4 = date '""&amp;YEAR(C482)&amp;""-""&amp;MONTH(C482)&amp;""-""&amp;DAY(C482)&amp;""'""))&gt;0,""Depositada"",if(sum(QUERY(IMPORTRANGE(""https://docs.google.com/spreadsheets/d/1EcLIvUgMoBC5as4ikW0wuQsGH5yVZ6cQ1y16qEfgPnk"",""BD M Sangrias!a:i""),""select Col6 whe"&amp;"re Col7 = 'Caixa Atendimento' and Col9 = '""&amp;K482&amp;""' and Col6 = ""&amp;M482&amp;"" and Col4 = date '""&amp;YEAR(C482)&amp;""-""&amp;MONTH(C482)&amp;""-""&amp;DAY(C482)&amp;""'""))&gt;0,""Caixa Atendimento"",""Caixa Sangria"")),""""),""Caixa Sangria"")"),"")</f>
        <v/>
      </c>
      <c r="M482" s="185" t="str">
        <f>IFERROR(__xludf.DUMMYFUNCTION("ifna(VALUE(REGEXEXTRACT(E482,""[0-9.]+[,]+[0-9]+"")))"),"")</f>
        <v/>
      </c>
      <c r="N482" s="185"/>
      <c r="O482" s="185"/>
      <c r="P482" s="185"/>
      <c r="Q482" s="185"/>
      <c r="R482" s="185"/>
      <c r="S482" s="185"/>
      <c r="T482" s="185"/>
      <c r="U482" s="185"/>
      <c r="V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184" t="str">
        <f>IFERROR(__xludf.DUMMYFUNCTION("ifna(IF(and(D483=""Saída"",J483=""Sangria""),if(sum(QUERY(IMPORTRANGE(""https://docs.google.com/spreadsheets/d/1E4szPcLzsqlw4uyBAoJ61L1ChCgpz4wVP8tHfHW1g_c"",""BD M Sangrias!a:i""),""select Col6 where Col7 = 'Depositada' and Col9 = '""&amp;K483&amp;""' and Col6 ="&amp;" ""&amp;M483&amp;"" and Col4 = date '""&amp;YEAR(C483)&amp;""-""&amp;MONTH(C483)&amp;""-""&amp;DAY(C483)&amp;""'""))&gt;0,""Depositada"",if(sum(QUERY(IMPORTRANGE(""https://docs.google.com/spreadsheets/d/1EcLIvUgMoBC5as4ikW0wuQsGH5yVZ6cQ1y16qEfgPnk"",""BD M Sangrias!a:i""),""select Col6 whe"&amp;"re Col7 = 'Caixa Atendimento' and Col9 = '""&amp;K483&amp;""' and Col6 = ""&amp;M483&amp;"" and Col4 = date '""&amp;YEAR(C483)&amp;""-""&amp;MONTH(C483)&amp;""-""&amp;DAY(C483)&amp;""'""))&gt;0,""Caixa Atendimento"",""Caixa Sangria"")),""""),""Caixa Sangria"")"),"")</f>
        <v/>
      </c>
      <c r="M483" s="185" t="str">
        <f>IFERROR(__xludf.DUMMYFUNCTION("ifna(VALUE(REGEXEXTRACT(E483,""[0-9.]+[,]+[0-9]+"")))"),"")</f>
        <v/>
      </c>
      <c r="N483" s="185"/>
      <c r="O483" s="185"/>
      <c r="P483" s="185"/>
      <c r="Q483" s="185"/>
      <c r="R483" s="185"/>
      <c r="S483" s="185"/>
      <c r="T483" s="185"/>
      <c r="U483" s="185"/>
      <c r="V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184" t="str">
        <f>IFERROR(__xludf.DUMMYFUNCTION("ifna(IF(and(D484=""Saída"",J484=""Sangria""),if(sum(QUERY(IMPORTRANGE(""https://docs.google.com/spreadsheets/d/1E4szPcLzsqlw4uyBAoJ61L1ChCgpz4wVP8tHfHW1g_c"",""BD M Sangrias!a:i""),""select Col6 where Col7 = 'Depositada' and Col9 = '""&amp;K484&amp;""' and Col6 ="&amp;" ""&amp;M484&amp;"" and Col4 = date '""&amp;YEAR(C484)&amp;""-""&amp;MONTH(C484)&amp;""-""&amp;DAY(C484)&amp;""'""))&gt;0,""Depositada"",if(sum(QUERY(IMPORTRANGE(""https://docs.google.com/spreadsheets/d/1EcLIvUgMoBC5as4ikW0wuQsGH5yVZ6cQ1y16qEfgPnk"",""BD M Sangrias!a:i""),""select Col6 whe"&amp;"re Col7 = 'Caixa Atendimento' and Col9 = '""&amp;K484&amp;""' and Col6 = ""&amp;M484&amp;"" and Col4 = date '""&amp;YEAR(C484)&amp;""-""&amp;MONTH(C484)&amp;""-""&amp;DAY(C484)&amp;""'""))&gt;0,""Caixa Atendimento"",""Caixa Sangria"")),""""),""Caixa Sangria"")"),"")</f>
        <v/>
      </c>
      <c r="M484" s="185" t="str">
        <f>IFERROR(__xludf.DUMMYFUNCTION("ifna(VALUE(REGEXEXTRACT(E484,""[0-9.]+[,]+[0-9]+"")))"),"")</f>
        <v/>
      </c>
      <c r="N484" s="185"/>
      <c r="O484" s="185"/>
      <c r="P484" s="185"/>
      <c r="Q484" s="185"/>
      <c r="R484" s="185"/>
      <c r="S484" s="185"/>
      <c r="T484" s="185"/>
      <c r="U484" s="185"/>
      <c r="V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184" t="str">
        <f>IFERROR(__xludf.DUMMYFUNCTION("ifna(IF(and(D485=""Saída"",J485=""Sangria""),if(sum(QUERY(IMPORTRANGE(""https://docs.google.com/spreadsheets/d/1E4szPcLzsqlw4uyBAoJ61L1ChCgpz4wVP8tHfHW1g_c"",""BD M Sangrias!a:i""),""select Col6 where Col7 = 'Depositada' and Col9 = '""&amp;K485&amp;""' and Col6 ="&amp;" ""&amp;M485&amp;"" and Col4 = date '""&amp;YEAR(C485)&amp;""-""&amp;MONTH(C485)&amp;""-""&amp;DAY(C485)&amp;""'""))&gt;0,""Depositada"",if(sum(QUERY(IMPORTRANGE(""https://docs.google.com/spreadsheets/d/1EcLIvUgMoBC5as4ikW0wuQsGH5yVZ6cQ1y16qEfgPnk"",""BD M Sangrias!a:i""),""select Col6 whe"&amp;"re Col7 = 'Caixa Atendimento' and Col9 = '""&amp;K485&amp;""' and Col6 = ""&amp;M485&amp;"" and Col4 = date '""&amp;YEAR(C485)&amp;""-""&amp;MONTH(C485)&amp;""-""&amp;DAY(C485)&amp;""'""))&gt;0,""Caixa Atendimento"",""Caixa Sangria"")),""""),""Caixa Sangria"")"),"")</f>
        <v/>
      </c>
      <c r="M485" s="185" t="str">
        <f>IFERROR(__xludf.DUMMYFUNCTION("ifna(VALUE(REGEXEXTRACT(E485,""[0-9.]+[,]+[0-9]+"")))"),"")</f>
        <v/>
      </c>
      <c r="N485" s="185"/>
      <c r="O485" s="185"/>
      <c r="P485" s="185"/>
      <c r="Q485" s="185"/>
      <c r="R485" s="185"/>
      <c r="S485" s="185"/>
      <c r="T485" s="185"/>
      <c r="U485" s="185"/>
      <c r="V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184" t="str">
        <f>IFERROR(__xludf.DUMMYFUNCTION("ifna(IF(and(D486=""Saída"",J486=""Sangria""),if(sum(QUERY(IMPORTRANGE(""https://docs.google.com/spreadsheets/d/1E4szPcLzsqlw4uyBAoJ61L1ChCgpz4wVP8tHfHW1g_c"",""BD M Sangrias!a:i""),""select Col6 where Col7 = 'Depositada' and Col9 = '""&amp;K486&amp;""' and Col6 ="&amp;" ""&amp;M486&amp;"" and Col4 = date '""&amp;YEAR(C486)&amp;""-""&amp;MONTH(C486)&amp;""-""&amp;DAY(C486)&amp;""'""))&gt;0,""Depositada"",if(sum(QUERY(IMPORTRANGE(""https://docs.google.com/spreadsheets/d/1EcLIvUgMoBC5as4ikW0wuQsGH5yVZ6cQ1y16qEfgPnk"",""BD M Sangrias!a:i""),""select Col6 whe"&amp;"re Col7 = 'Caixa Atendimento' and Col9 = '""&amp;K486&amp;""' and Col6 = ""&amp;M486&amp;"" and Col4 = date '""&amp;YEAR(C486)&amp;""-""&amp;MONTH(C486)&amp;""-""&amp;DAY(C486)&amp;""'""))&gt;0,""Caixa Atendimento"",""Caixa Sangria"")),""""),""Caixa Sangria"")"),"")</f>
        <v/>
      </c>
      <c r="M486" s="185" t="str">
        <f>IFERROR(__xludf.DUMMYFUNCTION("ifna(VALUE(REGEXEXTRACT(E486,""[0-9.]+[,]+[0-9]+"")))"),"")</f>
        <v/>
      </c>
      <c r="N486" s="185"/>
      <c r="O486" s="185"/>
      <c r="P486" s="185"/>
      <c r="Q486" s="185"/>
      <c r="R486" s="185"/>
      <c r="S486" s="185"/>
      <c r="T486" s="185"/>
      <c r="U486" s="185"/>
      <c r="V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184" t="str">
        <f>IFERROR(__xludf.DUMMYFUNCTION("ifna(IF(and(D487=""Saída"",J487=""Sangria""),if(sum(QUERY(IMPORTRANGE(""https://docs.google.com/spreadsheets/d/1E4szPcLzsqlw4uyBAoJ61L1ChCgpz4wVP8tHfHW1g_c"",""BD M Sangrias!a:i""),""select Col6 where Col7 = 'Depositada' and Col9 = '""&amp;K487&amp;""' and Col6 ="&amp;" ""&amp;M487&amp;"" and Col4 = date '""&amp;YEAR(C487)&amp;""-""&amp;MONTH(C487)&amp;""-""&amp;DAY(C487)&amp;""'""))&gt;0,""Depositada"",if(sum(QUERY(IMPORTRANGE(""https://docs.google.com/spreadsheets/d/1EcLIvUgMoBC5as4ikW0wuQsGH5yVZ6cQ1y16qEfgPnk"",""BD M Sangrias!a:i""),""select Col6 whe"&amp;"re Col7 = 'Caixa Atendimento' and Col9 = '""&amp;K487&amp;""' and Col6 = ""&amp;M487&amp;"" and Col4 = date '""&amp;YEAR(C487)&amp;""-""&amp;MONTH(C487)&amp;""-""&amp;DAY(C487)&amp;""'""))&gt;0,""Caixa Atendimento"",""Caixa Sangria"")),""""),""Caixa Sangria"")"),"")</f>
        <v/>
      </c>
      <c r="M487" s="185" t="str">
        <f>IFERROR(__xludf.DUMMYFUNCTION("ifna(VALUE(REGEXEXTRACT(E487,""[0-9.]+[,]+[0-9]+"")))"),"")</f>
        <v/>
      </c>
      <c r="N487" s="185"/>
      <c r="O487" s="185"/>
      <c r="P487" s="185"/>
      <c r="Q487" s="185"/>
      <c r="R487" s="185"/>
      <c r="S487" s="185"/>
      <c r="T487" s="185"/>
      <c r="U487" s="185"/>
      <c r="V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184" t="str">
        <f>IFERROR(__xludf.DUMMYFUNCTION("ifna(IF(and(D488=""Saída"",J488=""Sangria""),if(sum(QUERY(IMPORTRANGE(""https://docs.google.com/spreadsheets/d/1E4szPcLzsqlw4uyBAoJ61L1ChCgpz4wVP8tHfHW1g_c"",""BD M Sangrias!a:i""),""select Col6 where Col7 = 'Depositada' and Col9 = '""&amp;K488&amp;""' and Col6 ="&amp;" ""&amp;M488&amp;"" and Col4 = date '""&amp;YEAR(C488)&amp;""-""&amp;MONTH(C488)&amp;""-""&amp;DAY(C488)&amp;""'""))&gt;0,""Depositada"",if(sum(QUERY(IMPORTRANGE(""https://docs.google.com/spreadsheets/d/1EcLIvUgMoBC5as4ikW0wuQsGH5yVZ6cQ1y16qEfgPnk"",""BD M Sangrias!a:i""),""select Col6 whe"&amp;"re Col7 = 'Caixa Atendimento' and Col9 = '""&amp;K488&amp;""' and Col6 = ""&amp;M488&amp;"" and Col4 = date '""&amp;YEAR(C488)&amp;""-""&amp;MONTH(C488)&amp;""-""&amp;DAY(C488)&amp;""'""))&gt;0,""Caixa Atendimento"",""Caixa Sangria"")),""""),""Caixa Sangria"")"),"")</f>
        <v/>
      </c>
      <c r="M488" s="185" t="str">
        <f>IFERROR(__xludf.DUMMYFUNCTION("ifna(VALUE(REGEXEXTRACT(E488,""[0-9.]+[,]+[0-9]+"")))"),"")</f>
        <v/>
      </c>
      <c r="N488" s="185"/>
      <c r="O488" s="185"/>
      <c r="P488" s="185"/>
      <c r="Q488" s="185"/>
      <c r="R488" s="185"/>
      <c r="S488" s="185"/>
      <c r="T488" s="185"/>
      <c r="U488" s="185"/>
      <c r="V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184" t="str">
        <f>IFERROR(__xludf.DUMMYFUNCTION("ifna(IF(and(D489=""Saída"",J489=""Sangria""),if(sum(QUERY(IMPORTRANGE(""https://docs.google.com/spreadsheets/d/1E4szPcLzsqlw4uyBAoJ61L1ChCgpz4wVP8tHfHW1g_c"",""BD M Sangrias!a:i""),""select Col6 where Col7 = 'Depositada' and Col9 = '""&amp;K489&amp;""' and Col6 ="&amp;" ""&amp;M489&amp;"" and Col4 = date '""&amp;YEAR(C489)&amp;""-""&amp;MONTH(C489)&amp;""-""&amp;DAY(C489)&amp;""'""))&gt;0,""Depositada"",if(sum(QUERY(IMPORTRANGE(""https://docs.google.com/spreadsheets/d/1EcLIvUgMoBC5as4ikW0wuQsGH5yVZ6cQ1y16qEfgPnk"",""BD M Sangrias!a:i""),""select Col6 whe"&amp;"re Col7 = 'Caixa Atendimento' and Col9 = '""&amp;K489&amp;""' and Col6 = ""&amp;M489&amp;"" and Col4 = date '""&amp;YEAR(C489)&amp;""-""&amp;MONTH(C489)&amp;""-""&amp;DAY(C489)&amp;""'""))&gt;0,""Caixa Atendimento"",""Caixa Sangria"")),""""),""Caixa Sangria"")"),"")</f>
        <v/>
      </c>
      <c r="M489" s="185" t="str">
        <f>IFERROR(__xludf.DUMMYFUNCTION("ifna(VALUE(REGEXEXTRACT(E489,""[0-9.]+[,]+[0-9]+"")))"),"")</f>
        <v/>
      </c>
      <c r="N489" s="185"/>
      <c r="O489" s="185"/>
      <c r="P489" s="185"/>
      <c r="Q489" s="185"/>
      <c r="R489" s="185"/>
      <c r="S489" s="185"/>
      <c r="T489" s="185"/>
      <c r="U489" s="185"/>
      <c r="V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184" t="str">
        <f>IFERROR(__xludf.DUMMYFUNCTION("ifna(IF(and(D490=""Saída"",J490=""Sangria""),if(sum(QUERY(IMPORTRANGE(""https://docs.google.com/spreadsheets/d/1E4szPcLzsqlw4uyBAoJ61L1ChCgpz4wVP8tHfHW1g_c"",""BD M Sangrias!a:i""),""select Col6 where Col7 = 'Depositada' and Col9 = '""&amp;K490&amp;""' and Col6 ="&amp;" ""&amp;M490&amp;"" and Col4 = date '""&amp;YEAR(C490)&amp;""-""&amp;MONTH(C490)&amp;""-""&amp;DAY(C490)&amp;""'""))&gt;0,""Depositada"",if(sum(QUERY(IMPORTRANGE(""https://docs.google.com/spreadsheets/d/1EcLIvUgMoBC5as4ikW0wuQsGH5yVZ6cQ1y16qEfgPnk"",""BD M Sangrias!a:i""),""select Col6 whe"&amp;"re Col7 = 'Caixa Atendimento' and Col9 = '""&amp;K490&amp;""' and Col6 = ""&amp;M490&amp;"" and Col4 = date '""&amp;YEAR(C490)&amp;""-""&amp;MONTH(C490)&amp;""-""&amp;DAY(C490)&amp;""'""))&gt;0,""Caixa Atendimento"",""Caixa Sangria"")),""""),""Caixa Sangria"")"),"")</f>
        <v/>
      </c>
      <c r="M490" s="185" t="str">
        <f>IFERROR(__xludf.DUMMYFUNCTION("ifna(VALUE(REGEXEXTRACT(E490,""[0-9.]+[,]+[0-9]+"")))"),"")</f>
        <v/>
      </c>
      <c r="N490" s="185"/>
      <c r="O490" s="185"/>
      <c r="P490" s="185"/>
      <c r="Q490" s="185"/>
      <c r="R490" s="185"/>
      <c r="S490" s="185"/>
      <c r="T490" s="185"/>
      <c r="U490" s="185"/>
      <c r="V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184" t="str">
        <f>IFERROR(__xludf.DUMMYFUNCTION("ifna(IF(and(D491=""Saída"",J491=""Sangria""),if(sum(QUERY(IMPORTRANGE(""https://docs.google.com/spreadsheets/d/1E4szPcLzsqlw4uyBAoJ61L1ChCgpz4wVP8tHfHW1g_c"",""BD M Sangrias!a:i""),""select Col6 where Col7 = 'Depositada' and Col9 = '""&amp;K491&amp;""' and Col6 ="&amp;" ""&amp;M491&amp;"" and Col4 = date '""&amp;YEAR(C491)&amp;""-""&amp;MONTH(C491)&amp;""-""&amp;DAY(C491)&amp;""'""))&gt;0,""Depositada"",if(sum(QUERY(IMPORTRANGE(""https://docs.google.com/spreadsheets/d/1EcLIvUgMoBC5as4ikW0wuQsGH5yVZ6cQ1y16qEfgPnk"",""BD M Sangrias!a:i""),""select Col6 whe"&amp;"re Col7 = 'Caixa Atendimento' and Col9 = '""&amp;K491&amp;""' and Col6 = ""&amp;M491&amp;"" and Col4 = date '""&amp;YEAR(C491)&amp;""-""&amp;MONTH(C491)&amp;""-""&amp;DAY(C491)&amp;""'""))&gt;0,""Caixa Atendimento"",""Caixa Sangria"")),""""),""Caixa Sangria"")"),"")</f>
        <v/>
      </c>
      <c r="M491" s="185" t="str">
        <f>IFERROR(__xludf.DUMMYFUNCTION("ifna(VALUE(REGEXEXTRACT(E491,""[0-9.]+[,]+[0-9]+"")))"),"")</f>
        <v/>
      </c>
      <c r="N491" s="185"/>
      <c r="O491" s="185"/>
      <c r="P491" s="185"/>
      <c r="Q491" s="185"/>
      <c r="R491" s="185"/>
      <c r="S491" s="185"/>
      <c r="T491" s="185"/>
      <c r="U491" s="185"/>
      <c r="V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184" t="str">
        <f>IFERROR(__xludf.DUMMYFUNCTION("ifna(IF(and(D492=""Saída"",J492=""Sangria""),if(sum(QUERY(IMPORTRANGE(""https://docs.google.com/spreadsheets/d/1E4szPcLzsqlw4uyBAoJ61L1ChCgpz4wVP8tHfHW1g_c"",""BD M Sangrias!a:i""),""select Col6 where Col7 = 'Depositada' and Col9 = '""&amp;K492&amp;""' and Col6 ="&amp;" ""&amp;M492&amp;"" and Col4 = date '""&amp;YEAR(C492)&amp;""-""&amp;MONTH(C492)&amp;""-""&amp;DAY(C492)&amp;""'""))&gt;0,""Depositada"",if(sum(QUERY(IMPORTRANGE(""https://docs.google.com/spreadsheets/d/1EcLIvUgMoBC5as4ikW0wuQsGH5yVZ6cQ1y16qEfgPnk"",""BD M Sangrias!a:i""),""select Col6 whe"&amp;"re Col7 = 'Caixa Atendimento' and Col9 = '""&amp;K492&amp;""' and Col6 = ""&amp;M492&amp;"" and Col4 = date '""&amp;YEAR(C492)&amp;""-""&amp;MONTH(C492)&amp;""-""&amp;DAY(C492)&amp;""'""))&gt;0,""Caixa Atendimento"",""Caixa Sangria"")),""""),""Caixa Sangria"")"),"")</f>
        <v/>
      </c>
      <c r="M492" s="185" t="str">
        <f>IFERROR(__xludf.DUMMYFUNCTION("ifna(VALUE(REGEXEXTRACT(E492,""[0-9.]+[,]+[0-9]+"")))"),"")</f>
        <v/>
      </c>
      <c r="N492" s="185"/>
      <c r="O492" s="185"/>
      <c r="P492" s="185"/>
      <c r="Q492" s="185"/>
      <c r="R492" s="185"/>
      <c r="S492" s="185"/>
      <c r="T492" s="185"/>
      <c r="U492" s="185"/>
      <c r="V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184" t="str">
        <f>IFERROR(__xludf.DUMMYFUNCTION("ifna(IF(and(D493=""Saída"",J493=""Sangria""),if(sum(QUERY(IMPORTRANGE(""https://docs.google.com/spreadsheets/d/1E4szPcLzsqlw4uyBAoJ61L1ChCgpz4wVP8tHfHW1g_c"",""BD M Sangrias!a:i""),""select Col6 where Col7 = 'Depositada' and Col9 = '""&amp;K493&amp;""' and Col6 ="&amp;" ""&amp;M493&amp;"" and Col4 = date '""&amp;YEAR(C493)&amp;""-""&amp;MONTH(C493)&amp;""-""&amp;DAY(C493)&amp;""'""))&gt;0,""Depositada"",if(sum(QUERY(IMPORTRANGE(""https://docs.google.com/spreadsheets/d/1EcLIvUgMoBC5as4ikW0wuQsGH5yVZ6cQ1y16qEfgPnk"",""BD M Sangrias!a:i""),""select Col6 whe"&amp;"re Col7 = 'Caixa Atendimento' and Col9 = '""&amp;K493&amp;""' and Col6 = ""&amp;M493&amp;"" and Col4 = date '""&amp;YEAR(C493)&amp;""-""&amp;MONTH(C493)&amp;""-""&amp;DAY(C493)&amp;""'""))&gt;0,""Caixa Atendimento"",""Caixa Sangria"")),""""),""Caixa Sangria"")"),"")</f>
        <v/>
      </c>
      <c r="M493" s="185" t="str">
        <f>IFERROR(__xludf.DUMMYFUNCTION("ifna(VALUE(REGEXEXTRACT(E493,""[0-9.]+[,]+[0-9]+"")))"),"")</f>
        <v/>
      </c>
      <c r="N493" s="185"/>
      <c r="O493" s="185"/>
      <c r="P493" s="185"/>
      <c r="Q493" s="185"/>
      <c r="R493" s="185"/>
      <c r="S493" s="185"/>
      <c r="T493" s="185"/>
      <c r="U493" s="185"/>
      <c r="V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184" t="str">
        <f>IFERROR(__xludf.DUMMYFUNCTION("ifna(IF(and(D494=""Saída"",J494=""Sangria""),if(sum(QUERY(IMPORTRANGE(""https://docs.google.com/spreadsheets/d/1E4szPcLzsqlw4uyBAoJ61L1ChCgpz4wVP8tHfHW1g_c"",""BD M Sangrias!a:i""),""select Col6 where Col7 = 'Depositada' and Col9 = '""&amp;K494&amp;""' and Col6 ="&amp;" ""&amp;M494&amp;"" and Col4 = date '""&amp;YEAR(C494)&amp;""-""&amp;MONTH(C494)&amp;""-""&amp;DAY(C494)&amp;""'""))&gt;0,""Depositada"",if(sum(QUERY(IMPORTRANGE(""https://docs.google.com/spreadsheets/d/1EcLIvUgMoBC5as4ikW0wuQsGH5yVZ6cQ1y16qEfgPnk"",""BD M Sangrias!a:i""),""select Col6 whe"&amp;"re Col7 = 'Caixa Atendimento' and Col9 = '""&amp;K494&amp;""' and Col6 = ""&amp;M494&amp;"" and Col4 = date '""&amp;YEAR(C494)&amp;""-""&amp;MONTH(C494)&amp;""-""&amp;DAY(C494)&amp;""'""))&gt;0,""Caixa Atendimento"",""Caixa Sangria"")),""""),""Caixa Sangria"")"),"")</f>
        <v/>
      </c>
      <c r="M494" s="185" t="str">
        <f>IFERROR(__xludf.DUMMYFUNCTION("ifna(VALUE(REGEXEXTRACT(E494,""[0-9.]+[,]+[0-9]+"")))"),"")</f>
        <v/>
      </c>
      <c r="N494" s="185"/>
      <c r="O494" s="185"/>
      <c r="P494" s="185"/>
      <c r="Q494" s="185"/>
      <c r="R494" s="185"/>
      <c r="S494" s="185"/>
      <c r="T494" s="185"/>
      <c r="U494" s="185"/>
      <c r="V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184" t="str">
        <f>IFERROR(__xludf.DUMMYFUNCTION("ifna(IF(and(D495=""Saída"",J495=""Sangria""),if(sum(QUERY(IMPORTRANGE(""https://docs.google.com/spreadsheets/d/1E4szPcLzsqlw4uyBAoJ61L1ChCgpz4wVP8tHfHW1g_c"",""BD M Sangrias!a:i""),""select Col6 where Col7 = 'Depositada' and Col9 = '""&amp;K495&amp;""' and Col6 ="&amp;" ""&amp;M495&amp;"" and Col4 = date '""&amp;YEAR(C495)&amp;""-""&amp;MONTH(C495)&amp;""-""&amp;DAY(C495)&amp;""'""))&gt;0,""Depositada"",if(sum(QUERY(IMPORTRANGE(""https://docs.google.com/spreadsheets/d/1EcLIvUgMoBC5as4ikW0wuQsGH5yVZ6cQ1y16qEfgPnk"",""BD M Sangrias!a:i""),""select Col6 whe"&amp;"re Col7 = 'Caixa Atendimento' and Col9 = '""&amp;K495&amp;""' and Col6 = ""&amp;M495&amp;"" and Col4 = date '""&amp;YEAR(C495)&amp;""-""&amp;MONTH(C495)&amp;""-""&amp;DAY(C495)&amp;""'""))&gt;0,""Caixa Atendimento"",""Caixa Sangria"")),""""),""Caixa Sangria"")"),"")</f>
        <v/>
      </c>
      <c r="M495" s="185" t="str">
        <f>IFERROR(__xludf.DUMMYFUNCTION("ifna(VALUE(REGEXEXTRACT(E495,""[0-9.]+[,]+[0-9]+"")))"),"")</f>
        <v/>
      </c>
      <c r="N495" s="185"/>
      <c r="O495" s="185"/>
      <c r="P495" s="185"/>
      <c r="Q495" s="185"/>
      <c r="R495" s="185"/>
      <c r="S495" s="185"/>
      <c r="T495" s="185"/>
      <c r="U495" s="185"/>
      <c r="V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184" t="str">
        <f>IFERROR(__xludf.DUMMYFUNCTION("ifna(IF(and(D496=""Saída"",J496=""Sangria""),if(sum(QUERY(IMPORTRANGE(""https://docs.google.com/spreadsheets/d/1E4szPcLzsqlw4uyBAoJ61L1ChCgpz4wVP8tHfHW1g_c"",""BD M Sangrias!a:i""),""select Col6 where Col7 = 'Depositada' and Col9 = '""&amp;K496&amp;""' and Col6 ="&amp;" ""&amp;M496&amp;"" and Col4 = date '""&amp;YEAR(C496)&amp;""-""&amp;MONTH(C496)&amp;""-""&amp;DAY(C496)&amp;""'""))&gt;0,""Depositada"",if(sum(QUERY(IMPORTRANGE(""https://docs.google.com/spreadsheets/d/1EcLIvUgMoBC5as4ikW0wuQsGH5yVZ6cQ1y16qEfgPnk"",""BD M Sangrias!a:i""),""select Col6 whe"&amp;"re Col7 = 'Caixa Atendimento' and Col9 = '""&amp;K496&amp;""' and Col6 = ""&amp;M496&amp;"" and Col4 = date '""&amp;YEAR(C496)&amp;""-""&amp;MONTH(C496)&amp;""-""&amp;DAY(C496)&amp;""'""))&gt;0,""Caixa Atendimento"",""Caixa Sangria"")),""""),""Caixa Sangria"")"),"")</f>
        <v/>
      </c>
      <c r="M496" s="185" t="str">
        <f>IFERROR(__xludf.DUMMYFUNCTION("ifna(VALUE(REGEXEXTRACT(E496,""[0-9.]+[,]+[0-9]+"")))"),"")</f>
        <v/>
      </c>
      <c r="N496" s="185"/>
      <c r="O496" s="185"/>
      <c r="P496" s="185"/>
      <c r="Q496" s="185"/>
      <c r="R496" s="185"/>
      <c r="S496" s="185"/>
      <c r="T496" s="185"/>
      <c r="U496" s="185"/>
      <c r="V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184" t="str">
        <f>IFERROR(__xludf.DUMMYFUNCTION("ifna(IF(and(D497=""Saída"",J497=""Sangria""),if(sum(QUERY(IMPORTRANGE(""https://docs.google.com/spreadsheets/d/1E4szPcLzsqlw4uyBAoJ61L1ChCgpz4wVP8tHfHW1g_c"",""BD M Sangrias!a:i""),""select Col6 where Col7 = 'Depositada' and Col9 = '""&amp;K497&amp;""' and Col6 ="&amp;" ""&amp;M497&amp;"" and Col4 = date '""&amp;YEAR(C497)&amp;""-""&amp;MONTH(C497)&amp;""-""&amp;DAY(C497)&amp;""'""))&gt;0,""Depositada"",if(sum(QUERY(IMPORTRANGE(""https://docs.google.com/spreadsheets/d/1EcLIvUgMoBC5as4ikW0wuQsGH5yVZ6cQ1y16qEfgPnk"",""BD M Sangrias!a:i""),""select Col6 whe"&amp;"re Col7 = 'Caixa Atendimento' and Col9 = '""&amp;K497&amp;""' and Col6 = ""&amp;M497&amp;"" and Col4 = date '""&amp;YEAR(C497)&amp;""-""&amp;MONTH(C497)&amp;""-""&amp;DAY(C497)&amp;""'""))&gt;0,""Caixa Atendimento"",""Caixa Sangria"")),""""),""Caixa Sangria"")"),"")</f>
        <v/>
      </c>
      <c r="M497" s="185" t="str">
        <f>IFERROR(__xludf.DUMMYFUNCTION("ifna(VALUE(REGEXEXTRACT(E497,""[0-9.]+[,]+[0-9]+"")))"),"")</f>
        <v/>
      </c>
      <c r="N497" s="185"/>
      <c r="O497" s="185"/>
      <c r="P497" s="185"/>
      <c r="Q497" s="185"/>
      <c r="R497" s="185"/>
      <c r="S497" s="185"/>
      <c r="T497" s="185"/>
      <c r="U497" s="185"/>
      <c r="V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184" t="str">
        <f>IFERROR(__xludf.DUMMYFUNCTION("ifna(IF(and(D498=""Saída"",J498=""Sangria""),if(sum(QUERY(IMPORTRANGE(""https://docs.google.com/spreadsheets/d/1E4szPcLzsqlw4uyBAoJ61L1ChCgpz4wVP8tHfHW1g_c"",""BD M Sangrias!a:i""),""select Col6 where Col7 = 'Depositada' and Col9 = '""&amp;K498&amp;""' and Col6 ="&amp;" ""&amp;M498&amp;"" and Col4 = date '""&amp;YEAR(C498)&amp;""-""&amp;MONTH(C498)&amp;""-""&amp;DAY(C498)&amp;""'""))&gt;0,""Depositada"",if(sum(QUERY(IMPORTRANGE(""https://docs.google.com/spreadsheets/d/1EcLIvUgMoBC5as4ikW0wuQsGH5yVZ6cQ1y16qEfgPnk"",""BD M Sangrias!a:i""),""select Col6 whe"&amp;"re Col7 = 'Caixa Atendimento' and Col9 = '""&amp;K498&amp;""' and Col6 = ""&amp;M498&amp;"" and Col4 = date '""&amp;YEAR(C498)&amp;""-""&amp;MONTH(C498)&amp;""-""&amp;DAY(C498)&amp;""'""))&gt;0,""Caixa Atendimento"",""Caixa Sangria"")),""""),""Caixa Sangria"")"),"")</f>
        <v/>
      </c>
      <c r="M498" s="185" t="str">
        <f>IFERROR(__xludf.DUMMYFUNCTION("ifna(VALUE(REGEXEXTRACT(E498,""[0-9.]+[,]+[0-9]+"")))"),"")</f>
        <v/>
      </c>
      <c r="N498" s="185"/>
      <c r="O498" s="185"/>
      <c r="P498" s="185"/>
      <c r="Q498" s="185"/>
      <c r="R498" s="185"/>
      <c r="S498" s="185"/>
      <c r="T498" s="185"/>
      <c r="U498" s="185"/>
      <c r="V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184" t="str">
        <f>IFERROR(__xludf.DUMMYFUNCTION("ifna(IF(and(D499=""Saída"",J499=""Sangria""),if(sum(QUERY(IMPORTRANGE(""https://docs.google.com/spreadsheets/d/1E4szPcLzsqlw4uyBAoJ61L1ChCgpz4wVP8tHfHW1g_c"",""BD M Sangrias!a:i""),""select Col6 where Col7 = 'Depositada' and Col9 = '""&amp;K499&amp;""' and Col6 ="&amp;" ""&amp;M499&amp;"" and Col4 = date '""&amp;YEAR(C499)&amp;""-""&amp;MONTH(C499)&amp;""-""&amp;DAY(C499)&amp;""'""))&gt;0,""Depositada"",if(sum(QUERY(IMPORTRANGE(""https://docs.google.com/spreadsheets/d/1EcLIvUgMoBC5as4ikW0wuQsGH5yVZ6cQ1y16qEfgPnk"",""BD M Sangrias!a:i""),""select Col6 whe"&amp;"re Col7 = 'Caixa Atendimento' and Col9 = '""&amp;K499&amp;""' and Col6 = ""&amp;M499&amp;"" and Col4 = date '""&amp;YEAR(C499)&amp;""-""&amp;MONTH(C499)&amp;""-""&amp;DAY(C499)&amp;""'""))&gt;0,""Caixa Atendimento"",""Caixa Sangria"")),""""),""Caixa Sangria"")"),"")</f>
        <v/>
      </c>
      <c r="M499" s="185" t="str">
        <f>IFERROR(__xludf.DUMMYFUNCTION("ifna(VALUE(REGEXEXTRACT(E499,""[0-9.]+[,]+[0-9]+"")))"),"")</f>
        <v/>
      </c>
      <c r="N499" s="185"/>
      <c r="O499" s="185"/>
      <c r="P499" s="185"/>
      <c r="Q499" s="185"/>
      <c r="R499" s="185"/>
      <c r="S499" s="185"/>
      <c r="T499" s="185"/>
      <c r="U499" s="185"/>
      <c r="V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184" t="str">
        <f>IFERROR(__xludf.DUMMYFUNCTION("ifna(IF(and(D500=""Saída"",J500=""Sangria""),if(sum(QUERY(IMPORTRANGE(""https://docs.google.com/spreadsheets/d/1E4szPcLzsqlw4uyBAoJ61L1ChCgpz4wVP8tHfHW1g_c"",""BD M Sangrias!a:i""),""select Col6 where Col7 = 'Depositada' and Col9 = '""&amp;K500&amp;""' and Col6 ="&amp;" ""&amp;M500&amp;"" and Col4 = date '""&amp;YEAR(C500)&amp;""-""&amp;MONTH(C500)&amp;""-""&amp;DAY(C500)&amp;""'""))&gt;0,""Depositada"",if(sum(QUERY(IMPORTRANGE(""https://docs.google.com/spreadsheets/d/1EcLIvUgMoBC5as4ikW0wuQsGH5yVZ6cQ1y16qEfgPnk"",""BD M Sangrias!a:i""),""select Col6 whe"&amp;"re Col7 = 'Caixa Atendimento' and Col9 = '""&amp;K500&amp;""' and Col6 = ""&amp;M500&amp;"" and Col4 = date '""&amp;YEAR(C500)&amp;""-""&amp;MONTH(C500)&amp;""-""&amp;DAY(C500)&amp;""'""))&gt;0,""Caixa Atendimento"",""Caixa Sangria"")),""""),""Caixa Sangria"")"),"")</f>
        <v/>
      </c>
      <c r="M500" s="185" t="str">
        <f>IFERROR(__xludf.DUMMYFUNCTION("ifna(VALUE(REGEXEXTRACT(E500,""[0-9.]+[,]+[0-9]+"")))"),"")</f>
        <v/>
      </c>
      <c r="N500" s="185"/>
      <c r="O500" s="185"/>
      <c r="P500" s="185"/>
      <c r="Q500" s="185"/>
      <c r="R500" s="185"/>
      <c r="S500" s="185"/>
      <c r="T500" s="185"/>
      <c r="U500" s="185"/>
      <c r="V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184" t="str">
        <f>IFERROR(__xludf.DUMMYFUNCTION("ifna(IF(and(D501=""Saída"",J501=""Sangria""),if(sum(QUERY(IMPORTRANGE(""https://docs.google.com/spreadsheets/d/1E4szPcLzsqlw4uyBAoJ61L1ChCgpz4wVP8tHfHW1g_c"",""BD M Sangrias!a:i""),""select Col6 where Col7 = 'Depositada' and Col9 = '""&amp;K501&amp;""' and Col6 ="&amp;" ""&amp;M501&amp;"" and Col4 = date '""&amp;YEAR(C501)&amp;""-""&amp;MONTH(C501)&amp;""-""&amp;DAY(C501)&amp;""'""))&gt;0,""Depositada"",if(sum(QUERY(IMPORTRANGE(""https://docs.google.com/spreadsheets/d/1EcLIvUgMoBC5as4ikW0wuQsGH5yVZ6cQ1y16qEfgPnk"",""BD M Sangrias!a:i""),""select Col6 whe"&amp;"re Col7 = 'Caixa Atendimento' and Col9 = '""&amp;K501&amp;""' and Col6 = ""&amp;M501&amp;"" and Col4 = date '""&amp;YEAR(C501)&amp;""-""&amp;MONTH(C501)&amp;""-""&amp;DAY(C501)&amp;""'""))&gt;0,""Caixa Atendimento"",""Caixa Sangria"")),""""),""Caixa Sangria"")"),"")</f>
        <v/>
      </c>
      <c r="M501" s="185" t="str">
        <f>IFERROR(__xludf.DUMMYFUNCTION("ifna(VALUE(REGEXEXTRACT(E501,""[0-9.]+[,]+[0-9]+"")))"),"")</f>
        <v/>
      </c>
      <c r="N501" s="185"/>
      <c r="O501" s="185"/>
      <c r="P501" s="185"/>
      <c r="Q501" s="185"/>
      <c r="R501" s="185"/>
      <c r="S501" s="185"/>
      <c r="T501" s="185"/>
      <c r="U501" s="185"/>
      <c r="V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184" t="str">
        <f>IFERROR(__xludf.DUMMYFUNCTION("ifna(IF(and(D502=""Saída"",J502=""Sangria""),if(sum(QUERY(IMPORTRANGE(""https://docs.google.com/spreadsheets/d/1E4szPcLzsqlw4uyBAoJ61L1ChCgpz4wVP8tHfHW1g_c"",""BD M Sangrias!a:i""),""select Col6 where Col7 = 'Depositada' and Col9 = '""&amp;K502&amp;""' and Col6 ="&amp;" ""&amp;M502&amp;"" and Col4 = date '""&amp;YEAR(C502)&amp;""-""&amp;MONTH(C502)&amp;""-""&amp;DAY(C502)&amp;""'""))&gt;0,""Depositada"",if(sum(QUERY(IMPORTRANGE(""https://docs.google.com/spreadsheets/d/1EcLIvUgMoBC5as4ikW0wuQsGH5yVZ6cQ1y16qEfgPnk"",""BD M Sangrias!a:i""),""select Col6 whe"&amp;"re Col7 = 'Caixa Atendimento' and Col9 = '""&amp;K502&amp;""' and Col6 = ""&amp;M502&amp;"" and Col4 = date '""&amp;YEAR(C502)&amp;""-""&amp;MONTH(C502)&amp;""-""&amp;DAY(C502)&amp;""'""))&gt;0,""Caixa Atendimento"",""Caixa Sangria"")),""""),""Caixa Sangria"")"),"")</f>
        <v/>
      </c>
      <c r="M502" s="185" t="str">
        <f>IFERROR(__xludf.DUMMYFUNCTION("ifna(VALUE(REGEXEXTRACT(E502,""[0-9.]+[,]+[0-9]+"")))"),"")</f>
        <v/>
      </c>
      <c r="N502" s="185"/>
      <c r="O502" s="185"/>
      <c r="P502" s="185"/>
      <c r="Q502" s="185"/>
      <c r="R502" s="185"/>
      <c r="S502" s="185"/>
      <c r="T502" s="185"/>
      <c r="U502" s="185"/>
      <c r="V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184" t="str">
        <f>IFERROR(__xludf.DUMMYFUNCTION("ifna(IF(and(D503=""Saída"",J503=""Sangria""),if(sum(QUERY(IMPORTRANGE(""https://docs.google.com/spreadsheets/d/1E4szPcLzsqlw4uyBAoJ61L1ChCgpz4wVP8tHfHW1g_c"",""BD M Sangrias!a:i""),""select Col6 where Col7 = 'Depositada' and Col9 = '""&amp;K503&amp;""' and Col6 ="&amp;" ""&amp;M503&amp;"" and Col4 = date '""&amp;YEAR(C503)&amp;""-""&amp;MONTH(C503)&amp;""-""&amp;DAY(C503)&amp;""'""))&gt;0,""Depositada"",if(sum(QUERY(IMPORTRANGE(""https://docs.google.com/spreadsheets/d/1EcLIvUgMoBC5as4ikW0wuQsGH5yVZ6cQ1y16qEfgPnk"",""BD M Sangrias!a:i""),""select Col6 whe"&amp;"re Col7 = 'Caixa Atendimento' and Col9 = '""&amp;K503&amp;""' and Col6 = ""&amp;M503&amp;"" and Col4 = date '""&amp;YEAR(C503)&amp;""-""&amp;MONTH(C503)&amp;""-""&amp;DAY(C503)&amp;""'""))&gt;0,""Caixa Atendimento"",""Caixa Sangria"")),""""),""Caixa Sangria"")"),"")</f>
        <v/>
      </c>
      <c r="M503" s="185" t="str">
        <f>IFERROR(__xludf.DUMMYFUNCTION("ifna(VALUE(REGEXEXTRACT(E503,""[0-9.]+[,]+[0-9]+"")))"),"")</f>
        <v/>
      </c>
      <c r="N503" s="185"/>
      <c r="O503" s="185"/>
      <c r="P503" s="185"/>
      <c r="Q503" s="185"/>
      <c r="R503" s="185"/>
      <c r="S503" s="185"/>
      <c r="T503" s="185"/>
      <c r="U503" s="185"/>
      <c r="V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184" t="str">
        <f>IFERROR(__xludf.DUMMYFUNCTION("ifna(IF(and(D504=""Saída"",J504=""Sangria""),if(sum(QUERY(IMPORTRANGE(""https://docs.google.com/spreadsheets/d/1E4szPcLzsqlw4uyBAoJ61L1ChCgpz4wVP8tHfHW1g_c"",""BD M Sangrias!a:i""),""select Col6 where Col7 = 'Depositada' and Col9 = '""&amp;K504&amp;""' and Col6 ="&amp;" ""&amp;M504&amp;"" and Col4 = date '""&amp;YEAR(C504)&amp;""-""&amp;MONTH(C504)&amp;""-""&amp;DAY(C504)&amp;""'""))&gt;0,""Depositada"",if(sum(QUERY(IMPORTRANGE(""https://docs.google.com/spreadsheets/d/1EcLIvUgMoBC5as4ikW0wuQsGH5yVZ6cQ1y16qEfgPnk"",""BD M Sangrias!a:i""),""select Col6 whe"&amp;"re Col7 = 'Caixa Atendimento' and Col9 = '""&amp;K504&amp;""' and Col6 = ""&amp;M504&amp;"" and Col4 = date '""&amp;YEAR(C504)&amp;""-""&amp;MONTH(C504)&amp;""-""&amp;DAY(C504)&amp;""'""))&gt;0,""Caixa Atendimento"",""Caixa Sangria"")),""""),""Caixa Sangria"")"),"")</f>
        <v/>
      </c>
      <c r="M504" s="185" t="str">
        <f>IFERROR(__xludf.DUMMYFUNCTION("ifna(VALUE(REGEXEXTRACT(E504,""[0-9.]+[,]+[0-9]+"")))"),"")</f>
        <v/>
      </c>
      <c r="N504" s="185"/>
      <c r="O504" s="185"/>
      <c r="P504" s="185"/>
      <c r="Q504" s="185"/>
      <c r="R504" s="185"/>
      <c r="S504" s="185"/>
      <c r="T504" s="185"/>
      <c r="U504" s="185"/>
      <c r="V504" s="185"/>
    </row>
  </sheetData>
  <mergeCells count="47">
    <mergeCell ref="A2:L2"/>
    <mergeCell ref="N2:V2"/>
    <mergeCell ref="A3:B3"/>
    <mergeCell ref="C3:D3"/>
    <mergeCell ref="E3:F3"/>
    <mergeCell ref="G3:H3"/>
    <mergeCell ref="I3:J3"/>
    <mergeCell ref="S3:V3"/>
    <mergeCell ref="K3:L3"/>
    <mergeCell ref="N3:Q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L27"/>
    <mergeCell ref="G14:H14"/>
    <mergeCell ref="I14:J14"/>
    <mergeCell ref="C18:D18"/>
    <mergeCell ref="E18:H18"/>
    <mergeCell ref="I18:J18"/>
    <mergeCell ref="E19:F19"/>
    <mergeCell ref="I22:J22"/>
    <mergeCell ref="N93:S94"/>
    <mergeCell ref="R95:S95"/>
    <mergeCell ref="K18:L18"/>
    <mergeCell ref="K19:L19"/>
    <mergeCell ref="S19:V19"/>
    <mergeCell ref="N48:Q48"/>
    <mergeCell ref="S48:V48"/>
    <mergeCell ref="N68:Q68"/>
    <mergeCell ref="S68:V68"/>
  </mergeCells>
  <conditionalFormatting sqref="E29:E178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V4 L11 D20 R20:V20 N49:V49 N69:V69">
    <cfRule type="cellIs" dxfId="6" priority="10" operator="greaterThanOrEqual">
      <formula>500</formula>
    </cfRule>
  </conditionalFormatting>
  <conditionalFormatting sqref="L4:V4 L11 D20 R20:V20 N49:V49 N69:V69">
    <cfRule type="cellIs" dxfId="7" priority="11" operator="between">
      <formula>400</formula>
      <formula>500</formula>
    </cfRule>
  </conditionalFormatting>
  <conditionalFormatting sqref="E29:E504">
    <cfRule type="containsText" dxfId="9" priority="12" operator="containsText" text="R$">
      <formula>NOT(ISERROR(SEARCH(("R$"),(E29))))</formula>
    </cfRule>
  </conditionalFormatting>
  <conditionalFormatting sqref="B29:L504">
    <cfRule type="expression" dxfId="5" priority="13">
      <formula>and($J$29:$J$504="Sangria",$D$29:$D$504="Saída")</formula>
    </cfRule>
  </conditionalFormatting>
  <conditionalFormatting sqref="K29:K504">
    <cfRule type="expression" dxfId="10" priority="14">
      <formula>or($J$29:$J$218="Compra Moedas",$J$29:$J$218="Cortesias",$J$29:$J$218="Troco")</formula>
    </cfRule>
  </conditionalFormatting>
  <conditionalFormatting sqref="K29:K504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4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4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4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4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4">
    <cfRule type="expression" dxfId="11" priority="21">
      <formula>and($C$29:$C$218="",or($D$29:$D$218="Entrada",$D$29:$D$218="Saída"))</formula>
    </cfRule>
  </conditionalFormatting>
  <conditionalFormatting sqref="I29:I504">
    <cfRule type="expression" dxfId="8" priority="22">
      <formula>and(K29 = "",or(J29="Consumo",J29="Adiantamento"))</formula>
    </cfRule>
  </conditionalFormatting>
  <dataValidations>
    <dataValidation type="list" allowBlank="1" showErrorMessage="1" sqref="K29:K504">
      <formula1>'SETEMBRO 2025'!$B$4:$B$16</formula1>
    </dataValidation>
    <dataValidation type="list" allowBlank="1" showErrorMessage="1" sqref="J29:J77 J79:J97 J99:J105 J107:J130 J132 J134:J176 J178:J179 J181:J190 J192:J195 J197:J208 J210:J267 J269:J286 J288:J303 J306:J308 J310:J376 J378:J388 J390:J504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.13"/>
    <col customWidth="1" min="14" max="14" width="10.13"/>
    <col customWidth="1" min="15" max="15" width="12.0"/>
    <col customWidth="1" min="16" max="16" width="12.75"/>
    <col customWidth="1" min="17" max="17" width="12.38"/>
    <col customWidth="1" min="18" max="18" width="0.63"/>
    <col customWidth="1" min="19" max="19" width="10.13"/>
    <col customWidth="1" min="20" max="20" width="9.88"/>
    <col customWidth="1" min="21" max="21" width="12.5"/>
    <col customWidth="1" min="22" max="22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30" t="s">
        <v>1840</v>
      </c>
      <c r="O2" s="28"/>
      <c r="P2" s="28"/>
      <c r="Q2" s="28"/>
      <c r="R2" s="28"/>
      <c r="S2" s="28"/>
      <c r="T2" s="28"/>
      <c r="U2" s="28"/>
      <c r="V2" s="29"/>
    </row>
    <row r="3">
      <c r="A3" s="31" t="s">
        <v>1847</v>
      </c>
      <c r="B3" s="32"/>
      <c r="C3" s="33" t="str">
        <f>B4</f>
        <v>Marcelo 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>Helena Cardoso</v>
      </c>
      <c r="J3" s="32"/>
      <c r="K3" s="34" t="str">
        <f>B8</f>
        <v/>
      </c>
      <c r="L3" s="35"/>
      <c r="M3" s="36"/>
      <c r="N3" s="37" t="str">
        <f>B4</f>
        <v>Marcelo </v>
      </c>
      <c r="O3" s="28"/>
      <c r="P3" s="28"/>
      <c r="Q3" s="29"/>
      <c r="R3" s="38"/>
      <c r="S3" s="39" t="str">
        <f>B5</f>
        <v>Mariane</v>
      </c>
      <c r="T3" s="28"/>
      <c r="U3" s="28"/>
      <c r="V3" s="29"/>
    </row>
    <row r="4" ht="15.75" customHeight="1">
      <c r="A4" s="40" t="s">
        <v>132</v>
      </c>
      <c r="B4" s="41" t="s">
        <v>1894</v>
      </c>
      <c r="C4" s="42" t="s">
        <v>1900</v>
      </c>
      <c r="D4" s="43">
        <f>SUMIFS(M29:M504,J29:J504,C4,K29:K504,C3)+SUMIF(P96:P138,A4,Q96:Q138)+D9</f>
        <v>0</v>
      </c>
      <c r="E4" s="44" t="s">
        <v>1900</v>
      </c>
      <c r="F4" s="43">
        <f>SUMIFS(M29:M504,J29:J504,E4,K29:K504,E3)+SUMIF(P96:P138,A5,Q96:Q138)+F9</f>
        <v>0</v>
      </c>
      <c r="G4" s="44" t="s">
        <v>1900</v>
      </c>
      <c r="H4" s="43">
        <f>SUMIFS(M29:M504,J29:J504,C4,K29:K504,G3)+SUMIF(P96:P138,A6,Q96:Q138)+H9</f>
        <v>0</v>
      </c>
      <c r="I4" s="44" t="s">
        <v>1900</v>
      </c>
      <c r="J4" s="43">
        <f>SUMIFS(M29:M504,J29:J504,C4,K29:K504,I3)+SUMIF(P96:P138,A7,Q96:Q138)+J9</f>
        <v>0</v>
      </c>
      <c r="K4" s="44" t="s">
        <v>1900</v>
      </c>
      <c r="L4" s="45">
        <f>SUMIFS(M29:M504,J29:J504,C4,K29:K504,K3)+SUMIF(P96:P138,A8,Q96:Q138)+L9</f>
        <v>0</v>
      </c>
      <c r="M4" s="26"/>
      <c r="N4" s="46" t="str">
        <f>IFERROR(__xludf.DUMMYFUNCTION("query(C28:L504,""select Col1,Col3,Col8,Col9 where (Col8 = 'Adiantamento' or Col8 = 'Consumo') and Col9 = '""&amp;B4&amp;""'"",1)"),"Data")</f>
        <v>Data</v>
      </c>
      <c r="O4" s="47" t="str">
        <f>IFERROR(__xludf.DUMMYFUNCTION("""COMPUTED_VALUE"""),"Valor ")</f>
        <v>Valor </v>
      </c>
      <c r="P4" s="47" t="str">
        <f>IFERROR(__xludf.DUMMYFUNCTION("""COMPUTED_VALUE"""),"Tipo")</f>
        <v>Tipo</v>
      </c>
      <c r="Q4" s="48" t="str">
        <f>IFERROR(__xludf.DUMMYFUNCTION("""COMPUTED_VALUE"""),"Funcionário")</f>
        <v>Funcionário</v>
      </c>
      <c r="R4" s="49"/>
      <c r="S4" s="50" t="str">
        <f>IFERROR(__xludf.DUMMYFUNCTION("query(C28:L504,""select Col1,Col3,Col8,Col9 where (Col8 = 'Adiantamento' or Col8 = 'Consumo') and Col9 = '""&amp;B5&amp;""'"",1)"),"Data")</f>
        <v>Data</v>
      </c>
      <c r="T4" s="50" t="str">
        <f>IFERROR(__xludf.DUMMYFUNCTION("""COMPUTED_VALUE"""),"Valor ")</f>
        <v>Valor </v>
      </c>
      <c r="U4" s="50" t="str">
        <f>IFERROR(__xludf.DUMMYFUNCTION("""COMPUTED_VALUE"""),"Tipo")</f>
        <v>Tipo</v>
      </c>
      <c r="V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SUMIFS(M29:M504,J29:J504,C5,K29:K504,C3)</f>
        <v>168.19</v>
      </c>
      <c r="E5" s="44" t="s">
        <v>2019</v>
      </c>
      <c r="F5" s="43">
        <f>SUMIFS(M29:M504,J29:J504,C5,K29:K504,E3)</f>
        <v>113.72</v>
      </c>
      <c r="G5" s="44" t="s">
        <v>2019</v>
      </c>
      <c r="H5" s="43">
        <f>SUMIFS(M29:M504,J29:J504,C5,K29:K504,G3)</f>
        <v>94.1</v>
      </c>
      <c r="I5" s="44" t="s">
        <v>2019</v>
      </c>
      <c r="J5" s="43">
        <f>SUMIFS(M29:M504,J29:J504,C5,K29:K504,I3)</f>
        <v>84.04</v>
      </c>
      <c r="K5" s="44" t="s">
        <v>2019</v>
      </c>
      <c r="L5" s="45">
        <f>SUMIFS(M29:M504,J29:J504,C5,K29:K504,K3)</f>
        <v>0</v>
      </c>
      <c r="M5" s="26"/>
      <c r="N5" s="52">
        <f>IFERROR(__xludf.DUMMYFUNCTION("""COMPUTED_VALUE"""),45927.73159722222)</f>
        <v>45927.7316</v>
      </c>
      <c r="O5" s="53" t="str">
        <f>IFERROR(__xludf.DUMMYFUNCTION("""COMPUTED_VALUE"""),"R$ 168,19")</f>
        <v>R$ 168,19</v>
      </c>
      <c r="P5" s="53" t="str">
        <f>IFERROR(__xludf.DUMMYFUNCTION("""COMPUTED_VALUE"""),"Consumo")</f>
        <v>Consumo</v>
      </c>
      <c r="Q5" s="54" t="str">
        <f>IFERROR(__xludf.DUMMYFUNCTION("""COMPUTED_VALUE"""),"Marcelo ")</f>
        <v>Marcelo </v>
      </c>
      <c r="R5" s="55"/>
      <c r="S5" s="238">
        <f>IFERROR(__xludf.DUMMYFUNCTION("""COMPUTED_VALUE"""),45928.77346064815)</f>
        <v>45928.77346</v>
      </c>
      <c r="T5" s="53" t="str">
        <f>IFERROR(__xludf.DUMMYFUNCTION("""COMPUTED_VALUE"""),"R$ 113,72")</f>
        <v>R$ 113,72</v>
      </c>
      <c r="U5" s="53" t="str">
        <f>IFERROR(__xludf.DUMMYFUNCTION("""COMPUTED_VALUE"""),"Consumo")</f>
        <v>Consumo</v>
      </c>
      <c r="V5" s="54" t="str">
        <f>IFERROR(__xludf.DUMMYFUNCTION("""COMPUTED_VALUE"""),"Mariane")</f>
        <v>Mariane</v>
      </c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134.552</v>
      </c>
      <c r="E6" s="44" t="s">
        <v>2079</v>
      </c>
      <c r="F6" s="43">
        <f>F5*0.8</f>
        <v>90.976</v>
      </c>
      <c r="G6" s="44" t="s">
        <v>2079</v>
      </c>
      <c r="H6" s="43">
        <f>H5*0.8</f>
        <v>75.28</v>
      </c>
      <c r="I6" s="44" t="s">
        <v>2079</v>
      </c>
      <c r="J6" s="43">
        <f>J5*0.8</f>
        <v>67.232</v>
      </c>
      <c r="K6" s="57" t="s">
        <v>2079</v>
      </c>
      <c r="L6" s="45">
        <f>L5*0.8</f>
        <v>0</v>
      </c>
      <c r="M6" s="26"/>
      <c r="N6" s="52"/>
      <c r="O6" s="53"/>
      <c r="P6" s="53"/>
      <c r="Q6" s="54"/>
      <c r="R6" s="55"/>
      <c r="S6" s="53"/>
      <c r="T6" s="53"/>
      <c r="U6" s="53"/>
      <c r="V6" s="54"/>
    </row>
    <row r="7" ht="14.25" customHeight="1">
      <c r="A7" s="40" t="s">
        <v>754</v>
      </c>
      <c r="B7" s="41" t="s">
        <v>2117</v>
      </c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52"/>
      <c r="O7" s="53"/>
      <c r="P7" s="53"/>
      <c r="Q7" s="54"/>
      <c r="R7" s="55"/>
      <c r="S7" s="53"/>
      <c r="T7" s="53"/>
      <c r="U7" s="53"/>
      <c r="V7" s="54"/>
    </row>
    <row r="8" ht="14.25" customHeight="1">
      <c r="B8" s="41"/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52"/>
      <c r="O8" s="53"/>
      <c r="P8" s="53"/>
      <c r="Q8" s="54"/>
      <c r="R8" s="55"/>
      <c r="S8" s="53"/>
      <c r="T8" s="53"/>
      <c r="U8" s="53"/>
      <c r="V8" s="54"/>
    </row>
    <row r="9">
      <c r="A9" s="40"/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52"/>
      <c r="O9" s="53"/>
      <c r="P9" s="53"/>
      <c r="Q9" s="54"/>
      <c r="R9" s="55"/>
      <c r="S9" s="53"/>
      <c r="T9" s="53"/>
      <c r="U9" s="53"/>
      <c r="V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52"/>
      <c r="O10" s="79"/>
      <c r="P10" s="79"/>
      <c r="Q10" s="80"/>
      <c r="R10" s="81"/>
      <c r="S10" s="79"/>
      <c r="T10" s="79"/>
      <c r="U10" s="79"/>
      <c r="V10" s="80"/>
    </row>
    <row r="11">
      <c r="A11" s="82"/>
      <c r="B11" s="83"/>
      <c r="C11" s="84" t="s">
        <v>1900</v>
      </c>
      <c r="D11" s="85">
        <f>SUMIFS(M29:M511,J29:J511,C11,K29:K511,C10)+SUMIF(P96:P138,A9,Q96:Q138)+D16</f>
        <v>0</v>
      </c>
      <c r="E11" s="86" t="s">
        <v>1900</v>
      </c>
      <c r="F11" s="85">
        <f>SUMIFS(M29:M511,J29:J511,E11,K29:K511,E10)+SUMIF(P96:P138,A10,Q96:Q138)+F16</f>
        <v>0</v>
      </c>
      <c r="G11" s="86" t="s">
        <v>1900</v>
      </c>
      <c r="H11" s="85">
        <f>SUMIFS(M29:M511,J29:J511,C11,K29:K511,G10)+SUMIF(P96:P138,A11,Q96:Q138)+H16</f>
        <v>0</v>
      </c>
      <c r="I11" s="86" t="s">
        <v>1900</v>
      </c>
      <c r="J11" s="85">
        <f>SUMIFS(M29:M511,J29:J511,C11,K29:K511,I10)+SUMIF(P96:P138,A11,Q96:Q138)+J16</f>
        <v>0</v>
      </c>
      <c r="K11" s="86" t="s">
        <v>1900</v>
      </c>
      <c r="L11" s="87">
        <f>SUMIFS(M29:M511,J29:J511,C11,K29:K511,K10)+SUMIF(P96:P138,A13,Q96:Q138)+L16</f>
        <v>0</v>
      </c>
      <c r="M11" s="25"/>
      <c r="N11" s="88"/>
      <c r="O11" s="89"/>
      <c r="P11" s="89"/>
      <c r="Q11" s="90"/>
      <c r="R11" s="91"/>
      <c r="S11" s="89"/>
      <c r="T11" s="89"/>
      <c r="U11" s="89"/>
      <c r="V11" s="90"/>
    </row>
    <row r="12">
      <c r="A12" s="82"/>
      <c r="B12" s="83"/>
      <c r="C12" s="84" t="s">
        <v>2019</v>
      </c>
      <c r="D12" s="85">
        <f>SUMIFS(M36:M511,J36:J511,C12,K36:K511,C10)</f>
        <v>0</v>
      </c>
      <c r="E12" s="86" t="s">
        <v>2019</v>
      </c>
      <c r="F12" s="85">
        <f>SUMIFS(M29:M511,J29:J511,C12,K29:K511,E10)</f>
        <v>0</v>
      </c>
      <c r="G12" s="86" t="s">
        <v>2019</v>
      </c>
      <c r="H12" s="85">
        <f>SUMIFS(M36:M511,J36:J511,C12,K36:K511,G10)</f>
        <v>0</v>
      </c>
      <c r="I12" s="86" t="s">
        <v>2019</v>
      </c>
      <c r="J12" s="85">
        <f>SUMIFS(M29:M511,J29:J511,C12,K29:K511,I10)</f>
        <v>0</v>
      </c>
      <c r="K12" s="86" t="s">
        <v>2019</v>
      </c>
      <c r="L12" s="87">
        <f>SUMIFS(M29:M511,J29:J511,C12,K29:K511,K10)</f>
        <v>0</v>
      </c>
      <c r="M12" s="25"/>
      <c r="N12" s="88"/>
      <c r="O12" s="89"/>
      <c r="P12" s="89"/>
      <c r="Q12" s="90"/>
      <c r="R12" s="91"/>
      <c r="S12" s="89"/>
      <c r="T12" s="89"/>
      <c r="U12" s="89"/>
      <c r="V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88"/>
      <c r="O13" s="89"/>
      <c r="P13" s="89"/>
      <c r="Q13" s="90"/>
      <c r="R13" s="91"/>
      <c r="S13" s="89"/>
      <c r="T13" s="89"/>
      <c r="U13" s="89"/>
      <c r="V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88"/>
      <c r="O14" s="89"/>
      <c r="P14" s="89"/>
      <c r="Q14" s="90"/>
      <c r="R14" s="91"/>
      <c r="S14" s="89"/>
      <c r="T14" s="89"/>
      <c r="U14" s="89"/>
      <c r="V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88"/>
      <c r="O15" s="89"/>
      <c r="P15" s="89"/>
      <c r="Q15" s="90"/>
      <c r="R15" s="91"/>
      <c r="S15" s="89"/>
      <c r="T15" s="89"/>
      <c r="U15" s="89"/>
      <c r="V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88"/>
      <c r="O16" s="89"/>
      <c r="P16" s="89"/>
      <c r="Q16" s="90"/>
      <c r="R16" s="91"/>
      <c r="S16" s="89"/>
      <c r="T16" s="89"/>
      <c r="U16" s="89"/>
      <c r="V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88"/>
      <c r="O17" s="89"/>
      <c r="P17" s="89"/>
      <c r="Q17" s="90"/>
      <c r="R17" s="91"/>
      <c r="S17" s="89"/>
      <c r="T17" s="89"/>
      <c r="U17" s="89"/>
      <c r="V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108"/>
      <c r="O18" s="109"/>
      <c r="P18" s="109"/>
      <c r="Q18" s="109"/>
      <c r="R18" s="110"/>
      <c r="S18" s="109"/>
      <c r="T18" s="109"/>
      <c r="U18" s="109"/>
      <c r="V18" s="111"/>
    </row>
    <row r="19">
      <c r="A19" s="24"/>
      <c r="B19" s="24"/>
      <c r="C19" s="112"/>
      <c r="D19" s="113"/>
      <c r="E19" s="112"/>
      <c r="F19" s="114"/>
      <c r="G19" s="266" t="s">
        <v>6509</v>
      </c>
      <c r="H19" s="116">
        <f>SUMIF(L29:L499,G19,N29:N499)</f>
        <v>0</v>
      </c>
      <c r="I19" s="117" t="s">
        <v>2436</v>
      </c>
      <c r="J19" s="118" t="s">
        <v>2438</v>
      </c>
      <c r="K19" s="119" t="s">
        <v>2440</v>
      </c>
      <c r="L19" s="113"/>
      <c r="M19" s="25"/>
      <c r="N19" s="120"/>
      <c r="O19" s="121"/>
      <c r="P19" s="121"/>
      <c r="Q19" s="121"/>
      <c r="R19" s="122"/>
      <c r="S19" s="123" t="str">
        <f>B7</f>
        <v>Helena Cardoso</v>
      </c>
      <c r="T19" s="106"/>
      <c r="U19" s="106"/>
      <c r="V19" s="124"/>
    </row>
    <row r="20">
      <c r="A20" s="125"/>
      <c r="B20" s="125"/>
      <c r="C20" s="126" t="s">
        <v>1900</v>
      </c>
      <c r="D20" s="127">
        <f>SUMIFS(M29:M504,J29:J504,C20,K29:K504,C19)+SUMIF(P102:P138,A9,Q102:Q138)+D25</f>
        <v>0</v>
      </c>
      <c r="E20" s="126" t="s">
        <v>1900</v>
      </c>
      <c r="F20" s="128">
        <f>SUMIFS(M29:M504,J29:J504,C20,K29:K504,E19)+SUMIF(P102:P138,A10,Q102:Q138)+F25</f>
        <v>0</v>
      </c>
      <c r="G20" s="129" t="s">
        <v>2473</v>
      </c>
      <c r="H20" s="130">
        <v>0.0</v>
      </c>
      <c r="I20" s="131">
        <f>SUMIF(J29:J504,I19,M29:M504)</f>
        <v>789.33</v>
      </c>
      <c r="J20" s="132">
        <f>SUMIF(J29:J504,J19,M29:M504)</f>
        <v>518.88</v>
      </c>
      <c r="K20" s="133" t="s">
        <v>2491</v>
      </c>
      <c r="L20" s="134"/>
      <c r="M20" s="25"/>
      <c r="N20" s="135"/>
      <c r="O20" s="136"/>
      <c r="P20" s="136"/>
      <c r="Q20" s="136"/>
      <c r="R20" s="49"/>
      <c r="S20" s="50" t="str">
        <f>IFERROR(__xludf.DUMMYFUNCTION("query(C28:L504,""select Col1,Col3,Col8,Col9 where (Col8 = 'Adiantamento' or Col8 = 'Consumo') and Col9 = '""&amp;B7&amp;""'"",1)"),"Data")</f>
        <v>Data</v>
      </c>
      <c r="T20" s="50" t="str">
        <f>IFERROR(__xludf.DUMMYFUNCTION("""COMPUTED_VALUE"""),"Valor ")</f>
        <v>Valor </v>
      </c>
      <c r="U20" s="50" t="str">
        <f>IFERROR(__xludf.DUMMYFUNCTION("""COMPUTED_VALUE"""),"Tipo")</f>
        <v>Tipo</v>
      </c>
      <c r="V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SUMIFS(M29:M504,J29:J504,C21,K29:K504,C19)</f>
        <v>0</v>
      </c>
      <c r="E21" s="126" t="s">
        <v>2019</v>
      </c>
      <c r="F21" s="128">
        <f>SUMIFS(M29:M504,J29:J504,E21,K29:K504,E19)</f>
        <v>0</v>
      </c>
      <c r="G21" s="86" t="s">
        <v>2522</v>
      </c>
      <c r="H21" s="127">
        <f>SUMIFS(M29:M504,D29:D504,"Saída",J29:J504,"Sangria")</f>
        <v>25800</v>
      </c>
      <c r="I21" s="138"/>
      <c r="J21" s="139"/>
      <c r="K21" s="133" t="s">
        <v>2530</v>
      </c>
      <c r="L21" s="134"/>
      <c r="M21" s="25"/>
      <c r="N21" s="108"/>
      <c r="O21" s="53"/>
      <c r="P21" s="53"/>
      <c r="Q21" s="54"/>
      <c r="R21" s="55"/>
      <c r="S21" s="238">
        <f>IFERROR(__xludf.DUMMYFUNCTION("""COMPUTED_VALUE"""),45936.92774305555)</f>
        <v>45936.92774</v>
      </c>
      <c r="T21" s="53" t="str">
        <f>IFERROR(__xludf.DUMMYFUNCTION("""COMPUTED_VALUE"""),"R$ 56,11")</f>
        <v>R$ 56,11</v>
      </c>
      <c r="U21" s="53" t="str">
        <f>IFERROR(__xludf.DUMMYFUNCTION("""COMPUTED_VALUE"""),"Consumo")</f>
        <v>Consumo</v>
      </c>
      <c r="V21" s="54" t="str">
        <f>IFERROR(__xludf.DUMMYFUNCTION("""COMPUTED_VALUE"""),"Helena Cardoso")</f>
        <v>Helena Cardoso</v>
      </c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SUMIFS(M29:M504,D29:D504,"Entrada",J29:J504,"Sangria")</f>
        <v>750</v>
      </c>
      <c r="I22" s="144" t="s">
        <v>2556</v>
      </c>
      <c r="J22" s="145"/>
      <c r="K22" s="133" t="s">
        <v>2559</v>
      </c>
      <c r="L22" s="134"/>
      <c r="M22" s="25"/>
      <c r="N22" s="52"/>
      <c r="O22" s="53"/>
      <c r="P22" s="53"/>
      <c r="Q22" s="54"/>
      <c r="R22" s="55"/>
      <c r="S22" s="238">
        <f>IFERROR(__xludf.DUMMYFUNCTION("""COMPUTED_VALUE"""),45943.793912037036)</f>
        <v>45943.79391</v>
      </c>
      <c r="T22" s="53" t="str">
        <f>IFERROR(__xludf.DUMMYFUNCTION("""COMPUTED_VALUE"""),"R$ 10,19")</f>
        <v>R$ 10,19</v>
      </c>
      <c r="U22" s="53" t="str">
        <f>IFERROR(__xludf.DUMMYFUNCTION("""COMPUTED_VALUE"""),"Consumo")</f>
        <v>Consumo</v>
      </c>
      <c r="V22" s="54" t="str">
        <f>IFERROR(__xludf.DUMMYFUNCTION("""COMPUTED_VALUE"""),"Helena Cardoso")</f>
        <v>Helena Cardoso</v>
      </c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SUMIF(J29:J504,I22,M29:M504)</f>
        <v>0</v>
      </c>
      <c r="J23" s="152"/>
      <c r="K23" s="133" t="s">
        <v>2578</v>
      </c>
      <c r="L23" s="134"/>
      <c r="M23" s="25"/>
      <c r="N23" s="52"/>
      <c r="O23" s="53"/>
      <c r="P23" s="53"/>
      <c r="Q23" s="54"/>
      <c r="R23" s="55"/>
      <c r="S23" s="238">
        <f>IFERROR(__xludf.DUMMYFUNCTION("""COMPUTED_VALUE"""),45946.72064814815)</f>
        <v>45946.72065</v>
      </c>
      <c r="T23" s="53" t="str">
        <f>IFERROR(__xludf.DUMMYFUNCTION("""COMPUTED_VALUE"""),"R$ 17,74")</f>
        <v>R$ 17,74</v>
      </c>
      <c r="U23" s="53" t="str">
        <f>IFERROR(__xludf.DUMMYFUNCTION("""COMPUTED_VALUE"""),"Consumo")</f>
        <v>Consumo</v>
      </c>
      <c r="V23" s="54" t="str">
        <f>IFERROR(__xludf.DUMMYFUNCTION("""COMPUTED_VALUE"""),"Helena Cardoso")</f>
        <v>Helena Cardoso</v>
      </c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SUMIF(L29:L504,G24,M29:M504)</f>
        <v>0</v>
      </c>
      <c r="I24" s="157" t="s">
        <v>2593</v>
      </c>
      <c r="J24" s="150"/>
      <c r="K24" s="133" t="s">
        <v>2594</v>
      </c>
      <c r="L24" s="134"/>
      <c r="M24" s="25"/>
      <c r="N24" s="52"/>
      <c r="O24" s="53"/>
      <c r="P24" s="53"/>
      <c r="Q24" s="54"/>
      <c r="R24" s="55"/>
      <c r="S24" s="53"/>
      <c r="T24" s="53"/>
      <c r="U24" s="53"/>
      <c r="V24" s="54"/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SUMIF(L29:L504,G25,M29:M504)</f>
        <v>0</v>
      </c>
      <c r="I25" s="151">
        <f>SUMIF(J29:J504,I24,M29:M504)</f>
        <v>0</v>
      </c>
      <c r="J25" s="152"/>
      <c r="K25" s="162"/>
      <c r="L25" s="163"/>
      <c r="M25" s="26"/>
      <c r="N25" s="52"/>
      <c r="O25" s="53"/>
      <c r="P25" s="53"/>
      <c r="Q25" s="54"/>
      <c r="R25" s="55"/>
      <c r="S25" s="53"/>
      <c r="T25" s="53"/>
      <c r="U25" s="53"/>
      <c r="V25" s="54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52"/>
      <c r="O26" s="79"/>
      <c r="P26" s="79"/>
      <c r="Q26" s="80"/>
      <c r="R26" s="81"/>
      <c r="S26" s="79"/>
      <c r="T26" s="79"/>
      <c r="U26" s="79"/>
      <c r="V26" s="80"/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04"/>
      <c r="M27" s="167"/>
      <c r="N27" s="88"/>
      <c r="O27" s="89"/>
      <c r="P27" s="89"/>
      <c r="Q27" s="90"/>
      <c r="R27" s="91"/>
      <c r="S27" s="89"/>
      <c r="T27" s="89"/>
      <c r="U27" s="89"/>
      <c r="V27" s="90"/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177" t="s">
        <v>2647</v>
      </c>
      <c r="M28" s="167"/>
      <c r="N28" s="88"/>
      <c r="O28" s="89"/>
      <c r="P28" s="89"/>
      <c r="Q28" s="90"/>
      <c r="R28" s="91"/>
      <c r="S28" s="89"/>
      <c r="T28" s="89"/>
      <c r="U28" s="89"/>
      <c r="V28" s="90"/>
    </row>
    <row r="29" ht="14.25" customHeight="1">
      <c r="A29" s="178"/>
      <c r="B29" s="12">
        <v>1702833.0</v>
      </c>
      <c r="C29" s="13">
        <v>45926.51704861111</v>
      </c>
      <c r="D29" s="179" t="s">
        <v>81</v>
      </c>
      <c r="E29" s="180" t="s">
        <v>184</v>
      </c>
      <c r="F29" s="181"/>
      <c r="G29" s="179" t="s">
        <v>4071</v>
      </c>
      <c r="H29" s="182"/>
      <c r="I29" s="182"/>
      <c r="J29" s="183" t="s">
        <v>2735</v>
      </c>
      <c r="K29" s="183" t="s">
        <v>2018</v>
      </c>
      <c r="L29" s="184" t="str">
        <f>IFERROR(__xludf.DUMMYFUNCTION("ifna(IF(and(D29=""Saída"",J29=""Sangria""),if(sum(QUERY(IMPORTRANGE(""https://docs.google.com/spreadsheets/d/1ykfbEpHEAAZVCgujsGjRFJRCTULkzlWa8UjdyLzkDBM"",""BD M Sangrias!a:i""),""select Col6 where Col7 = 'Depositada' and Col9 = '""&amp;K29&amp;""' and Col6 = """&amp;"&amp;M29&amp;"" and Col4 = date '""&amp;YEAR(C29)&amp;""-""&amp;MONTH(C29)&amp;""-""&amp;DAY(C29)&amp;""'""))&gt;0,""Depositada"",if(sum(QUERY(IMPORTRANGE(""https://docs.google.com/spreadsheets/d/1ykfbEpHEAAZVCgujsGjRFJRCTULkzlWa8UjdyLzkDBM"",""BD M Sangrias!a:i""),""select Col6 where Col7"&amp;" = 'Caixa Atendimento' and Col9 = '""&amp;K29&amp;""' and Col6 = ""&amp;M29&amp;"" and Col4 = date '""&amp;YEAR(C29)&amp;""-""&amp;MONTH(C29)&amp;""-""&amp;DAY(C29)&amp;""'""))&gt;0,""Caixa Atendimento"",""Caixa Sangria"")),""""),""Caixa Sangria"")"),"#REF!")</f>
        <v>#REF!</v>
      </c>
      <c r="M29" s="185">
        <f>IFERROR(__xludf.DUMMYFUNCTION("ifna(VALUE(REGEXEXTRACT(E29,""[0-9.]+[,]+[0-9]+"")))"),450.0)</f>
        <v>450</v>
      </c>
      <c r="N29" s="88"/>
      <c r="O29" s="89"/>
      <c r="P29" s="89"/>
      <c r="Q29" s="90"/>
      <c r="R29" s="91"/>
      <c r="S29" s="89"/>
      <c r="T29" s="89"/>
      <c r="U29" s="89"/>
      <c r="V29" s="90"/>
    </row>
    <row r="30" ht="14.25" customHeight="1">
      <c r="A30" s="178"/>
      <c r="B30" s="12">
        <v>1702994.0</v>
      </c>
      <c r="C30" s="13">
        <v>45926.601018518515</v>
      </c>
      <c r="D30" s="179" t="s">
        <v>152</v>
      </c>
      <c r="E30" s="180" t="s">
        <v>1370</v>
      </c>
      <c r="F30" s="181"/>
      <c r="G30" s="179" t="s">
        <v>267</v>
      </c>
      <c r="H30" s="186"/>
      <c r="I30" s="186"/>
      <c r="J30" s="187" t="s">
        <v>2669</v>
      </c>
      <c r="K30" s="187"/>
      <c r="L30" s="184" t="str">
        <f>IFERROR(__xludf.DUMMYFUNCTION("ifna(IF(and(D30=""Saída"",J30=""Sangria""),if(sum(QUERY(IMPORTRANGE(""https://docs.google.com/spreadsheets/d/1ykfbEpHEAAZVCgujsGjRFJRCTULkzlWa8UjdyLzkDBM"",""BD M Sangrias!a:i""),""select Col6 where Col7 = 'Depositada' and Col9 = '""&amp;K30&amp;""' and Col6 = """&amp;"&amp;M30&amp;"" and Col4 = date '""&amp;YEAR(C30)&amp;""-""&amp;MONTH(C30)&amp;""-""&amp;DAY(C30)&amp;""'""))&gt;0,""Depositada"",if(sum(QUERY(IMPORTRANGE(""https://docs.google.com/spreadsheets/d/1ykfbEpHEAAZVCgujsGjRFJRCTULkzlWa8UjdyLzkDBM"",""BD M Sangrias!a:i""),""select Col6 where Col7"&amp;" = 'Caixa Atendimento' and Col9 = '""&amp;K30&amp;""' and Col6 = ""&amp;M30&amp;"" and Col4 = date '""&amp;YEAR(C30)&amp;""-""&amp;MONTH(C30)&amp;""-""&amp;DAY(C30)&amp;""'""))&gt;0,""Caixa Atendimento"",""Caixa Sangria"")),""""),""Caixa Sangria"")"),"")</f>
        <v/>
      </c>
      <c r="M30" s="185">
        <f>IFERROR(__xludf.DUMMYFUNCTION("ifna(VALUE(REGEXEXTRACT(E30,""[0-9.]+[,]+[0-9]+"")))"),4.0)</f>
        <v>4</v>
      </c>
      <c r="N30" s="88"/>
      <c r="O30" s="89"/>
      <c r="P30" s="89"/>
      <c r="Q30" s="90"/>
      <c r="R30" s="91"/>
      <c r="S30" s="89"/>
      <c r="T30" s="89"/>
      <c r="U30" s="89"/>
      <c r="V30" s="90"/>
    </row>
    <row r="31" ht="14.25" customHeight="1">
      <c r="A31" s="178"/>
      <c r="B31" s="12">
        <v>1703004.0</v>
      </c>
      <c r="C31" s="13">
        <v>45926.60407407407</v>
      </c>
      <c r="D31" s="179" t="s">
        <v>152</v>
      </c>
      <c r="E31" s="180" t="s">
        <v>979</v>
      </c>
      <c r="F31" s="181"/>
      <c r="G31" s="179" t="s">
        <v>267</v>
      </c>
      <c r="H31" s="186"/>
      <c r="I31" s="186"/>
      <c r="J31" s="187" t="s">
        <v>2669</v>
      </c>
      <c r="K31" s="187"/>
      <c r="L31" s="184" t="str">
        <f>IFERROR(__xludf.DUMMYFUNCTION("ifna(IF(and(D31=""Saída"",J31=""Sangria""),if(sum(QUERY(IMPORTRANGE(""https://docs.google.com/spreadsheets/d/1ykfbEpHEAAZVCgujsGjRFJRCTULkzlWa8UjdyLzkDBM"",""BD M Sangrias!a:i""),""select Col6 where Col7 = 'Depositada' and Col9 = '""&amp;K31&amp;""' and Col6 = """&amp;"&amp;M31&amp;"" and Col4 = date '""&amp;YEAR(C31)&amp;""-""&amp;MONTH(C31)&amp;""-""&amp;DAY(C31)&amp;""'""))&gt;0,""Depositada"",if(sum(QUERY(IMPORTRANGE(""https://docs.google.com/spreadsheets/d/1ykfbEpHEAAZVCgujsGjRFJRCTULkzlWa8UjdyLzkDBM"",""BD M Sangrias!a:i""),""select Col6 where Col7"&amp;" = 'Caixa Atendimento' and Col9 = '""&amp;K31&amp;""' and Col6 = ""&amp;M31&amp;"" and Col4 = date '""&amp;YEAR(C31)&amp;""-""&amp;MONTH(C31)&amp;""-""&amp;DAY(C31)&amp;""'""))&gt;0,""Caixa Atendimento"",""Caixa Sangria"")),""""),""Caixa Sangria"")"),"")</f>
        <v/>
      </c>
      <c r="M31" s="185">
        <f>IFERROR(__xludf.DUMMYFUNCTION("ifna(VALUE(REGEXEXTRACT(E31,""[0-9.]+[,]+[0-9]+"")))"),3.0)</f>
        <v>3</v>
      </c>
      <c r="N31" s="88"/>
      <c r="O31" s="89"/>
      <c r="P31" s="89"/>
      <c r="Q31" s="90"/>
      <c r="R31" s="91"/>
      <c r="S31" s="89"/>
      <c r="T31" s="89"/>
      <c r="U31" s="89"/>
      <c r="V31" s="90"/>
    </row>
    <row r="32" ht="14.25" customHeight="1">
      <c r="A32" s="178"/>
      <c r="B32" s="12">
        <v>1704147.0</v>
      </c>
      <c r="C32" s="13">
        <v>45926.9253125</v>
      </c>
      <c r="D32" s="179" t="s">
        <v>81</v>
      </c>
      <c r="E32" s="180" t="s">
        <v>6534</v>
      </c>
      <c r="F32" s="181"/>
      <c r="G32" s="179" t="s">
        <v>313</v>
      </c>
      <c r="H32" s="186"/>
      <c r="I32" s="186"/>
      <c r="J32" s="187" t="s">
        <v>3151</v>
      </c>
      <c r="K32" s="187"/>
      <c r="L32" s="184" t="str">
        <f>IFERROR(__xludf.DUMMYFUNCTION("ifna(IF(and(D32=""Saída"",J32=""Sangria""),if(sum(QUERY(IMPORTRANGE(""https://docs.google.com/spreadsheets/d/1ykfbEpHEAAZVCgujsGjRFJRCTULkzlWa8UjdyLzkDBM"",""BD M Sangrias!a:i""),""select Col6 where Col7 = 'Depositada' and Col9 = '""&amp;K32&amp;""' and Col6 = """&amp;"&amp;M32&amp;"" and Col4 = date '""&amp;YEAR(C32)&amp;""-""&amp;MONTH(C32)&amp;""-""&amp;DAY(C32)&amp;""'""))&gt;0,""Depositada"",if(sum(QUERY(IMPORTRANGE(""https://docs.google.com/spreadsheets/d/1ykfbEpHEAAZVCgujsGjRFJRCTULkzlWa8UjdyLzkDBM"",""BD M Sangrias!a:i""),""select Col6 where Col7"&amp;" = 'Caixa Atendimento' and Col9 = '""&amp;K32&amp;""' and Col6 = ""&amp;M32&amp;"" and Col4 = date '""&amp;YEAR(C32)&amp;""-""&amp;MONTH(C32)&amp;""-""&amp;DAY(C32)&amp;""'""))&gt;0,""Caixa Atendimento"",""Caixa Sangria"")),""""),""Caixa Sangria"")"),"")</f>
        <v/>
      </c>
      <c r="M32" s="185">
        <f>IFERROR(__xludf.DUMMYFUNCTION("ifna(VALUE(REGEXEXTRACT(E32,""[0-9.]+[,]+[0-9]+"")))"),181.9)</f>
        <v>181.9</v>
      </c>
      <c r="N32" s="88"/>
      <c r="O32" s="89"/>
      <c r="P32" s="89"/>
      <c r="Q32" s="90"/>
      <c r="R32" s="91"/>
      <c r="S32" s="89"/>
      <c r="T32" s="89"/>
      <c r="U32" s="89"/>
      <c r="V32" s="90"/>
    </row>
    <row r="33" ht="14.25" customHeight="1">
      <c r="A33" s="178"/>
      <c r="B33" s="12">
        <v>1704155.0</v>
      </c>
      <c r="C33" s="13">
        <v>45926.926770833335</v>
      </c>
      <c r="D33" s="179" t="s">
        <v>81</v>
      </c>
      <c r="E33" s="180" t="s">
        <v>343</v>
      </c>
      <c r="F33" s="181"/>
      <c r="G33" s="179" t="s">
        <v>381</v>
      </c>
      <c r="H33" s="186"/>
      <c r="I33" s="186"/>
      <c r="J33" s="187" t="s">
        <v>2735</v>
      </c>
      <c r="K33" s="187" t="s">
        <v>1894</v>
      </c>
      <c r="L33" s="184" t="str">
        <f>IFERROR(__xludf.DUMMYFUNCTION("ifna(IF(and(D33=""Saída"",J33=""Sangria""),if(sum(QUERY(IMPORTRANGE(""https://docs.google.com/spreadsheets/d/1ykfbEpHEAAZVCgujsGjRFJRCTULkzlWa8UjdyLzkDBM"",""BD M Sangrias!a:i""),""select Col6 where Col7 = 'Depositada' and Col9 = '""&amp;K33&amp;""' and Col6 = """&amp;"&amp;M33&amp;"" and Col4 = date '""&amp;YEAR(C33)&amp;""-""&amp;MONTH(C33)&amp;""-""&amp;DAY(C33)&amp;""'""))&gt;0,""Depositada"",if(sum(QUERY(IMPORTRANGE(""https://docs.google.com/spreadsheets/d/1ykfbEpHEAAZVCgujsGjRFJRCTULkzlWa8UjdyLzkDBM"",""BD M Sangrias!a:i""),""select Col6 where Col7"&amp;" = 'Caixa Atendimento' and Col9 = '""&amp;K33&amp;""' and Col6 = ""&amp;M33&amp;"" and Col4 = date '""&amp;YEAR(C33)&amp;""-""&amp;MONTH(C33)&amp;""-""&amp;DAY(C33)&amp;""'""))&gt;0,""Caixa Atendimento"",""Caixa Sangria"")),""""),""Caixa Sangria"")"),"#REF!")</f>
        <v>#REF!</v>
      </c>
      <c r="M33" s="185">
        <f>IFERROR(__xludf.DUMMYFUNCTION("ifna(VALUE(REGEXEXTRACT(E33,""[0-9.]+[,]+[0-9]+"")))"),550.0)</f>
        <v>550</v>
      </c>
      <c r="N33" s="88"/>
      <c r="O33" s="89"/>
      <c r="P33" s="89"/>
      <c r="Q33" s="90"/>
      <c r="R33" s="91"/>
      <c r="S33" s="89"/>
      <c r="T33" s="89"/>
      <c r="U33" s="89"/>
      <c r="V33" s="90"/>
    </row>
    <row r="34" ht="14.25" customHeight="1">
      <c r="A34" s="178"/>
      <c r="B34" s="12">
        <v>1704238.0</v>
      </c>
      <c r="C34" s="13">
        <v>45926.94063657407</v>
      </c>
      <c r="D34" s="179" t="s">
        <v>81</v>
      </c>
      <c r="E34" s="180" t="s">
        <v>6537</v>
      </c>
      <c r="F34" s="181"/>
      <c r="G34" s="179" t="s">
        <v>5535</v>
      </c>
      <c r="H34" s="186"/>
      <c r="I34" s="186"/>
      <c r="J34" s="187" t="s">
        <v>2438</v>
      </c>
      <c r="K34" s="187"/>
      <c r="L34" s="184" t="str">
        <f>IFERROR(__xludf.DUMMYFUNCTION("ifna(IF(and(D34=""Saída"",J34=""Sangria""),if(sum(QUERY(IMPORTRANGE(""https://docs.google.com/spreadsheets/d/1ykfbEpHEAAZVCgujsGjRFJRCTULkzlWa8UjdyLzkDBM"",""BD M Sangrias!a:i""),""select Col6 where Col7 = 'Depositada' and Col9 = '""&amp;K34&amp;""' and Col6 = """&amp;"&amp;M34&amp;"" and Col4 = date '""&amp;YEAR(C34)&amp;""-""&amp;MONTH(C34)&amp;""-""&amp;DAY(C34)&amp;""'""))&gt;0,""Depositada"",if(sum(QUERY(IMPORTRANGE(""https://docs.google.com/spreadsheets/d/1ykfbEpHEAAZVCgujsGjRFJRCTULkzlWa8UjdyLzkDBM"",""BD M Sangrias!a:i""),""select Col6 where Col7"&amp;" = 'Caixa Atendimento' and Col9 = '""&amp;K34&amp;""' and Col6 = ""&amp;M34&amp;"" and Col4 = date '""&amp;YEAR(C34)&amp;""-""&amp;MONTH(C34)&amp;""-""&amp;DAY(C34)&amp;""'""))&gt;0,""Caixa Atendimento"",""Caixa Sangria"")),""""),""Caixa Sangria"")"),"")</f>
        <v/>
      </c>
      <c r="M34" s="185">
        <f>IFERROR(__xludf.DUMMYFUNCTION("ifna(VALUE(REGEXEXTRACT(E34,""[0-9.]+[,]+[0-9]+"")))"),150.33)</f>
        <v>150.33</v>
      </c>
      <c r="N34" s="108"/>
      <c r="O34" s="109"/>
      <c r="P34" s="109"/>
      <c r="Q34" s="109"/>
      <c r="R34" s="110"/>
      <c r="S34" s="109"/>
      <c r="T34" s="109"/>
      <c r="U34" s="109"/>
      <c r="V34" s="111"/>
    </row>
    <row r="35" ht="18.75" customHeight="1">
      <c r="A35" s="178"/>
      <c r="B35" s="12">
        <v>1704922.0</v>
      </c>
      <c r="C35" s="13">
        <v>45927.65210648148</v>
      </c>
      <c r="D35" s="179" t="s">
        <v>152</v>
      </c>
      <c r="E35" s="180" t="s">
        <v>6539</v>
      </c>
      <c r="F35" s="181"/>
      <c r="G35" s="179" t="s">
        <v>267</v>
      </c>
      <c r="H35" s="186"/>
      <c r="I35" s="186"/>
      <c r="J35" s="187" t="s">
        <v>2669</v>
      </c>
      <c r="K35" s="187"/>
      <c r="L35" s="184" t="str">
        <f>IFERROR(__xludf.DUMMYFUNCTION("ifna(IF(and(D35=""Saída"",J35=""Sangria""),if(sum(QUERY(IMPORTRANGE(""https://docs.google.com/spreadsheets/d/1ykfbEpHEAAZVCgujsGjRFJRCTULkzlWa8UjdyLzkDBM"",""BD M Sangrias!a:i""),""select Col6 where Col7 = 'Depositada' and Col9 = '""&amp;K35&amp;""' and Col6 = """&amp;"&amp;M35&amp;"" and Col4 = date '""&amp;YEAR(C35)&amp;""-""&amp;MONTH(C35)&amp;""-""&amp;DAY(C35)&amp;""'""))&gt;0,""Depositada"",if(sum(QUERY(IMPORTRANGE(""https://docs.google.com/spreadsheets/d/1ykfbEpHEAAZVCgujsGjRFJRCTULkzlWa8UjdyLzkDBM"",""BD M Sangrias!a:i""),""select Col6 where Col7"&amp;" = 'Caixa Atendimento' and Col9 = '""&amp;K35&amp;""' and Col6 = ""&amp;M35&amp;"" and Col4 = date '""&amp;YEAR(C35)&amp;""-""&amp;MONTH(C35)&amp;""-""&amp;DAY(C35)&amp;""'""))&gt;0,""Caixa Atendimento"",""Caixa Sangria"")),""""),""Caixa Sangria"")"),"")</f>
        <v/>
      </c>
      <c r="M35" s="185">
        <f>IFERROR(__xludf.DUMMYFUNCTION("ifna(VALUE(REGEXEXTRACT(E35,""[0-9.]+[,]+[0-9]+"")))"),18.95)</f>
        <v>18.95</v>
      </c>
      <c r="N35" s="108"/>
      <c r="R35" s="110"/>
    </row>
    <row r="36" ht="14.25" customHeight="1">
      <c r="A36" s="178"/>
      <c r="B36" s="12">
        <v>1704958.0</v>
      </c>
      <c r="C36" s="13">
        <v>45927.66255787037</v>
      </c>
      <c r="D36" s="179" t="s">
        <v>152</v>
      </c>
      <c r="E36" s="180" t="s">
        <v>5300</v>
      </c>
      <c r="F36" s="181"/>
      <c r="G36" s="179" t="s">
        <v>267</v>
      </c>
      <c r="H36" s="186"/>
      <c r="I36" s="186"/>
      <c r="J36" s="187" t="s">
        <v>2669</v>
      </c>
      <c r="K36" s="187"/>
      <c r="L36" s="184" t="str">
        <f>IFERROR(__xludf.DUMMYFUNCTION("ifna(IF(and(D36=""Saída"",J36=""Sangria""),if(sum(QUERY(IMPORTRANGE(""https://docs.google.com/spreadsheets/d/1ykfbEpHEAAZVCgujsGjRFJRCTULkzlWa8UjdyLzkDBM"",""BD M Sangrias!a:i""),""select Col6 where Col7 = 'Depositada' and Col9 = '""&amp;K36&amp;""' and Col6 = """&amp;"&amp;M36&amp;"" and Col4 = date '""&amp;YEAR(C36)&amp;""-""&amp;MONTH(C36)&amp;""-""&amp;DAY(C36)&amp;""'""))&gt;0,""Depositada"",if(sum(QUERY(IMPORTRANGE(""https://docs.google.com/spreadsheets/d/1ykfbEpHEAAZVCgujsGjRFJRCTULkzlWa8UjdyLzkDBM"",""BD M Sangrias!a:i""),""select Col6 where Col7"&amp;" = 'Caixa Atendimento' and Col9 = '""&amp;K36&amp;""' and Col6 = ""&amp;M36&amp;"" and Col4 = date '""&amp;YEAR(C36)&amp;""-""&amp;MONTH(C36)&amp;""-""&amp;DAY(C36)&amp;""'""))&gt;0,""Caixa Atendimento"",""Caixa Sangria"")),""""),""Caixa Sangria"")"),"")</f>
        <v/>
      </c>
      <c r="M36" s="185">
        <f>IFERROR(__xludf.DUMMYFUNCTION("ifna(VALUE(REGEXEXTRACT(E36,""[0-9.]+[,]+[0-9]+"")))"),52.0)</f>
        <v>52</v>
      </c>
      <c r="N36" s="108"/>
      <c r="R36" s="110"/>
    </row>
    <row r="37" ht="14.25" customHeight="1">
      <c r="A37" s="178"/>
      <c r="B37" s="12">
        <v>1705023.0</v>
      </c>
      <c r="C37" s="13">
        <v>45927.678252314814</v>
      </c>
      <c r="D37" s="179" t="s">
        <v>152</v>
      </c>
      <c r="E37" s="180" t="s">
        <v>684</v>
      </c>
      <c r="F37" s="181"/>
      <c r="G37" s="179" t="s">
        <v>267</v>
      </c>
      <c r="H37" s="186"/>
      <c r="I37" s="186"/>
      <c r="J37" s="187" t="s">
        <v>2669</v>
      </c>
      <c r="K37" s="187"/>
      <c r="L37" s="184" t="str">
        <f>IFERROR(__xludf.DUMMYFUNCTION("ifna(IF(and(D37=""Saída"",J37=""Sangria""),if(sum(QUERY(IMPORTRANGE(""https://docs.google.com/spreadsheets/d/1ykfbEpHEAAZVCgujsGjRFJRCTULkzlWa8UjdyLzkDBM"",""BD M Sangrias!a:i""),""select Col6 where Col7 = 'Depositada' and Col9 = '""&amp;K37&amp;""' and Col6 = """&amp;"&amp;M37&amp;"" and Col4 = date '""&amp;YEAR(C37)&amp;""-""&amp;MONTH(C37)&amp;""-""&amp;DAY(C37)&amp;""'""))&gt;0,""Depositada"",if(sum(QUERY(IMPORTRANGE(""https://docs.google.com/spreadsheets/d/1ykfbEpHEAAZVCgujsGjRFJRCTULkzlWa8UjdyLzkDBM"",""BD M Sangrias!a:i""),""select Col6 where Col7"&amp;" = 'Caixa Atendimento' and Col9 = '""&amp;K37&amp;""' and Col6 = ""&amp;M37&amp;"" and Col4 = date '""&amp;YEAR(C37)&amp;""-""&amp;MONTH(C37)&amp;""-""&amp;DAY(C37)&amp;""'""))&gt;0,""Caixa Atendimento"",""Caixa Sangria"")),""""),""Caixa Sangria"")"),"")</f>
        <v/>
      </c>
      <c r="M37" s="185">
        <f>IFERROR(__xludf.DUMMYFUNCTION("ifna(VALUE(REGEXEXTRACT(E37,""[0-9.]+[,]+[0-9]+"")))"),27.0)</f>
        <v>27</v>
      </c>
      <c r="N37" s="108"/>
      <c r="R37" s="110"/>
    </row>
    <row r="38" ht="14.25" customHeight="1">
      <c r="A38" s="178"/>
      <c r="B38" s="12">
        <v>1705152.0</v>
      </c>
      <c r="C38" s="13">
        <v>45927.70275462963</v>
      </c>
      <c r="D38" s="179" t="s">
        <v>152</v>
      </c>
      <c r="E38" s="180" t="s">
        <v>5344</v>
      </c>
      <c r="F38" s="188"/>
      <c r="G38" s="179" t="s">
        <v>267</v>
      </c>
      <c r="H38" s="186"/>
      <c r="I38" s="186"/>
      <c r="J38" s="187" t="s">
        <v>2669</v>
      </c>
      <c r="K38" s="187"/>
      <c r="L38" s="184" t="str">
        <f>IFERROR(__xludf.DUMMYFUNCTION("ifna(IF(and(D38=""Saída"",J38=""Sangria""),if(sum(QUERY(IMPORTRANGE(""https://docs.google.com/spreadsheets/d/1ykfbEpHEAAZVCgujsGjRFJRCTULkzlWa8UjdyLzkDBM"",""BD M Sangrias!a:i""),""select Col6 where Col7 = 'Depositada' and Col9 = '""&amp;K38&amp;""' and Col6 = """&amp;"&amp;M38&amp;"" and Col4 = date '""&amp;YEAR(C38)&amp;""-""&amp;MONTH(C38)&amp;""-""&amp;DAY(C38)&amp;""'""))&gt;0,""Depositada"",if(sum(QUERY(IMPORTRANGE(""https://docs.google.com/spreadsheets/d/1ykfbEpHEAAZVCgujsGjRFJRCTULkzlWa8UjdyLzkDBM"",""BD M Sangrias!a:i""),""select Col6 where Col7"&amp;" = 'Caixa Atendimento' and Col9 = '""&amp;K38&amp;""' and Col6 = ""&amp;M38&amp;"" and Col4 = date '""&amp;YEAR(C38)&amp;""-""&amp;MONTH(C38)&amp;""-""&amp;DAY(C38)&amp;""'""))&gt;0,""Caixa Atendimento"",""Caixa Sangria"")),""""),""Caixa Sangria"")"),"")</f>
        <v/>
      </c>
      <c r="M38" s="185">
        <f>IFERROR(__xludf.DUMMYFUNCTION("ifna(VALUE(REGEXEXTRACT(E38,""[0-9.]+[,]+[0-9]+"")))"),11.5)</f>
        <v>11.5</v>
      </c>
      <c r="N38" s="108"/>
      <c r="R38" s="110"/>
    </row>
    <row r="39" ht="21.75" customHeight="1">
      <c r="A39" s="178"/>
      <c r="B39" s="12">
        <v>1705312.0</v>
      </c>
      <c r="C39" s="13">
        <v>45927.73159722222</v>
      </c>
      <c r="D39" s="179" t="s">
        <v>81</v>
      </c>
      <c r="E39" s="180" t="s">
        <v>6543</v>
      </c>
      <c r="F39" s="181"/>
      <c r="G39" s="179" t="s">
        <v>6544</v>
      </c>
      <c r="H39" s="186"/>
      <c r="I39" s="186"/>
      <c r="J39" s="187" t="s">
        <v>2019</v>
      </c>
      <c r="K39" s="187" t="s">
        <v>1894</v>
      </c>
      <c r="L39" s="184" t="str">
        <f>IFERROR(__xludf.DUMMYFUNCTION("ifna(IF(and(D39=""Saída"",J39=""Sangria""),if(sum(QUERY(IMPORTRANGE(""https://docs.google.com/spreadsheets/d/1ykfbEpHEAAZVCgujsGjRFJRCTULkzlWa8UjdyLzkDBM"",""BD M Sangrias!a:i""),""select Col6 where Col7 = 'Depositada' and Col9 = '""&amp;K39&amp;""' and Col6 = """&amp;"&amp;M39&amp;"" and Col4 = date '""&amp;YEAR(C39)&amp;""-""&amp;MONTH(C39)&amp;""-""&amp;DAY(C39)&amp;""'""))&gt;0,""Depositada"",if(sum(QUERY(IMPORTRANGE(""https://docs.google.com/spreadsheets/d/1ykfbEpHEAAZVCgujsGjRFJRCTULkzlWa8UjdyLzkDBM"",""BD M Sangrias!a:i""),""select Col6 where Col7"&amp;" = 'Caixa Atendimento' and Col9 = '""&amp;K39&amp;""' and Col6 = ""&amp;M39&amp;"" and Col4 = date '""&amp;YEAR(C39)&amp;""-""&amp;MONTH(C39)&amp;""-""&amp;DAY(C39)&amp;""'""))&gt;0,""Caixa Atendimento"",""Caixa Sangria"")),""""),""Caixa Sangria"")"),"")</f>
        <v/>
      </c>
      <c r="M39" s="185">
        <f>IFERROR(__xludf.DUMMYFUNCTION("ifna(VALUE(REGEXEXTRACT(E39,""[0-9.]+[,]+[0-9]+"")))"),168.19)</f>
        <v>168.19</v>
      </c>
      <c r="N39" s="108"/>
      <c r="R39" s="110"/>
    </row>
    <row r="40" ht="14.25" customHeight="1">
      <c r="A40" s="178"/>
      <c r="B40" s="12">
        <v>1705408.0</v>
      </c>
      <c r="C40" s="13">
        <v>45927.75084490741</v>
      </c>
      <c r="D40" s="179" t="s">
        <v>152</v>
      </c>
      <c r="E40" s="180" t="s">
        <v>536</v>
      </c>
      <c r="F40" s="181"/>
      <c r="G40" s="179" t="s">
        <v>267</v>
      </c>
      <c r="H40" s="186"/>
      <c r="I40" s="186"/>
      <c r="J40" s="187" t="s">
        <v>2669</v>
      </c>
      <c r="K40" s="187"/>
      <c r="L40" s="184" t="str">
        <f>IFERROR(__xludf.DUMMYFUNCTION("ifna(IF(and(D40=""Saída"",J40=""Sangria""),if(sum(QUERY(IMPORTRANGE(""https://docs.google.com/spreadsheets/d/1ykfbEpHEAAZVCgujsGjRFJRCTULkzlWa8UjdyLzkDBM"",""BD M Sangrias!a:i""),""select Col6 where Col7 = 'Depositada' and Col9 = '""&amp;K40&amp;""' and Col6 = """&amp;"&amp;M40&amp;"" and Col4 = date '""&amp;YEAR(C40)&amp;""-""&amp;MONTH(C40)&amp;""-""&amp;DAY(C40)&amp;""'""))&gt;0,""Depositada"",if(sum(QUERY(IMPORTRANGE(""https://docs.google.com/spreadsheets/d/1ykfbEpHEAAZVCgujsGjRFJRCTULkzlWa8UjdyLzkDBM"",""BD M Sangrias!a:i""),""select Col6 where Col7"&amp;" = 'Caixa Atendimento' and Col9 = '""&amp;K40&amp;""' and Col6 = ""&amp;M40&amp;"" and Col4 = date '""&amp;YEAR(C40)&amp;""-""&amp;MONTH(C40)&amp;""-""&amp;DAY(C40)&amp;""'""))&gt;0,""Caixa Atendimento"",""Caixa Sangria"")),""""),""Caixa Sangria"")"),"")</f>
        <v/>
      </c>
      <c r="M40" s="185">
        <f>IFERROR(__xludf.DUMMYFUNCTION("ifna(VALUE(REGEXEXTRACT(E40,""[0-9.]+[,]+[0-9]+"")))"),80.0)</f>
        <v>80</v>
      </c>
      <c r="N40" s="108"/>
      <c r="R40" s="110"/>
    </row>
    <row r="41" ht="14.25" customHeight="1">
      <c r="A41" s="178"/>
      <c r="B41" s="12">
        <v>1705474.0</v>
      </c>
      <c r="C41" s="13">
        <v>45927.76443287037</v>
      </c>
      <c r="D41" s="179" t="s">
        <v>81</v>
      </c>
      <c r="E41" s="180" t="s">
        <v>3419</v>
      </c>
      <c r="F41" s="181"/>
      <c r="G41" s="179" t="s">
        <v>6546</v>
      </c>
      <c r="H41" s="186"/>
      <c r="I41" s="186"/>
      <c r="J41" s="187" t="s">
        <v>2735</v>
      </c>
      <c r="K41" s="187" t="s">
        <v>1894</v>
      </c>
      <c r="L41" s="184" t="str">
        <f>IFERROR(__xludf.DUMMYFUNCTION("ifna(IF(and(D41=""Saída"",J41=""Sangria""),if(sum(QUERY(IMPORTRANGE(""https://docs.google.com/spreadsheets/d/1ykfbEpHEAAZVCgujsGjRFJRCTULkzlWa8UjdyLzkDBM"",""BD M Sangrias!a:i""),""select Col6 where Col7 = 'Depositada' and Col9 = '""&amp;K41&amp;""' and Col6 = """&amp;"&amp;M41&amp;"" and Col4 = date '""&amp;YEAR(C41)&amp;""-""&amp;MONTH(C41)&amp;""-""&amp;DAY(C41)&amp;""'""))&gt;0,""Depositada"",if(sum(QUERY(IMPORTRANGE(""https://docs.google.com/spreadsheets/d/1ykfbEpHEAAZVCgujsGjRFJRCTULkzlWa8UjdyLzkDBM"",""BD M Sangrias!a:i""),""select Col6 where Col7"&amp;" = 'Caixa Atendimento' and Col9 = '""&amp;K41&amp;""' and Col6 = ""&amp;M41&amp;"" and Col4 = date '""&amp;YEAR(C41)&amp;""-""&amp;MONTH(C41)&amp;""-""&amp;DAY(C41)&amp;""'""))&gt;0,""Caixa Atendimento"",""Caixa Sangria"")),""""),""Caixa Sangria"")"),"#REF!")</f>
        <v>#REF!</v>
      </c>
      <c r="M41" s="185">
        <f>IFERROR(__xludf.DUMMYFUNCTION("ifna(VALUE(REGEXEXTRACT(E41,""[0-9.]+[,]+[0-9]+"")))"),1800.0)</f>
        <v>1800</v>
      </c>
      <c r="N41" s="108"/>
      <c r="R41" s="110"/>
    </row>
    <row r="42" ht="14.25" customHeight="1">
      <c r="A42" s="178"/>
      <c r="B42" s="12">
        <v>1706521.0</v>
      </c>
      <c r="C42" s="13">
        <v>45927.95842592593</v>
      </c>
      <c r="D42" s="179" t="s">
        <v>81</v>
      </c>
      <c r="E42" s="180" t="s">
        <v>200</v>
      </c>
      <c r="F42" s="181"/>
      <c r="G42" s="179" t="s">
        <v>381</v>
      </c>
      <c r="H42" s="186"/>
      <c r="I42" s="186"/>
      <c r="J42" s="187" t="s">
        <v>2735</v>
      </c>
      <c r="K42" s="187" t="s">
        <v>1894</v>
      </c>
      <c r="L42" s="184" t="str">
        <f>IFERROR(__xludf.DUMMYFUNCTION("ifna(IF(and(D42=""Saída"",J42=""Sangria""),if(sum(QUERY(IMPORTRANGE(""https://docs.google.com/spreadsheets/d/1ykfbEpHEAAZVCgujsGjRFJRCTULkzlWa8UjdyLzkDBM"",""BD M Sangrias!a:i""),""select Col6 where Col7 = 'Depositada' and Col9 = '""&amp;K42&amp;""' and Col6 = """&amp;"&amp;M42&amp;"" and Col4 = date '""&amp;YEAR(C42)&amp;""-""&amp;MONTH(C42)&amp;""-""&amp;DAY(C42)&amp;""'""))&gt;0,""Depositada"",if(sum(QUERY(IMPORTRANGE(""https://docs.google.com/spreadsheets/d/1ykfbEpHEAAZVCgujsGjRFJRCTULkzlWa8UjdyLzkDBM"",""BD M Sangrias!a:i""),""select Col6 where Col7"&amp;" = 'Caixa Atendimento' and Col9 = '""&amp;K42&amp;""' and Col6 = ""&amp;M42&amp;"" and Col4 = date '""&amp;YEAR(C42)&amp;""-""&amp;MONTH(C42)&amp;""-""&amp;DAY(C42)&amp;""'""))&gt;0,""Caixa Atendimento"",""Caixa Sangria"")),""""),""Caixa Sangria"")"),"#REF!")</f>
        <v>#REF!</v>
      </c>
      <c r="M42" s="185">
        <f>IFERROR(__xludf.DUMMYFUNCTION("ifna(VALUE(REGEXEXTRACT(E42,""[0-9.]+[,]+[0-9]+"")))"),300.0)</f>
        <v>300</v>
      </c>
      <c r="N42" s="108"/>
      <c r="R42" s="110"/>
    </row>
    <row r="43" ht="14.25" customHeight="1">
      <c r="A43" s="178"/>
      <c r="B43" s="12">
        <v>1707104.0</v>
      </c>
      <c r="C43" s="13">
        <v>45928.63990740741</v>
      </c>
      <c r="D43" s="179" t="s">
        <v>152</v>
      </c>
      <c r="E43" s="180" t="s">
        <v>811</v>
      </c>
      <c r="F43" s="181"/>
      <c r="G43" s="179" t="s">
        <v>267</v>
      </c>
      <c r="H43" s="189"/>
      <c r="I43" s="189"/>
      <c r="J43" s="187" t="s">
        <v>2669</v>
      </c>
      <c r="K43" s="187"/>
      <c r="L43" s="184" t="str">
        <f>IFERROR(__xludf.DUMMYFUNCTION("ifna(IF(and(D43=""Saída"",J43=""Sangria""),if(sum(QUERY(IMPORTRANGE(""https://docs.google.com/spreadsheets/d/1ykfbEpHEAAZVCgujsGjRFJRCTULkzlWa8UjdyLzkDBM"",""BD M Sangrias!a:i""),""select Col6 where Col7 = 'Depositada' and Col9 = '""&amp;K43&amp;""' and Col6 = """&amp;"&amp;M43&amp;"" and Col4 = date '""&amp;YEAR(C43)&amp;""-""&amp;MONTH(C43)&amp;""-""&amp;DAY(C43)&amp;""'""))&gt;0,""Depositada"",if(sum(QUERY(IMPORTRANGE(""https://docs.google.com/spreadsheets/d/1ykfbEpHEAAZVCgujsGjRFJRCTULkzlWa8UjdyLzkDBM"",""BD M Sangrias!a:i""),""select Col6 where Col7"&amp;" = 'Caixa Atendimento' and Col9 = '""&amp;K43&amp;""' and Col6 = ""&amp;M43&amp;"" and Col4 = date '""&amp;YEAR(C43)&amp;""-""&amp;MONTH(C43)&amp;""-""&amp;DAY(C43)&amp;""'""))&gt;0,""Caixa Atendimento"",""Caixa Sangria"")),""""),""Caixa Sangria"")"),"")</f>
        <v/>
      </c>
      <c r="M43" s="185">
        <f>IFERROR(__xludf.DUMMYFUNCTION("ifna(VALUE(REGEXEXTRACT(E43,""[0-9.]+[,]+[0-9]+"")))"),110.0)</f>
        <v>110</v>
      </c>
      <c r="N43" s="108"/>
      <c r="R43" s="110"/>
    </row>
    <row r="44" ht="14.25" customHeight="1">
      <c r="A44" s="178"/>
      <c r="B44" s="12">
        <v>1707836.0</v>
      </c>
      <c r="C44" s="13">
        <v>45928.77106481481</v>
      </c>
      <c r="D44" s="179" t="s">
        <v>81</v>
      </c>
      <c r="E44" s="180" t="s">
        <v>6547</v>
      </c>
      <c r="F44" s="181"/>
      <c r="G44" s="179" t="s">
        <v>544</v>
      </c>
      <c r="H44" s="189"/>
      <c r="I44" s="189"/>
      <c r="J44" s="187" t="s">
        <v>2019</v>
      </c>
      <c r="K44" s="187" t="s">
        <v>2078</v>
      </c>
      <c r="L44" s="184" t="str">
        <f>IFERROR(__xludf.DUMMYFUNCTION("ifna(IF(and(D44=""Saída"",J44=""Sangria""),if(sum(QUERY(IMPORTRANGE(""https://docs.google.com/spreadsheets/d/1ykfbEpHEAAZVCgujsGjRFJRCTULkzlWa8UjdyLzkDBM"",""BD M Sangrias!a:i""),""select Col6 where Col7 = 'Depositada' and Col9 = '""&amp;K44&amp;""' and Col6 = """&amp;"&amp;M44&amp;"" and Col4 = date '""&amp;YEAR(C44)&amp;""-""&amp;MONTH(C44)&amp;""-""&amp;DAY(C44)&amp;""'""))&gt;0,""Depositada"",if(sum(QUERY(IMPORTRANGE(""https://docs.google.com/spreadsheets/d/1ykfbEpHEAAZVCgujsGjRFJRCTULkzlWa8UjdyLzkDBM"",""BD M Sangrias!a:i""),""select Col6 where Col7"&amp;" = 'Caixa Atendimento' and Col9 = '""&amp;K44&amp;""' and Col6 = ""&amp;M44&amp;"" and Col4 = date '""&amp;YEAR(C44)&amp;""-""&amp;MONTH(C44)&amp;""-""&amp;DAY(C44)&amp;""'""))&gt;0,""Caixa Atendimento"",""Caixa Sangria"")),""""),""Caixa Sangria"")"),"")</f>
        <v/>
      </c>
      <c r="M44" s="185">
        <f>IFERROR(__xludf.DUMMYFUNCTION("ifna(VALUE(REGEXEXTRACT(E44,""[0-9.]+[,]+[0-9]+"")))"),9.69)</f>
        <v>9.69</v>
      </c>
      <c r="N44" s="108"/>
      <c r="R44" s="110"/>
    </row>
    <row r="45" ht="14.25" customHeight="1">
      <c r="A45" s="178"/>
      <c r="B45" s="12">
        <v>1707854.0</v>
      </c>
      <c r="C45" s="13">
        <v>45928.773460648146</v>
      </c>
      <c r="D45" s="179" t="s">
        <v>81</v>
      </c>
      <c r="E45" s="180" t="s">
        <v>6548</v>
      </c>
      <c r="F45" s="181"/>
      <c r="G45" s="179" t="s">
        <v>6473</v>
      </c>
      <c r="H45" s="190"/>
      <c r="I45" s="190"/>
      <c r="J45" s="187" t="s">
        <v>2019</v>
      </c>
      <c r="K45" s="187" t="s">
        <v>2018</v>
      </c>
      <c r="L45" s="184" t="str">
        <f>IFERROR(__xludf.DUMMYFUNCTION("ifna(IF(and(D45=""Saída"",J45=""Sangria""),if(sum(QUERY(IMPORTRANGE(""https://docs.google.com/spreadsheets/d/1ykfbEpHEAAZVCgujsGjRFJRCTULkzlWa8UjdyLzkDBM"",""BD M Sangrias!a:i""),""select Col6 where Col7 = 'Depositada' and Col9 = '""&amp;K45&amp;""' and Col6 = """&amp;"&amp;M45&amp;"" and Col4 = date '""&amp;YEAR(C45)&amp;""-""&amp;MONTH(C45)&amp;""-""&amp;DAY(C45)&amp;""'""))&gt;0,""Depositada"",if(sum(QUERY(IMPORTRANGE(""https://docs.google.com/spreadsheets/d/1ykfbEpHEAAZVCgujsGjRFJRCTULkzlWa8UjdyLzkDBM"",""BD M Sangrias!a:i""),""select Col6 where Col7"&amp;" = 'Caixa Atendimento' and Col9 = '""&amp;K45&amp;""' and Col6 = ""&amp;M45&amp;"" and Col4 = date '""&amp;YEAR(C45)&amp;""-""&amp;MONTH(C45)&amp;""-""&amp;DAY(C45)&amp;""'""))&gt;0,""Caixa Atendimento"",""Caixa Sangria"")),""""),""Caixa Sangria"")"),"")</f>
        <v/>
      </c>
      <c r="M45" s="185">
        <f>IFERROR(__xludf.DUMMYFUNCTION("ifna(VALUE(REGEXEXTRACT(E45,""[0-9.]+[,]+[0-9]+"")))"),113.72)</f>
        <v>113.72</v>
      </c>
      <c r="N45" s="108"/>
      <c r="R45" s="110"/>
    </row>
    <row r="46" ht="18.75" customHeight="1">
      <c r="A46" s="178"/>
      <c r="B46" s="12">
        <v>1707873.0</v>
      </c>
      <c r="C46" s="13">
        <v>45928.776504629626</v>
      </c>
      <c r="D46" s="179" t="s">
        <v>152</v>
      </c>
      <c r="E46" s="180" t="s">
        <v>6549</v>
      </c>
      <c r="F46" s="181"/>
      <c r="G46" s="179" t="s">
        <v>267</v>
      </c>
      <c r="H46" s="190"/>
      <c r="I46" s="190"/>
      <c r="J46" s="187" t="s">
        <v>2669</v>
      </c>
      <c r="K46" s="187"/>
      <c r="L46" s="184" t="str">
        <f>IFERROR(__xludf.DUMMYFUNCTION("ifna(IF(and(D46=""Saída"",J46=""Sangria""),if(sum(QUERY(IMPORTRANGE(""https://docs.google.com/spreadsheets/d/1ykfbEpHEAAZVCgujsGjRFJRCTULkzlWa8UjdyLzkDBM"",""BD M Sangrias!a:i""),""select Col6 where Col7 = 'Depositada' and Col9 = '""&amp;K46&amp;""' and Col6 = """&amp;"&amp;M46&amp;"" and Col4 = date '""&amp;YEAR(C46)&amp;""-""&amp;MONTH(C46)&amp;""-""&amp;DAY(C46)&amp;""'""))&gt;0,""Depositada"",if(sum(QUERY(IMPORTRANGE(""https://docs.google.com/spreadsheets/d/1ykfbEpHEAAZVCgujsGjRFJRCTULkzlWa8UjdyLzkDBM"",""BD M Sangrias!a:i""),""select Col6 where Col7"&amp;" = 'Caixa Atendimento' and Col9 = '""&amp;K46&amp;""' and Col6 = ""&amp;M46&amp;"" and Col4 = date '""&amp;YEAR(C46)&amp;""-""&amp;MONTH(C46)&amp;""-""&amp;DAY(C46)&amp;""'""))&gt;0,""Caixa Atendimento"",""Caixa Sangria"")),""""),""Caixa Sangria"")"),"")</f>
        <v/>
      </c>
      <c r="M46" s="185">
        <f>IFERROR(__xludf.DUMMYFUNCTION("ifna(VALUE(REGEXEXTRACT(E46,""[0-9.]+[,]+[0-9]+"")))"),9.9)</f>
        <v>9.9</v>
      </c>
      <c r="N46" s="108"/>
      <c r="R46" s="110"/>
    </row>
    <row r="47" ht="14.25" customHeight="1">
      <c r="A47" s="178"/>
      <c r="B47" s="12">
        <v>1708898.0</v>
      </c>
      <c r="C47" s="13">
        <v>45928.92700231481</v>
      </c>
      <c r="D47" s="179" t="s">
        <v>81</v>
      </c>
      <c r="E47" s="180" t="s">
        <v>6550</v>
      </c>
      <c r="F47" s="181"/>
      <c r="G47" s="179" t="s">
        <v>5609</v>
      </c>
      <c r="H47" s="190"/>
      <c r="I47" s="190"/>
      <c r="J47" s="187" t="s">
        <v>2438</v>
      </c>
      <c r="K47" s="187"/>
      <c r="L47" s="184" t="str">
        <f>IFERROR(__xludf.DUMMYFUNCTION("ifna(IF(and(D47=""Saída"",J47=""Sangria""),if(sum(QUERY(IMPORTRANGE(""https://docs.google.com/spreadsheets/d/1ykfbEpHEAAZVCgujsGjRFJRCTULkzlWa8UjdyLzkDBM"",""BD M Sangrias!a:i""),""select Col6 where Col7 = 'Depositada' and Col9 = '""&amp;K47&amp;""' and Col6 = """&amp;"&amp;M47&amp;"" and Col4 = date '""&amp;YEAR(C47)&amp;""-""&amp;MONTH(C47)&amp;""-""&amp;DAY(C47)&amp;""'""))&gt;0,""Depositada"",if(sum(QUERY(IMPORTRANGE(""https://docs.google.com/spreadsheets/d/1ykfbEpHEAAZVCgujsGjRFJRCTULkzlWa8UjdyLzkDBM"",""BD M Sangrias!a:i""),""select Col6 where Col7"&amp;" = 'Caixa Atendimento' and Col9 = '""&amp;K47&amp;""' and Col6 = ""&amp;M47&amp;"" and Col4 = date '""&amp;YEAR(C47)&amp;""-""&amp;MONTH(C47)&amp;""-""&amp;DAY(C47)&amp;""'""))&gt;0,""Caixa Atendimento"",""Caixa Sangria"")),""""),""Caixa Sangria"")"),"")</f>
        <v/>
      </c>
      <c r="M47" s="185">
        <f>IFERROR(__xludf.DUMMYFUNCTION("ifna(VALUE(REGEXEXTRACT(E47,""[0-9.]+[,]+[0-9]+"")))"),62.9)</f>
        <v>62.9</v>
      </c>
      <c r="R47" s="110"/>
    </row>
    <row r="48">
      <c r="A48" s="178"/>
      <c r="B48" s="12">
        <v>1708903.0</v>
      </c>
      <c r="C48" s="13">
        <v>45928.927719907406</v>
      </c>
      <c r="D48" s="179" t="s">
        <v>81</v>
      </c>
      <c r="E48" s="180" t="s">
        <v>6551</v>
      </c>
      <c r="F48" s="188"/>
      <c r="G48" s="179" t="s">
        <v>6552</v>
      </c>
      <c r="H48" s="190"/>
      <c r="I48" s="190"/>
      <c r="J48" s="187" t="s">
        <v>1782</v>
      </c>
      <c r="K48" s="187"/>
      <c r="L48" s="184" t="str">
        <f>IFERROR(__xludf.DUMMYFUNCTION("ifna(IF(and(D48=""Saída"",J48=""Sangria""),if(sum(QUERY(IMPORTRANGE(""https://docs.google.com/spreadsheets/d/1ykfbEpHEAAZVCgujsGjRFJRCTULkzlWa8UjdyLzkDBM"",""BD M Sangrias!a:i""),""select Col6 where Col7 = 'Depositada' and Col9 = '""&amp;K48&amp;""' and Col6 = """&amp;"&amp;M48&amp;"" and Col4 = date '""&amp;YEAR(C48)&amp;""-""&amp;MONTH(C48)&amp;""-""&amp;DAY(C48)&amp;""'""))&gt;0,""Depositada"",if(sum(QUERY(IMPORTRANGE(""https://docs.google.com/spreadsheets/d/1ykfbEpHEAAZVCgujsGjRFJRCTULkzlWa8UjdyLzkDBM"",""BD M Sangrias!a:i""),""select Col6 where Col7"&amp;" = 'Caixa Atendimento' and Col9 = '""&amp;K48&amp;""' and Col6 = ""&amp;M48&amp;"" and Col4 = date '""&amp;YEAR(C48)&amp;""-""&amp;MONTH(C48)&amp;""-""&amp;DAY(C48)&amp;""'""))&gt;0,""Caixa Atendimento"",""Caixa Sangria"")),""""),""Caixa Sangria"")"),"")</f>
        <v/>
      </c>
      <c r="M48" s="185">
        <f>IFERROR(__xludf.DUMMYFUNCTION("ifna(VALUE(REGEXEXTRACT(E48,""[0-9.]+[,]+[0-9]+"")))"),246.0)</f>
        <v>246</v>
      </c>
      <c r="N48" s="193" t="str">
        <f>B8</f>
        <v/>
      </c>
      <c r="O48" s="106"/>
      <c r="P48" s="106"/>
      <c r="Q48" s="106"/>
      <c r="R48" s="110"/>
      <c r="S48" s="123" t="str">
        <f>B9</f>
        <v/>
      </c>
      <c r="T48" s="106"/>
      <c r="U48" s="106"/>
      <c r="V48" s="124"/>
    </row>
    <row r="49" ht="14.25" customHeight="1">
      <c r="A49" s="178"/>
      <c r="B49" s="12">
        <v>1708904.0</v>
      </c>
      <c r="C49" s="13">
        <v>45928.92796296296</v>
      </c>
      <c r="D49" s="179" t="s">
        <v>81</v>
      </c>
      <c r="E49" s="180" t="s">
        <v>6553</v>
      </c>
      <c r="F49" s="181"/>
      <c r="G49" s="179" t="s">
        <v>6554</v>
      </c>
      <c r="H49" s="190"/>
      <c r="I49" s="190"/>
      <c r="J49" s="187" t="s">
        <v>1782</v>
      </c>
      <c r="K49" s="187"/>
      <c r="L49" s="184" t="str">
        <f>IFERROR(__xludf.DUMMYFUNCTION("ifna(IF(and(D49=""Saída"",J49=""Sangria""),if(sum(QUERY(IMPORTRANGE(""https://docs.google.com/spreadsheets/d/1ykfbEpHEAAZVCgujsGjRFJRCTULkzlWa8UjdyLzkDBM"",""BD M Sangrias!a:i""),""select Col6 where Col7 = 'Depositada' and Col9 = '""&amp;K49&amp;""' and Col6 = """&amp;"&amp;M49&amp;"" and Col4 = date '""&amp;YEAR(C49)&amp;""-""&amp;MONTH(C49)&amp;""-""&amp;DAY(C49)&amp;""'""))&gt;0,""Depositada"",if(sum(QUERY(IMPORTRANGE(""https://docs.google.com/spreadsheets/d/1ykfbEpHEAAZVCgujsGjRFJRCTULkzlWa8UjdyLzkDBM"",""BD M Sangrias!a:i""),""select Col6 where Col7"&amp;" = 'Caixa Atendimento' and Col9 = '""&amp;K49&amp;""' and Col6 = ""&amp;M49&amp;"" and Col4 = date '""&amp;YEAR(C49)&amp;""-""&amp;MONTH(C49)&amp;""-""&amp;DAY(C49)&amp;""'""))&gt;0,""Caixa Atendimento"",""Caixa Sangria"")),""""),""Caixa Sangria"")"),"")</f>
        <v/>
      </c>
      <c r="M49" s="185">
        <f>IFERROR(__xludf.DUMMYFUNCTION("ifna(VALUE(REGEXEXTRACT(E49,""[0-9.]+[,]+[0-9]+"")))"),186.0)</f>
        <v>186</v>
      </c>
      <c r="N49" s="46" t="str">
        <f>IFERROR(__xludf.DUMMYFUNCTION("query(C28:L504,""select Col1,Col3,Col8,Col9 where (Col8 = 'Adiantamento' or Col8 = 'Consumo') and Col9 = '""&amp;B8&amp;""'"",1)"),"Data")</f>
        <v>Data</v>
      </c>
      <c r="O49" s="47" t="str">
        <f>IFERROR(__xludf.DUMMYFUNCTION("""COMPUTED_VALUE"""),"Valor ")</f>
        <v>Valor </v>
      </c>
      <c r="P49" s="47" t="str">
        <f>IFERROR(__xludf.DUMMYFUNCTION("""COMPUTED_VALUE"""),"Tipo")</f>
        <v>Tipo</v>
      </c>
      <c r="Q49" s="47" t="str">
        <f>IFERROR(__xludf.DUMMYFUNCTION("""COMPUTED_VALUE"""),"Funcionário")</f>
        <v>Funcionário</v>
      </c>
      <c r="R49" s="49"/>
      <c r="S49" s="50" t="str">
        <f>IFERROR(__xludf.DUMMYFUNCTION("query(C28:L504,""select Col1,Col3,Col8,Col9 where (Col8 = 'Adiantamento' or Col8 = 'Consumo') and Col9 = '""&amp;B9&amp;""'"",1)"),"Data")</f>
        <v>Data</v>
      </c>
      <c r="T49" s="50" t="str">
        <f>IFERROR(__xludf.DUMMYFUNCTION("""COMPUTED_VALUE"""),"Valor ")</f>
        <v>Valor </v>
      </c>
      <c r="U49" s="50" t="str">
        <f>IFERROR(__xludf.DUMMYFUNCTION("""COMPUTED_VALUE"""),"Tipo")</f>
        <v>Tipo</v>
      </c>
      <c r="V49" s="51" t="str">
        <f>IFERROR(__xludf.DUMMYFUNCTION("""COMPUTED_VALUE"""),"Funcionário")</f>
        <v>Funcionário</v>
      </c>
    </row>
    <row r="50" ht="14.25" customHeight="1">
      <c r="A50" s="178"/>
      <c r="B50" s="12">
        <v>1708909.0</v>
      </c>
      <c r="C50" s="13">
        <v>45928.92835648148</v>
      </c>
      <c r="D50" s="179" t="s">
        <v>81</v>
      </c>
      <c r="E50" s="180" t="s">
        <v>457</v>
      </c>
      <c r="F50" s="181"/>
      <c r="G50" s="179" t="s">
        <v>6555</v>
      </c>
      <c r="H50" s="190"/>
      <c r="I50" s="190"/>
      <c r="J50" s="187" t="s">
        <v>1782</v>
      </c>
      <c r="K50" s="187"/>
      <c r="L50" s="184" t="str">
        <f>IFERROR(__xludf.DUMMYFUNCTION("ifna(IF(and(D50=""Saída"",J50=""Sangria""),if(sum(QUERY(IMPORTRANGE(""https://docs.google.com/spreadsheets/d/1ykfbEpHEAAZVCgujsGjRFJRCTULkzlWa8UjdyLzkDBM"",""BD M Sangrias!a:i""),""select Col6 where Col7 = 'Depositada' and Col9 = '""&amp;K50&amp;""' and Col6 = """&amp;"&amp;M50&amp;"" and Col4 = date '""&amp;YEAR(C50)&amp;""-""&amp;MONTH(C50)&amp;""-""&amp;DAY(C50)&amp;""'""))&gt;0,""Depositada"",if(sum(QUERY(IMPORTRANGE(""https://docs.google.com/spreadsheets/d/1ykfbEpHEAAZVCgujsGjRFJRCTULkzlWa8UjdyLzkDBM"",""BD M Sangrias!a:i""),""select Col6 where Col7"&amp;" = 'Caixa Atendimento' and Col9 = '""&amp;K50&amp;""' and Col6 = ""&amp;M50&amp;"" and Col4 = date '""&amp;YEAR(C50)&amp;""-""&amp;MONTH(C50)&amp;""-""&amp;DAY(C50)&amp;""'""))&gt;0,""Caixa Atendimento"",""Caixa Sangria"")),""""),""Caixa Sangria"")"),"")</f>
        <v/>
      </c>
      <c r="M50" s="185">
        <f>IFERROR(__xludf.DUMMYFUNCTION("ifna(VALUE(REGEXEXTRACT(E50,""[0-9.]+[,]+[0-9]+"")))"),200.0)</f>
        <v>200</v>
      </c>
      <c r="N50" s="52"/>
      <c r="O50" s="53"/>
      <c r="P50" s="53"/>
      <c r="Q50" s="53"/>
      <c r="R50" s="55"/>
      <c r="S50" s="53"/>
      <c r="T50" s="53"/>
      <c r="U50" s="53"/>
      <c r="V50" s="54"/>
    </row>
    <row r="51" ht="19.5" customHeight="1">
      <c r="A51" s="178"/>
      <c r="B51" s="12">
        <v>1708964.0</v>
      </c>
      <c r="C51" s="13">
        <v>45928.933217592596</v>
      </c>
      <c r="D51" s="179" t="s">
        <v>81</v>
      </c>
      <c r="E51" s="180" t="s">
        <v>6556</v>
      </c>
      <c r="F51" s="188"/>
      <c r="G51" s="179" t="s">
        <v>381</v>
      </c>
      <c r="H51" s="190"/>
      <c r="I51" s="190"/>
      <c r="J51" s="187" t="s">
        <v>2735</v>
      </c>
      <c r="K51" s="187" t="s">
        <v>1894</v>
      </c>
      <c r="L51" s="184" t="str">
        <f>IFERROR(__xludf.DUMMYFUNCTION("ifna(IF(and(D51=""Saída"",J51=""Sangria""),if(sum(QUERY(IMPORTRANGE(""https://docs.google.com/spreadsheets/d/1ykfbEpHEAAZVCgujsGjRFJRCTULkzlWa8UjdyLzkDBM"",""BD M Sangrias!a:i""),""select Col6 where Col7 = 'Depositada' and Col9 = '""&amp;K51&amp;""' and Col6 = """&amp;"&amp;M51&amp;"" and Col4 = date '""&amp;YEAR(C51)&amp;""-""&amp;MONTH(C51)&amp;""-""&amp;DAY(C51)&amp;""'""))&gt;0,""Depositada"",if(sum(QUERY(IMPORTRANGE(""https://docs.google.com/spreadsheets/d/1ykfbEpHEAAZVCgujsGjRFJRCTULkzlWa8UjdyLzkDBM"",""BD M Sangrias!a:i""),""select Col6 where Col7"&amp;" = 'Caixa Atendimento' and Col9 = '""&amp;K51&amp;""' and Col6 = ""&amp;M51&amp;"" and Col4 = date '""&amp;YEAR(C51)&amp;""-""&amp;MONTH(C51)&amp;""-""&amp;DAY(C51)&amp;""'""))&gt;0,""Caixa Atendimento"",""Caixa Sangria"")),""""),""Caixa Sangria"")"),"#REF!")</f>
        <v>#REF!</v>
      </c>
      <c r="M51" s="185">
        <f>IFERROR(__xludf.DUMMYFUNCTION("ifna(VALUE(REGEXEXTRACT(E51,""[0-9.]+[,]+[0-9]+"")))"),1100.0)</f>
        <v>1100</v>
      </c>
      <c r="N51" s="52"/>
      <c r="O51" s="53"/>
      <c r="P51" s="53"/>
      <c r="Q51" s="53"/>
      <c r="R51" s="55"/>
      <c r="S51" s="53"/>
      <c r="T51" s="53"/>
      <c r="U51" s="53"/>
      <c r="V51" s="54"/>
    </row>
    <row r="52" ht="14.25" customHeight="1">
      <c r="A52" s="178"/>
      <c r="B52" s="12">
        <v>1709787.0</v>
      </c>
      <c r="C52" s="13">
        <v>45929.629282407404</v>
      </c>
      <c r="D52" s="179" t="s">
        <v>152</v>
      </c>
      <c r="E52" s="180" t="s">
        <v>5897</v>
      </c>
      <c r="F52" s="181"/>
      <c r="G52" s="179" t="s">
        <v>158</v>
      </c>
      <c r="H52" s="190"/>
      <c r="I52" s="190"/>
      <c r="J52" s="187" t="s">
        <v>2669</v>
      </c>
      <c r="K52" s="187"/>
      <c r="L52" s="184" t="str">
        <f>IFERROR(__xludf.DUMMYFUNCTION("ifna(IF(and(D52=""Saída"",J52=""Sangria""),if(sum(QUERY(IMPORTRANGE(""https://docs.google.com/spreadsheets/d/1ykfbEpHEAAZVCgujsGjRFJRCTULkzlWa8UjdyLzkDBM"",""BD M Sangrias!a:i""),""select Col6 where Col7 = 'Depositada' and Col9 = '""&amp;K52&amp;""' and Col6 = """&amp;"&amp;M52&amp;"" and Col4 = date '""&amp;YEAR(C52)&amp;""-""&amp;MONTH(C52)&amp;""-""&amp;DAY(C52)&amp;""'""))&gt;0,""Depositada"",if(sum(QUERY(IMPORTRANGE(""https://docs.google.com/spreadsheets/d/1ykfbEpHEAAZVCgujsGjRFJRCTULkzlWa8UjdyLzkDBM"",""BD M Sangrias!a:i""),""select Col6 where Col7"&amp;" = 'Caixa Atendimento' and Col9 = '""&amp;K52&amp;""' and Col6 = ""&amp;M52&amp;"" and Col4 = date '""&amp;YEAR(C52)&amp;""-""&amp;MONTH(C52)&amp;""-""&amp;DAY(C52)&amp;""'""))&gt;0,""Caixa Atendimento"",""Caixa Sangria"")),""""),""Caixa Sangria"")"),"")</f>
        <v/>
      </c>
      <c r="M52" s="185">
        <f>IFERROR(__xludf.DUMMYFUNCTION("ifna(VALUE(REGEXEXTRACT(E52,""[0-9.]+[,]+[0-9]+"")))"),19.75)</f>
        <v>19.75</v>
      </c>
      <c r="N52" s="52"/>
      <c r="O52" s="53"/>
      <c r="P52" s="53"/>
      <c r="Q52" s="53"/>
      <c r="R52" s="55"/>
      <c r="S52" s="53"/>
      <c r="T52" s="53"/>
      <c r="U52" s="53"/>
      <c r="V52" s="54"/>
    </row>
    <row r="53" ht="14.25" customHeight="1">
      <c r="A53" s="178"/>
      <c r="B53" s="12">
        <v>1709987.0</v>
      </c>
      <c r="C53" s="13">
        <v>45929.68430555556</v>
      </c>
      <c r="D53" s="179" t="s">
        <v>81</v>
      </c>
      <c r="E53" s="180" t="s">
        <v>4106</v>
      </c>
      <c r="F53" s="181"/>
      <c r="G53" s="179" t="s">
        <v>6557</v>
      </c>
      <c r="H53" s="190"/>
      <c r="I53" s="190"/>
      <c r="J53" s="187" t="s">
        <v>2735</v>
      </c>
      <c r="K53" s="187" t="s">
        <v>2018</v>
      </c>
      <c r="L53" s="184" t="str">
        <f>IFERROR(__xludf.DUMMYFUNCTION("ifna(IF(and(D53=""Saída"",J53=""Sangria""),if(sum(QUERY(IMPORTRANGE(""https://docs.google.com/spreadsheets/d/1ykfbEpHEAAZVCgujsGjRFJRCTULkzlWa8UjdyLzkDBM"",""BD M Sangrias!a:i""),""select Col6 where Col7 = 'Depositada' and Col9 = '""&amp;K53&amp;""' and Col6 = """&amp;"&amp;M53&amp;"" and Col4 = date '""&amp;YEAR(C53)&amp;""-""&amp;MONTH(C53)&amp;""-""&amp;DAY(C53)&amp;""'""))&gt;0,""Depositada"",if(sum(QUERY(IMPORTRANGE(""https://docs.google.com/spreadsheets/d/1ykfbEpHEAAZVCgujsGjRFJRCTULkzlWa8UjdyLzkDBM"",""BD M Sangrias!a:i""),""select Col6 where Col7"&amp;" = 'Caixa Atendimento' and Col9 = '""&amp;K53&amp;""' and Col6 = ""&amp;M53&amp;"" and Col4 = date '""&amp;YEAR(C53)&amp;""-""&amp;MONTH(C53)&amp;""-""&amp;DAY(C53)&amp;""'""))&gt;0,""Caixa Atendimento"",""Caixa Sangria"")),""""),""Caixa Sangria"")"),"#REF!")</f>
        <v>#REF!</v>
      </c>
      <c r="M53" s="185">
        <f>IFERROR(__xludf.DUMMYFUNCTION("ifna(VALUE(REGEXEXTRACT(E53,""[0-9.]+[,]+[0-9]+"")))"),750.0)</f>
        <v>750</v>
      </c>
      <c r="N53" s="52"/>
      <c r="O53" s="53"/>
      <c r="P53" s="53"/>
      <c r="Q53" s="53"/>
      <c r="R53" s="55"/>
      <c r="S53" s="53"/>
      <c r="T53" s="53"/>
      <c r="U53" s="53"/>
      <c r="V53" s="54"/>
    </row>
    <row r="54" ht="14.25" customHeight="1">
      <c r="A54" s="178"/>
      <c r="B54" s="12">
        <v>1710267.0</v>
      </c>
      <c r="C54" s="13">
        <v>45929.746412037035</v>
      </c>
      <c r="D54" s="179" t="s">
        <v>152</v>
      </c>
      <c r="E54" s="180" t="s">
        <v>155</v>
      </c>
      <c r="F54" s="181"/>
      <c r="G54" s="179" t="s">
        <v>158</v>
      </c>
      <c r="H54" s="190"/>
      <c r="I54" s="190"/>
      <c r="J54" s="187" t="s">
        <v>2669</v>
      </c>
      <c r="K54" s="187"/>
      <c r="L54" s="184" t="str">
        <f>IFERROR(__xludf.DUMMYFUNCTION("ifna(IF(and(D54=""Saída"",J54=""Sangria""),if(sum(QUERY(IMPORTRANGE(""https://docs.google.com/spreadsheets/d/1ykfbEpHEAAZVCgujsGjRFJRCTULkzlWa8UjdyLzkDBM"",""BD M Sangrias!a:i""),""select Col6 where Col7 = 'Depositada' and Col9 = '""&amp;K54&amp;""' and Col6 = """&amp;"&amp;M54&amp;"" and Col4 = date '""&amp;YEAR(C54)&amp;""-""&amp;MONTH(C54)&amp;""-""&amp;DAY(C54)&amp;""'""))&gt;0,""Depositada"",if(sum(QUERY(IMPORTRANGE(""https://docs.google.com/spreadsheets/d/1ykfbEpHEAAZVCgujsGjRFJRCTULkzlWa8UjdyLzkDBM"",""BD M Sangrias!a:i""),""select Col6 where Col7"&amp;" = 'Caixa Atendimento' and Col9 = '""&amp;K54&amp;""' and Col6 = ""&amp;M54&amp;"" and Col4 = date '""&amp;YEAR(C54)&amp;""-""&amp;MONTH(C54)&amp;""-""&amp;DAY(C54)&amp;""'""))&gt;0,""Caixa Atendimento"",""Caixa Sangria"")),""""),""Caixa Sangria"")"),"")</f>
        <v/>
      </c>
      <c r="M54" s="185">
        <f>IFERROR(__xludf.DUMMYFUNCTION("ifna(VALUE(REGEXEXTRACT(E54,""[0-9.]+[,]+[0-9]+"")))"),21.0)</f>
        <v>21</v>
      </c>
      <c r="N54" s="52"/>
      <c r="O54" s="53"/>
      <c r="P54" s="53"/>
      <c r="Q54" s="53"/>
      <c r="R54" s="55"/>
      <c r="S54" s="53"/>
      <c r="T54" s="53"/>
      <c r="U54" s="53"/>
      <c r="V54" s="54"/>
    </row>
    <row r="55" ht="14.25" customHeight="1">
      <c r="A55" s="178"/>
      <c r="B55" s="12">
        <v>1710704.0</v>
      </c>
      <c r="C55" s="13">
        <v>45929.88763888889</v>
      </c>
      <c r="D55" s="179" t="s">
        <v>81</v>
      </c>
      <c r="E55" s="180" t="s">
        <v>162</v>
      </c>
      <c r="F55" s="181"/>
      <c r="G55" s="179" t="s">
        <v>6558</v>
      </c>
      <c r="H55" s="190"/>
      <c r="I55" s="190"/>
      <c r="J55" s="187" t="s">
        <v>3151</v>
      </c>
      <c r="K55" s="187"/>
      <c r="L55" s="184" t="str">
        <f>IFERROR(__xludf.DUMMYFUNCTION("ifna(IF(and(D55=""Saída"",J55=""Sangria""),if(sum(QUERY(IMPORTRANGE(""https://docs.google.com/spreadsheets/d/1ykfbEpHEAAZVCgujsGjRFJRCTULkzlWa8UjdyLzkDBM"",""BD M Sangrias!a:i""),""select Col6 where Col7 = 'Depositada' and Col9 = '""&amp;K55&amp;""' and Col6 = """&amp;"&amp;M55&amp;"" and Col4 = date '""&amp;YEAR(C55)&amp;""-""&amp;MONTH(C55)&amp;""-""&amp;DAY(C55)&amp;""'""))&gt;0,""Depositada"",if(sum(QUERY(IMPORTRANGE(""https://docs.google.com/spreadsheets/d/1ykfbEpHEAAZVCgujsGjRFJRCTULkzlWa8UjdyLzkDBM"",""BD M Sangrias!a:i""),""select Col6 where Col7"&amp;" = 'Caixa Atendimento' and Col9 = '""&amp;K55&amp;""' and Col6 = ""&amp;M55&amp;"" and Col4 = date '""&amp;YEAR(C55)&amp;""-""&amp;MONTH(C55)&amp;""-""&amp;DAY(C55)&amp;""'""))&gt;0,""Caixa Atendimento"",""Caixa Sangria"")),""""),""Caixa Sangria"")"),"")</f>
        <v/>
      </c>
      <c r="M55" s="185">
        <f>IFERROR(__xludf.DUMMYFUNCTION("ifna(VALUE(REGEXEXTRACT(E55,""[0-9.]+[,]+[0-9]+"")))"),150.0)</f>
        <v>150</v>
      </c>
      <c r="N55" s="52"/>
      <c r="O55" s="79"/>
      <c r="P55" s="79"/>
      <c r="Q55" s="79"/>
      <c r="R55" s="81"/>
      <c r="S55" s="79"/>
      <c r="T55" s="79"/>
      <c r="U55" s="79"/>
      <c r="V55" s="80"/>
    </row>
    <row r="56" ht="14.25" customHeight="1">
      <c r="A56" s="178"/>
      <c r="B56" s="12">
        <v>1710747.0</v>
      </c>
      <c r="C56" s="13">
        <v>45929.89665509259</v>
      </c>
      <c r="D56" s="179" t="s">
        <v>81</v>
      </c>
      <c r="E56" s="180" t="s">
        <v>6500</v>
      </c>
      <c r="F56" s="181"/>
      <c r="G56" s="179" t="s">
        <v>6559</v>
      </c>
      <c r="H56" s="190"/>
      <c r="I56" s="190"/>
      <c r="J56" s="187" t="s">
        <v>1782</v>
      </c>
      <c r="K56" s="187"/>
      <c r="L56" s="184" t="str">
        <f>IFERROR(__xludf.DUMMYFUNCTION("ifna(IF(and(D56=""Saída"",J56=""Sangria""),if(sum(QUERY(IMPORTRANGE(""https://docs.google.com/spreadsheets/d/1ykfbEpHEAAZVCgujsGjRFJRCTULkzlWa8UjdyLzkDBM"",""BD M Sangrias!a:i""),""select Col6 where Col7 = 'Depositada' and Col9 = '""&amp;K56&amp;""' and Col6 = """&amp;"&amp;M56&amp;"" and Col4 = date '""&amp;YEAR(C56)&amp;""-""&amp;MONTH(C56)&amp;""-""&amp;DAY(C56)&amp;""'""))&gt;0,""Depositada"",if(sum(QUERY(IMPORTRANGE(""https://docs.google.com/spreadsheets/d/1ykfbEpHEAAZVCgujsGjRFJRCTULkzlWa8UjdyLzkDBM"",""BD M Sangrias!a:i""),""select Col6 where Col7"&amp;" = 'Caixa Atendimento' and Col9 = '""&amp;K56&amp;""' and Col6 = ""&amp;M56&amp;"" and Col4 = date '""&amp;YEAR(C56)&amp;""-""&amp;MONTH(C56)&amp;""-""&amp;DAY(C56)&amp;""'""))&gt;0,""Caixa Atendimento"",""Caixa Sangria"")),""""),""Caixa Sangria"")"),"")</f>
        <v/>
      </c>
      <c r="M56" s="185">
        <f>IFERROR(__xludf.DUMMYFUNCTION("ifna(VALUE(REGEXEXTRACT(E56,""[0-9.]+[,]+[0-9]+"")))"),43.0)</f>
        <v>43</v>
      </c>
      <c r="N56" s="88"/>
      <c r="O56" s="89"/>
      <c r="P56" s="89"/>
      <c r="Q56" s="89"/>
      <c r="R56" s="91"/>
      <c r="S56" s="89"/>
      <c r="T56" s="89"/>
      <c r="U56" s="89"/>
      <c r="V56" s="90"/>
    </row>
    <row r="57" ht="17.25" customHeight="1">
      <c r="A57" s="178"/>
      <c r="B57" s="12">
        <v>1711141.0</v>
      </c>
      <c r="C57" s="13">
        <v>45929.95482638889</v>
      </c>
      <c r="D57" s="179" t="s">
        <v>81</v>
      </c>
      <c r="E57" s="180" t="s">
        <v>296</v>
      </c>
      <c r="F57" s="188"/>
      <c r="G57" s="179" t="s">
        <v>4071</v>
      </c>
      <c r="H57" s="190"/>
      <c r="I57" s="190"/>
      <c r="J57" s="187" t="s">
        <v>2735</v>
      </c>
      <c r="K57" s="187" t="s">
        <v>2018</v>
      </c>
      <c r="L57" s="184" t="str">
        <f>IFERROR(__xludf.DUMMYFUNCTION("ifna(IF(and(D57=""Saída"",J57=""Sangria""),if(sum(QUERY(IMPORTRANGE(""https://docs.google.com/spreadsheets/d/1ykfbEpHEAAZVCgujsGjRFJRCTULkzlWa8UjdyLzkDBM"",""BD M Sangrias!a:i""),""select Col6 where Col7 = 'Depositada' and Col9 = '""&amp;K57&amp;""' and Col6 = """&amp;"&amp;M57&amp;"" and Col4 = date '""&amp;YEAR(C57)&amp;""-""&amp;MONTH(C57)&amp;""-""&amp;DAY(C57)&amp;""'""))&gt;0,""Depositada"",if(sum(QUERY(IMPORTRANGE(""https://docs.google.com/spreadsheets/d/1ykfbEpHEAAZVCgujsGjRFJRCTULkzlWa8UjdyLzkDBM"",""BD M Sangrias!a:i""),""select Col6 where Col7"&amp;" = 'Caixa Atendimento' and Col9 = '""&amp;K57&amp;""' and Col6 = ""&amp;M57&amp;"" and Col4 = date '""&amp;YEAR(C57)&amp;""-""&amp;MONTH(C57)&amp;""-""&amp;DAY(C57)&amp;""'""))&gt;0,""Caixa Atendimento"",""Caixa Sangria"")),""""),""Caixa Sangria"")"),"#REF!")</f>
        <v>#REF!</v>
      </c>
      <c r="M57" s="185">
        <f>IFERROR(__xludf.DUMMYFUNCTION("ifna(VALUE(REGEXEXTRACT(E57,""[0-9.]+[,]+[0-9]+"")))"),650.0)</f>
        <v>650</v>
      </c>
      <c r="N57" s="88"/>
      <c r="O57" s="89"/>
      <c r="P57" s="89"/>
      <c r="Q57" s="89"/>
      <c r="R57" s="91"/>
      <c r="S57" s="89"/>
      <c r="T57" s="89"/>
      <c r="U57" s="89"/>
      <c r="V57" s="90"/>
    </row>
    <row r="58" ht="14.25" customHeight="1">
      <c r="A58" s="178"/>
      <c r="B58" s="12">
        <v>1711358.0</v>
      </c>
      <c r="C58" s="13">
        <v>45930.52883101852</v>
      </c>
      <c r="D58" s="179" t="s">
        <v>152</v>
      </c>
      <c r="E58" s="180" t="s">
        <v>6560</v>
      </c>
      <c r="F58" s="181"/>
      <c r="G58" s="179" t="s">
        <v>158</v>
      </c>
      <c r="H58" s="190"/>
      <c r="I58" s="190"/>
      <c r="J58" s="187" t="s">
        <v>2669</v>
      </c>
      <c r="K58" s="187"/>
      <c r="L58" s="184" t="str">
        <f>IFERROR(__xludf.DUMMYFUNCTION("ifna(IF(and(D58=""Saída"",J58=""Sangria""),if(sum(QUERY(IMPORTRANGE(""https://docs.google.com/spreadsheets/d/1ykfbEpHEAAZVCgujsGjRFJRCTULkzlWa8UjdyLzkDBM"",""BD M Sangrias!a:i""),""select Col6 where Col7 = 'Depositada' and Col9 = '""&amp;K58&amp;""' and Col6 = """&amp;"&amp;M58&amp;"" and Col4 = date '""&amp;YEAR(C58)&amp;""-""&amp;MONTH(C58)&amp;""-""&amp;DAY(C58)&amp;""'""))&gt;0,""Depositada"",if(sum(QUERY(IMPORTRANGE(""https://docs.google.com/spreadsheets/d/1ykfbEpHEAAZVCgujsGjRFJRCTULkzlWa8UjdyLzkDBM"",""BD M Sangrias!a:i""),""select Col6 where Col7"&amp;" = 'Caixa Atendimento' and Col9 = '""&amp;K58&amp;""' and Col6 = ""&amp;M58&amp;"" and Col4 = date '""&amp;YEAR(C58)&amp;""-""&amp;MONTH(C58)&amp;""-""&amp;DAY(C58)&amp;""'""))&gt;0,""Caixa Atendimento"",""Caixa Sangria"")),""""),""Caixa Sangria"")"),"")</f>
        <v/>
      </c>
      <c r="M58" s="185">
        <f>IFERROR(__xludf.DUMMYFUNCTION("ifna(VALUE(REGEXEXTRACT(E58,""[0-9.]+[,]+[0-9]+"")))"),14.0)</f>
        <v>14</v>
      </c>
      <c r="N58" s="88"/>
      <c r="O58" s="89"/>
      <c r="P58" s="89"/>
      <c r="Q58" s="89"/>
      <c r="R58" s="91"/>
      <c r="S58" s="89"/>
      <c r="T58" s="89"/>
      <c r="U58" s="89"/>
      <c r="V58" s="90"/>
    </row>
    <row r="59" ht="14.25" customHeight="1">
      <c r="A59" s="178"/>
      <c r="B59" s="12">
        <v>1711995.0</v>
      </c>
      <c r="C59" s="13">
        <v>45930.75550925926</v>
      </c>
      <c r="D59" s="179" t="s">
        <v>152</v>
      </c>
      <c r="E59" s="180" t="s">
        <v>4106</v>
      </c>
      <c r="F59" s="181"/>
      <c r="G59" s="179" t="s">
        <v>6561</v>
      </c>
      <c r="H59" s="190"/>
      <c r="I59" s="190"/>
      <c r="J59" s="187" t="s">
        <v>2735</v>
      </c>
      <c r="K59" s="187" t="s">
        <v>2018</v>
      </c>
      <c r="L59" s="184" t="str">
        <f>IFERROR(__xludf.DUMMYFUNCTION("ifna(IF(and(D59=""Saída"",J59=""Sangria""),if(sum(QUERY(IMPORTRANGE(""https://docs.google.com/spreadsheets/d/1ykfbEpHEAAZVCgujsGjRFJRCTULkzlWa8UjdyLzkDBM"",""BD M Sangrias!a:i""),""select Col6 where Col7 = 'Depositada' and Col9 = '""&amp;K59&amp;""' and Col6 = """&amp;"&amp;M59&amp;"" and Col4 = date '""&amp;YEAR(C59)&amp;""-""&amp;MONTH(C59)&amp;""-""&amp;DAY(C59)&amp;""'""))&gt;0,""Depositada"",if(sum(QUERY(IMPORTRANGE(""https://docs.google.com/spreadsheets/d/1ykfbEpHEAAZVCgujsGjRFJRCTULkzlWa8UjdyLzkDBM"",""BD M Sangrias!a:i""),""select Col6 where Col7"&amp;" = 'Caixa Atendimento' and Col9 = '""&amp;K59&amp;""' and Col6 = ""&amp;M59&amp;"" and Col4 = date '""&amp;YEAR(C59)&amp;""-""&amp;MONTH(C59)&amp;""-""&amp;DAY(C59)&amp;""'""))&gt;0,""Caixa Atendimento"",""Caixa Sangria"")),""""),""Caixa Sangria"")"),"")</f>
        <v/>
      </c>
      <c r="M59" s="185">
        <f>IFERROR(__xludf.DUMMYFUNCTION("ifna(VALUE(REGEXEXTRACT(E59,""[0-9.]+[,]+[0-9]+"")))"),750.0)</f>
        <v>750</v>
      </c>
      <c r="N59" s="88"/>
      <c r="O59" s="89"/>
      <c r="P59" s="89"/>
      <c r="Q59" s="89"/>
      <c r="R59" s="91"/>
      <c r="S59" s="89"/>
      <c r="T59" s="89"/>
      <c r="U59" s="89"/>
      <c r="V59" s="90"/>
    </row>
    <row r="60" ht="14.25" customHeight="1">
      <c r="A60" s="178"/>
      <c r="B60" s="12">
        <v>1712038.0</v>
      </c>
      <c r="C60" s="13">
        <v>45930.77019675926</v>
      </c>
      <c r="D60" s="179" t="s">
        <v>81</v>
      </c>
      <c r="E60" s="180" t="s">
        <v>6562</v>
      </c>
      <c r="F60" s="181"/>
      <c r="G60" s="179" t="s">
        <v>6563</v>
      </c>
      <c r="H60" s="190"/>
      <c r="I60" s="190"/>
      <c r="J60" s="187" t="s">
        <v>3151</v>
      </c>
      <c r="K60" s="187"/>
      <c r="L60" s="184" t="str">
        <f>IFERROR(__xludf.DUMMYFUNCTION("ifna(IF(and(D60=""Saída"",J60=""Sangria""),if(sum(QUERY(IMPORTRANGE(""https://docs.google.com/spreadsheets/d/1ykfbEpHEAAZVCgujsGjRFJRCTULkzlWa8UjdyLzkDBM"",""BD M Sangrias!a:i""),""select Col6 where Col7 = 'Depositada' and Col9 = '""&amp;K60&amp;""' and Col6 = """&amp;"&amp;M60&amp;"" and Col4 = date '""&amp;YEAR(C60)&amp;""-""&amp;MONTH(C60)&amp;""-""&amp;DAY(C60)&amp;""'""))&gt;0,""Depositada"",if(sum(QUERY(IMPORTRANGE(""https://docs.google.com/spreadsheets/d/1ykfbEpHEAAZVCgujsGjRFJRCTULkzlWa8UjdyLzkDBM"",""BD M Sangrias!a:i""),""select Col6 where Col7"&amp;" = 'Caixa Atendimento' and Col9 = '""&amp;K60&amp;""' and Col6 = ""&amp;M60&amp;"" and Col4 = date '""&amp;YEAR(C60)&amp;""-""&amp;MONTH(C60)&amp;""-""&amp;DAY(C60)&amp;""'""))&gt;0,""Caixa Atendimento"",""Caixa Sangria"")),""""),""Caixa Sangria"")"),"")</f>
        <v/>
      </c>
      <c r="M60" s="185">
        <f>IFERROR(__xludf.DUMMYFUNCTION("ifna(VALUE(REGEXEXTRACT(E60,""[0-9.]+[,]+[0-9]+"")))"),31.8)</f>
        <v>31.8</v>
      </c>
      <c r="N60" s="194"/>
      <c r="O60" s="195"/>
      <c r="P60" s="196"/>
      <c r="Q60" s="197"/>
      <c r="R60" s="91"/>
      <c r="S60" s="89"/>
      <c r="T60" s="89"/>
      <c r="U60" s="89"/>
      <c r="V60" s="90"/>
    </row>
    <row r="61" ht="14.25" customHeight="1">
      <c r="A61" s="178"/>
      <c r="B61" s="12">
        <v>1712039.0</v>
      </c>
      <c r="C61" s="13">
        <v>45930.77050925926</v>
      </c>
      <c r="D61" s="179" t="s">
        <v>81</v>
      </c>
      <c r="E61" s="180" t="s">
        <v>6564</v>
      </c>
      <c r="F61" s="181"/>
      <c r="G61" s="179" t="s">
        <v>313</v>
      </c>
      <c r="H61" s="190"/>
      <c r="I61" s="190"/>
      <c r="J61" s="187" t="s">
        <v>3151</v>
      </c>
      <c r="K61" s="187"/>
      <c r="L61" s="184" t="str">
        <f>IFERROR(__xludf.DUMMYFUNCTION("ifna(IF(and(D61=""Saída"",J61=""Sangria""),if(sum(QUERY(IMPORTRANGE(""https://docs.google.com/spreadsheets/d/1ykfbEpHEAAZVCgujsGjRFJRCTULkzlWa8UjdyLzkDBM"",""BD M Sangrias!a:i""),""select Col6 where Col7 = 'Depositada' and Col9 = '""&amp;K61&amp;""' and Col6 = """&amp;"&amp;M61&amp;"" and Col4 = date '""&amp;YEAR(C61)&amp;""-""&amp;MONTH(C61)&amp;""-""&amp;DAY(C61)&amp;""'""))&gt;0,""Depositada"",if(sum(QUERY(IMPORTRANGE(""https://docs.google.com/spreadsheets/d/1ykfbEpHEAAZVCgujsGjRFJRCTULkzlWa8UjdyLzkDBM"",""BD M Sangrias!a:i""),""select Col6 where Col7"&amp;" = 'Caixa Atendimento' and Col9 = '""&amp;K61&amp;""' and Col6 = ""&amp;M61&amp;"" and Col4 = date '""&amp;YEAR(C61)&amp;""-""&amp;MONTH(C61)&amp;""-""&amp;DAY(C61)&amp;""'""))&gt;0,""Caixa Atendimento"",""Caixa Sangria"")),""""),""Caixa Sangria"")"),"")</f>
        <v/>
      </c>
      <c r="M61" s="185">
        <f>IFERROR(__xludf.DUMMYFUNCTION("ifna(VALUE(REGEXEXTRACT(E61,""[0-9.]+[,]+[0-9]+"")))"),273.54)</f>
        <v>273.54</v>
      </c>
      <c r="N61" s="88"/>
      <c r="O61" s="89"/>
      <c r="P61" s="89"/>
      <c r="Q61" s="89"/>
      <c r="R61" s="91"/>
      <c r="S61" s="89"/>
      <c r="T61" s="89"/>
      <c r="U61" s="89"/>
      <c r="V61" s="90"/>
    </row>
    <row r="62" ht="14.25" customHeight="1">
      <c r="A62" s="178"/>
      <c r="B62" s="12">
        <v>1712040.0</v>
      </c>
      <c r="C62" s="13">
        <v>45930.77128472222</v>
      </c>
      <c r="D62" s="179" t="s">
        <v>81</v>
      </c>
      <c r="E62" s="180" t="s">
        <v>6565</v>
      </c>
      <c r="F62" s="181"/>
      <c r="G62" s="179" t="s">
        <v>6566</v>
      </c>
      <c r="H62" s="190"/>
      <c r="I62" s="190"/>
      <c r="J62" s="187" t="s">
        <v>3151</v>
      </c>
      <c r="K62" s="187"/>
      <c r="L62" s="184" t="str">
        <f>IFERROR(__xludf.DUMMYFUNCTION("ifna(IF(and(D62=""Saída"",J62=""Sangria""),if(sum(QUERY(IMPORTRANGE(""https://docs.google.com/spreadsheets/d/1ykfbEpHEAAZVCgujsGjRFJRCTULkzlWa8UjdyLzkDBM"",""BD M Sangrias!a:i""),""select Col6 where Col7 = 'Depositada' and Col9 = '""&amp;K62&amp;""' and Col6 = """&amp;"&amp;M62&amp;"" and Col4 = date '""&amp;YEAR(C62)&amp;""-""&amp;MONTH(C62)&amp;""-""&amp;DAY(C62)&amp;""'""))&gt;0,""Depositada"",if(sum(QUERY(IMPORTRANGE(""https://docs.google.com/spreadsheets/d/1ykfbEpHEAAZVCgujsGjRFJRCTULkzlWa8UjdyLzkDBM"",""BD M Sangrias!a:i""),""select Col6 where Col7"&amp;" = 'Caixa Atendimento' and Col9 = '""&amp;K62&amp;""' and Col6 = ""&amp;M62&amp;"" and Col4 = date '""&amp;YEAR(C62)&amp;""-""&amp;MONTH(C62)&amp;""-""&amp;DAY(C62)&amp;""'""))&gt;0,""Caixa Atendimento"",""Caixa Sangria"")),""""),""Caixa Sangria"")"),"")</f>
        <v/>
      </c>
      <c r="M62" s="185">
        <f>IFERROR(__xludf.DUMMYFUNCTION("ifna(VALUE(REGEXEXTRACT(E62,""[0-9.]+[,]+[0-9]+"")))"),16.69)</f>
        <v>16.69</v>
      </c>
      <c r="N62" s="88"/>
      <c r="O62" s="89"/>
      <c r="P62" s="89"/>
      <c r="Q62" s="89"/>
      <c r="R62" s="91"/>
      <c r="S62" s="89"/>
      <c r="T62" s="89"/>
      <c r="U62" s="89"/>
      <c r="V62" s="90"/>
    </row>
    <row r="63" ht="14.25" customHeight="1">
      <c r="A63" s="178"/>
      <c r="B63" s="12">
        <v>1712052.0</v>
      </c>
      <c r="C63" s="13">
        <v>45930.77693287037</v>
      </c>
      <c r="D63" s="179" t="s">
        <v>152</v>
      </c>
      <c r="E63" s="180" t="s">
        <v>446</v>
      </c>
      <c r="F63" s="181"/>
      <c r="G63" s="179" t="s">
        <v>5296</v>
      </c>
      <c r="H63" s="190"/>
      <c r="I63" s="190"/>
      <c r="J63" s="187" t="s">
        <v>5195</v>
      </c>
      <c r="K63" s="187"/>
      <c r="L63" s="184" t="str">
        <f>IFERROR(__xludf.DUMMYFUNCTION("ifna(IF(and(D63=""Saída"",J63=""Sangria""),if(sum(QUERY(IMPORTRANGE(""https://docs.google.com/spreadsheets/d/1ykfbEpHEAAZVCgujsGjRFJRCTULkzlWa8UjdyLzkDBM"",""BD M Sangrias!a:i""),""select Col6 where Col7 = 'Depositada' and Col9 = '""&amp;K63&amp;""' and Col6 = """&amp;"&amp;M63&amp;"" and Col4 = date '""&amp;YEAR(C63)&amp;""-""&amp;MONTH(C63)&amp;""-""&amp;DAY(C63)&amp;""'""))&gt;0,""Depositada"",if(sum(QUERY(IMPORTRANGE(""https://docs.google.com/spreadsheets/d/1ykfbEpHEAAZVCgujsGjRFJRCTULkzlWa8UjdyLzkDBM"",""BD M Sangrias!a:i""),""select Col6 where Col7"&amp;" = 'Caixa Atendimento' and Col9 = '""&amp;K63&amp;""' and Col6 = ""&amp;M63&amp;"" and Col4 = date '""&amp;YEAR(C63)&amp;""-""&amp;MONTH(C63)&amp;""-""&amp;DAY(C63)&amp;""'""))&gt;0,""Caixa Atendimento"",""Caixa Sangria"")),""""),""Caixa Sangria"")"),"")</f>
        <v/>
      </c>
      <c r="M63" s="185">
        <f>IFERROR(__xludf.DUMMYFUNCTION("ifna(VALUE(REGEXEXTRACT(E63,""[0-9.]+[,]+[0-9]+"")))"),700.0)</f>
        <v>700</v>
      </c>
      <c r="N63" s="108"/>
      <c r="O63" s="109"/>
      <c r="P63" s="109"/>
      <c r="Q63" s="109"/>
      <c r="R63" s="110"/>
      <c r="S63" s="109"/>
      <c r="T63" s="109"/>
      <c r="U63" s="109"/>
      <c r="V63" s="111"/>
    </row>
    <row r="64" ht="14.25" customHeight="1">
      <c r="A64" s="178"/>
      <c r="B64" s="12">
        <v>1712055.0</v>
      </c>
      <c r="C64" s="13">
        <v>45930.778020833335</v>
      </c>
      <c r="D64" s="179" t="s">
        <v>81</v>
      </c>
      <c r="E64" s="180" t="s">
        <v>6567</v>
      </c>
      <c r="F64" s="181"/>
      <c r="G64" s="179" t="s">
        <v>6568</v>
      </c>
      <c r="H64" s="190"/>
      <c r="I64" s="190"/>
      <c r="J64" s="187" t="s">
        <v>2436</v>
      </c>
      <c r="K64" s="187"/>
      <c r="L64" s="184" t="str">
        <f>IFERROR(__xludf.DUMMYFUNCTION("ifna(IF(and(D64=""Saída"",J64=""Sangria""),if(sum(QUERY(IMPORTRANGE(""https://docs.google.com/spreadsheets/d/1ykfbEpHEAAZVCgujsGjRFJRCTULkzlWa8UjdyLzkDBM"",""BD M Sangrias!a:i""),""select Col6 where Col7 = 'Depositada' and Col9 = '""&amp;K64&amp;""' and Col6 = """&amp;"&amp;M64&amp;"" and Col4 = date '""&amp;YEAR(C64)&amp;""-""&amp;MONTH(C64)&amp;""-""&amp;DAY(C64)&amp;""'""))&gt;0,""Depositada"",if(sum(QUERY(IMPORTRANGE(""https://docs.google.com/spreadsheets/d/1ykfbEpHEAAZVCgujsGjRFJRCTULkzlWa8UjdyLzkDBM"",""BD M Sangrias!a:i""),""select Col6 where Col7"&amp;" = 'Caixa Atendimento' and Col9 = '""&amp;K64&amp;""' and Col6 = ""&amp;M64&amp;"" and Col4 = date '""&amp;YEAR(C64)&amp;""-""&amp;MONTH(C64)&amp;""-""&amp;DAY(C64)&amp;""'""))&gt;0,""Caixa Atendimento"",""Caixa Sangria"")),""""),""Caixa Sangria"")"),"")</f>
        <v/>
      </c>
      <c r="M64" s="185">
        <f>IFERROR(__xludf.DUMMYFUNCTION("ifna(VALUE(REGEXEXTRACT(E64,""[0-9.]+[,]+[0-9]+"")))"),689.0)</f>
        <v>689</v>
      </c>
      <c r="R64" s="25"/>
    </row>
    <row r="65" ht="14.25" customHeight="1">
      <c r="A65" s="178"/>
      <c r="B65" s="12">
        <v>1712089.0</v>
      </c>
      <c r="C65" s="13">
        <v>45930.78907407408</v>
      </c>
      <c r="D65" s="179" t="s">
        <v>81</v>
      </c>
      <c r="E65" s="180" t="s">
        <v>6569</v>
      </c>
      <c r="F65" s="181"/>
      <c r="G65" s="179" t="s">
        <v>629</v>
      </c>
      <c r="H65" s="190"/>
      <c r="I65" s="190"/>
      <c r="J65" s="187" t="s">
        <v>2438</v>
      </c>
      <c r="K65" s="187"/>
      <c r="L65" s="184" t="str">
        <f>IFERROR(__xludf.DUMMYFUNCTION("ifna(IF(and(D65=""Saída"",J65=""Sangria""),if(sum(QUERY(IMPORTRANGE(""https://docs.google.com/spreadsheets/d/1ykfbEpHEAAZVCgujsGjRFJRCTULkzlWa8UjdyLzkDBM"",""BD M Sangrias!a:i""),""select Col6 where Col7 = 'Depositada' and Col9 = '""&amp;K65&amp;""' and Col6 = """&amp;"&amp;M65&amp;"" and Col4 = date '""&amp;YEAR(C65)&amp;""-""&amp;MONTH(C65)&amp;""-""&amp;DAY(C65)&amp;""'""))&gt;0,""Depositada"",if(sum(QUERY(IMPORTRANGE(""https://docs.google.com/spreadsheets/d/1ykfbEpHEAAZVCgujsGjRFJRCTULkzlWa8UjdyLzkDBM"",""BD M Sangrias!a:i""),""select Col6 where Col7"&amp;" = 'Caixa Atendimento' and Col9 = '""&amp;K65&amp;""' and Col6 = ""&amp;M65&amp;"" and Col4 = date '""&amp;YEAR(C65)&amp;""-""&amp;MONTH(C65)&amp;""-""&amp;DAY(C65)&amp;""'""))&gt;0,""Caixa Atendimento"",""Caixa Sangria"")),""""),""Caixa Sangria"")"),"")</f>
        <v/>
      </c>
      <c r="M65" s="185">
        <f>IFERROR(__xludf.DUMMYFUNCTION("ifna(VALUE(REGEXEXTRACT(E65,""[0-9.]+[,]+[0-9]+"")))"),16.07)</f>
        <v>16.07</v>
      </c>
      <c r="R65" s="25"/>
    </row>
    <row r="66" ht="14.25" customHeight="1">
      <c r="A66" s="178"/>
      <c r="B66" s="12">
        <v>1712341.0</v>
      </c>
      <c r="C66" s="13">
        <v>45930.88773148148</v>
      </c>
      <c r="D66" s="179" t="s">
        <v>81</v>
      </c>
      <c r="E66" s="180" t="s">
        <v>6570</v>
      </c>
      <c r="F66" s="181"/>
      <c r="G66" s="179" t="s">
        <v>6571</v>
      </c>
      <c r="H66" s="190"/>
      <c r="I66" s="190"/>
      <c r="J66" s="187" t="s">
        <v>2436</v>
      </c>
      <c r="K66" s="187"/>
      <c r="L66" s="184" t="str">
        <f>IFERROR(__xludf.DUMMYFUNCTION("ifna(IF(and(D66=""Saída"",J66=""Sangria""),if(sum(QUERY(IMPORTRANGE(""https://docs.google.com/spreadsheets/d/1ykfbEpHEAAZVCgujsGjRFJRCTULkzlWa8UjdyLzkDBM"",""BD M Sangrias!a:i""),""select Col6 where Col7 = 'Depositada' and Col9 = '""&amp;K66&amp;""' and Col6 = """&amp;"&amp;M66&amp;"" and Col4 = date '""&amp;YEAR(C66)&amp;""-""&amp;MONTH(C66)&amp;""-""&amp;DAY(C66)&amp;""'""))&gt;0,""Depositada"",if(sum(QUERY(IMPORTRANGE(""https://docs.google.com/spreadsheets/d/1ykfbEpHEAAZVCgujsGjRFJRCTULkzlWa8UjdyLzkDBM"",""BD M Sangrias!a:i""),""select Col6 where Col7"&amp;" = 'Caixa Atendimento' and Col9 = '""&amp;K66&amp;""' and Col6 = ""&amp;M66&amp;"" and Col4 = date '""&amp;YEAR(C66)&amp;""-""&amp;MONTH(C66)&amp;""-""&amp;DAY(C66)&amp;""'""))&gt;0,""Caixa Atendimento"",""Caixa Sangria"")),""""),""Caixa Sangria"")"),"")</f>
        <v/>
      </c>
      <c r="M66" s="185">
        <f>IFERROR(__xludf.DUMMYFUNCTION("ifna(VALUE(REGEXEXTRACT(E66,""[0-9.]+[,]+[0-9]+"")))"),50.33)</f>
        <v>50.33</v>
      </c>
      <c r="R66" s="25"/>
    </row>
    <row r="67" ht="14.25" customHeight="1">
      <c r="A67" s="178"/>
      <c r="B67" s="12">
        <v>1712446.0</v>
      </c>
      <c r="C67" s="13">
        <v>45930.91008101852</v>
      </c>
      <c r="D67" s="179" t="s">
        <v>81</v>
      </c>
      <c r="E67" s="180" t="s">
        <v>446</v>
      </c>
      <c r="F67" s="188"/>
      <c r="G67" s="179" t="s">
        <v>5296</v>
      </c>
      <c r="H67" s="190"/>
      <c r="I67" s="190"/>
      <c r="J67" s="187" t="s">
        <v>5195</v>
      </c>
      <c r="K67" s="187"/>
      <c r="L67" s="184" t="str">
        <f>IFERROR(__xludf.DUMMYFUNCTION("ifna(IF(and(D67=""Saída"",J67=""Sangria""),if(sum(QUERY(IMPORTRANGE(""https://docs.google.com/spreadsheets/d/1ykfbEpHEAAZVCgujsGjRFJRCTULkzlWa8UjdyLzkDBM"",""BD M Sangrias!a:i""),""select Col6 where Col7 = 'Depositada' and Col9 = '""&amp;K67&amp;""' and Col6 = """&amp;"&amp;M67&amp;"" and Col4 = date '""&amp;YEAR(C67)&amp;""-""&amp;MONTH(C67)&amp;""-""&amp;DAY(C67)&amp;""'""))&gt;0,""Depositada"",if(sum(QUERY(IMPORTRANGE(""https://docs.google.com/spreadsheets/d/1ykfbEpHEAAZVCgujsGjRFJRCTULkzlWa8UjdyLzkDBM"",""BD M Sangrias!a:i""),""select Col6 where Col7"&amp;" = 'Caixa Atendimento' and Col9 = '""&amp;K67&amp;""' and Col6 = ""&amp;M67&amp;"" and Col4 = date '""&amp;YEAR(C67)&amp;""-""&amp;MONTH(C67)&amp;""-""&amp;DAY(C67)&amp;""'""))&gt;0,""Caixa Atendimento"",""Caixa Sangria"")),""""),""Caixa Sangria"")"),"")</f>
        <v/>
      </c>
      <c r="M67" s="185">
        <f>IFERROR(__xludf.DUMMYFUNCTION("ifna(VALUE(REGEXEXTRACT(E67,""[0-9.]+[,]+[0-9]+"")))"),700.0)</f>
        <v>700</v>
      </c>
      <c r="R67" s="25"/>
    </row>
    <row r="68">
      <c r="A68" s="178"/>
      <c r="B68" s="12">
        <v>1714342.0</v>
      </c>
      <c r="C68" s="13">
        <v>45931.956828703704</v>
      </c>
      <c r="D68" s="179" t="s">
        <v>81</v>
      </c>
      <c r="E68" s="180" t="s">
        <v>446</v>
      </c>
      <c r="F68" s="188"/>
      <c r="G68" s="179" t="s">
        <v>4071</v>
      </c>
      <c r="H68" s="190"/>
      <c r="I68" s="190"/>
      <c r="J68" s="187" t="s">
        <v>2735</v>
      </c>
      <c r="K68" s="187" t="s">
        <v>2018</v>
      </c>
      <c r="L68" s="184" t="str">
        <f>IFERROR(__xludf.DUMMYFUNCTION("ifna(IF(and(D68=""Saída"",J68=""Sangria""),if(sum(QUERY(IMPORTRANGE(""https://docs.google.com/spreadsheets/d/1ykfbEpHEAAZVCgujsGjRFJRCTULkzlWa8UjdyLzkDBM"",""BD M Sangrias!a:i""),""select Col6 where Col7 = 'Depositada' and Col9 = '""&amp;K68&amp;""' and Col6 = """&amp;"&amp;M68&amp;"" and Col4 = date '""&amp;YEAR(C68)&amp;""-""&amp;MONTH(C68)&amp;""-""&amp;DAY(C68)&amp;""'""))&gt;0,""Depositada"",if(sum(QUERY(IMPORTRANGE(""https://docs.google.com/spreadsheets/d/1ykfbEpHEAAZVCgujsGjRFJRCTULkzlWa8UjdyLzkDBM"",""BD M Sangrias!a:i""),""select Col6 where Col7"&amp;" = 'Caixa Atendimento' and Col9 = '""&amp;K68&amp;""' and Col6 = ""&amp;M68&amp;"" and Col4 = date '""&amp;YEAR(C68)&amp;""-""&amp;MONTH(C68)&amp;""-""&amp;DAY(C68)&amp;""'""))&gt;0,""Caixa Atendimento"",""Caixa Sangria"")),""""),""Caixa Sangria"")"),"#REF!")</f>
        <v>#REF!</v>
      </c>
      <c r="M68" s="185">
        <f>IFERROR(__xludf.DUMMYFUNCTION("ifna(VALUE(REGEXEXTRACT(E68,""[0-9.]+[,]+[0-9]+"")))"),700.0)</f>
        <v>700</v>
      </c>
      <c r="N68" s="193" t="str">
        <f>B10</f>
        <v/>
      </c>
      <c r="O68" s="106"/>
      <c r="P68" s="106"/>
      <c r="Q68" s="106"/>
      <c r="R68" s="122"/>
      <c r="S68" s="123" t="str">
        <f>B11</f>
        <v/>
      </c>
      <c r="T68" s="106"/>
      <c r="U68" s="106"/>
      <c r="V68" s="124"/>
    </row>
    <row r="69" ht="14.25" customHeight="1">
      <c r="A69" s="178"/>
      <c r="B69" s="12">
        <v>1714577.0</v>
      </c>
      <c r="C69" s="13">
        <v>45932.558229166665</v>
      </c>
      <c r="D69" s="179" t="s">
        <v>152</v>
      </c>
      <c r="E69" s="180" t="s">
        <v>6572</v>
      </c>
      <c r="F69" s="181"/>
      <c r="G69" s="179" t="s">
        <v>158</v>
      </c>
      <c r="H69" s="190"/>
      <c r="I69" s="190"/>
      <c r="J69" s="187" t="s">
        <v>2669</v>
      </c>
      <c r="K69" s="187"/>
      <c r="L69" s="184" t="str">
        <f>IFERROR(__xludf.DUMMYFUNCTION("ifna(IF(and(D69=""Saída"",J69=""Sangria""),if(sum(QUERY(IMPORTRANGE(""https://docs.google.com/spreadsheets/d/1ykfbEpHEAAZVCgujsGjRFJRCTULkzlWa8UjdyLzkDBM"",""BD M Sangrias!a:i""),""select Col6 where Col7 = 'Depositada' and Col9 = '""&amp;K69&amp;""' and Col6 = """&amp;"&amp;M69&amp;"" and Col4 = date '""&amp;YEAR(C69)&amp;""-""&amp;MONTH(C69)&amp;""-""&amp;DAY(C69)&amp;""'""))&gt;0,""Depositada"",if(sum(QUERY(IMPORTRANGE(""https://docs.google.com/spreadsheets/d/1ykfbEpHEAAZVCgujsGjRFJRCTULkzlWa8UjdyLzkDBM"",""BD M Sangrias!a:i""),""select Col6 where Col7"&amp;" = 'Caixa Atendimento' and Col9 = '""&amp;K69&amp;""' and Col6 = ""&amp;M69&amp;"" and Col4 = date '""&amp;YEAR(C69)&amp;""-""&amp;MONTH(C69)&amp;""-""&amp;DAY(C69)&amp;""'""))&gt;0,""Caixa Atendimento"",""Caixa Sangria"")),""""),""Caixa Sangria"")"),"")</f>
        <v/>
      </c>
      <c r="M69" s="185">
        <f>IFERROR(__xludf.DUMMYFUNCTION("ifna(VALUE(REGEXEXTRACT(E69,""[0-9.]+[,]+[0-9]+"")))"),3.7)</f>
        <v>3.7</v>
      </c>
      <c r="N69" s="46" t="str">
        <f>IFERROR(__xludf.DUMMYFUNCTION("query(C28:L504,""select Col1,Col3,Col8,Col9 where (Col8 = 'Adiantamento' or Col8 = 'Consumo') and Col9 = '""&amp;B10&amp;""'"",1)"),"Data")</f>
        <v>Data</v>
      </c>
      <c r="O69" s="47" t="str">
        <f>IFERROR(__xludf.DUMMYFUNCTION("""COMPUTED_VALUE"""),"Valor ")</f>
        <v>Valor </v>
      </c>
      <c r="P69" s="47" t="str">
        <f>IFERROR(__xludf.DUMMYFUNCTION("""COMPUTED_VALUE"""),"Tipo")</f>
        <v>Tipo</v>
      </c>
      <c r="Q69" s="47" t="str">
        <f>IFERROR(__xludf.DUMMYFUNCTION("""COMPUTED_VALUE"""),"Funcionário")</f>
        <v>Funcionário</v>
      </c>
      <c r="R69" s="49"/>
      <c r="S69" s="50" t="str">
        <f>IFERROR(__xludf.DUMMYFUNCTION("query(C28:L504,""select Col1,Col3,Col8,Col9 where (Col8 = 'Adiantamento' or Col8 = 'Consumo') and Col9 = '""&amp;B11&amp;""'"",1)"),"Data")</f>
        <v>Data</v>
      </c>
      <c r="T69" s="50" t="str">
        <f>IFERROR(__xludf.DUMMYFUNCTION("""COMPUTED_VALUE"""),"Valor ")</f>
        <v>Valor </v>
      </c>
      <c r="U69" s="50" t="str">
        <f>IFERROR(__xludf.DUMMYFUNCTION("""COMPUTED_VALUE"""),"Tipo")</f>
        <v>Tipo</v>
      </c>
      <c r="V69" s="51" t="str">
        <f>IFERROR(__xludf.DUMMYFUNCTION("""COMPUTED_VALUE"""),"Funcionário")</f>
        <v>Funcionário</v>
      </c>
    </row>
    <row r="70" ht="14.25" customHeight="1">
      <c r="A70" s="178"/>
      <c r="B70" s="12">
        <v>1714579.0</v>
      </c>
      <c r="C70" s="13">
        <v>45932.56005787037</v>
      </c>
      <c r="D70" s="179" t="s">
        <v>152</v>
      </c>
      <c r="E70" s="180" t="s">
        <v>6249</v>
      </c>
      <c r="F70" s="181"/>
      <c r="G70" s="179" t="s">
        <v>158</v>
      </c>
      <c r="H70" s="190"/>
      <c r="I70" s="190"/>
      <c r="J70" s="187" t="s">
        <v>2669</v>
      </c>
      <c r="K70" s="187"/>
      <c r="L70" s="184" t="str">
        <f>IFERROR(__xludf.DUMMYFUNCTION("ifna(IF(and(D70=""Saída"",J70=""Sangria""),if(sum(QUERY(IMPORTRANGE(""https://docs.google.com/spreadsheets/d/1ykfbEpHEAAZVCgujsGjRFJRCTULkzlWa8UjdyLzkDBM"",""BD M Sangrias!a:i""),""select Col6 where Col7 = 'Depositada' and Col9 = '""&amp;K70&amp;""' and Col6 = """&amp;"&amp;M70&amp;"" and Col4 = date '""&amp;YEAR(C70)&amp;""-""&amp;MONTH(C70)&amp;""-""&amp;DAY(C70)&amp;""'""))&gt;0,""Depositada"",if(sum(QUERY(IMPORTRANGE(""https://docs.google.com/spreadsheets/d/1ykfbEpHEAAZVCgujsGjRFJRCTULkzlWa8UjdyLzkDBM"",""BD M Sangrias!a:i""),""select Col6 where Col7"&amp;" = 'Caixa Atendimento' and Col9 = '""&amp;K70&amp;""' and Col6 = ""&amp;M70&amp;"" and Col4 = date '""&amp;YEAR(C70)&amp;""-""&amp;MONTH(C70)&amp;""-""&amp;DAY(C70)&amp;""'""))&gt;0,""Caixa Atendimento"",""Caixa Sangria"")),""""),""Caixa Sangria"")"),"")</f>
        <v/>
      </c>
      <c r="M70" s="185">
        <f>IFERROR(__xludf.DUMMYFUNCTION("ifna(VALUE(REGEXEXTRACT(E70,""[0-9.]+[,]+[0-9]+"")))"),11.0)</f>
        <v>11</v>
      </c>
      <c r="N70" s="52"/>
      <c r="O70" s="53"/>
      <c r="P70" s="53"/>
      <c r="Q70" s="53"/>
      <c r="R70" s="55"/>
      <c r="S70" s="53"/>
      <c r="T70" s="53"/>
      <c r="U70" s="53"/>
      <c r="V70" s="54"/>
    </row>
    <row r="71" ht="14.25" customHeight="1">
      <c r="A71" s="178"/>
      <c r="B71" s="12">
        <v>1714904.0</v>
      </c>
      <c r="C71" s="13">
        <v>45932.68913194445</v>
      </c>
      <c r="D71" s="179" t="s">
        <v>81</v>
      </c>
      <c r="E71" s="180" t="s">
        <v>6573</v>
      </c>
      <c r="F71" s="181"/>
      <c r="G71" s="179" t="s">
        <v>460</v>
      </c>
      <c r="H71" s="190"/>
      <c r="I71" s="190"/>
      <c r="J71" s="187" t="s">
        <v>3151</v>
      </c>
      <c r="K71" s="187"/>
      <c r="L71" s="184" t="str">
        <f>IFERROR(__xludf.DUMMYFUNCTION("ifna(IF(and(D71=""Saída"",J71=""Sangria""),if(sum(QUERY(IMPORTRANGE(""https://docs.google.com/spreadsheets/d/1ykfbEpHEAAZVCgujsGjRFJRCTULkzlWa8UjdyLzkDBM"",""BD M Sangrias!a:i""),""select Col6 where Col7 = 'Depositada' and Col9 = '""&amp;K71&amp;""' and Col6 = """&amp;"&amp;M71&amp;"" and Col4 = date '""&amp;YEAR(C71)&amp;""-""&amp;MONTH(C71)&amp;""-""&amp;DAY(C71)&amp;""'""))&gt;0,""Depositada"",if(sum(QUERY(IMPORTRANGE(""https://docs.google.com/spreadsheets/d/1ykfbEpHEAAZVCgujsGjRFJRCTULkzlWa8UjdyLzkDBM"",""BD M Sangrias!a:i""),""select Col6 where Col7"&amp;" = 'Caixa Atendimento' and Col9 = '""&amp;K71&amp;""' and Col6 = ""&amp;M71&amp;"" and Col4 = date '""&amp;YEAR(C71)&amp;""-""&amp;MONTH(C71)&amp;""-""&amp;DAY(C71)&amp;""'""))&gt;0,""Caixa Atendimento"",""Caixa Sangria"")),""""),""Caixa Sangria"")"),"")</f>
        <v/>
      </c>
      <c r="M71" s="185">
        <f>IFERROR(__xludf.DUMMYFUNCTION("ifna(VALUE(REGEXEXTRACT(E71,""[0-9.]+[,]+[0-9]+"")))"),115.0)</f>
        <v>115</v>
      </c>
      <c r="N71" s="52"/>
      <c r="O71" s="53"/>
      <c r="P71" s="53"/>
      <c r="Q71" s="53"/>
      <c r="R71" s="55"/>
      <c r="S71" s="53"/>
      <c r="T71" s="53"/>
      <c r="U71" s="53"/>
      <c r="V71" s="54"/>
    </row>
    <row r="72" ht="14.25" customHeight="1">
      <c r="A72" s="178"/>
      <c r="B72" s="12">
        <v>1715853.0</v>
      </c>
      <c r="C72" s="13">
        <v>45932.95049768518</v>
      </c>
      <c r="D72" s="179" t="s">
        <v>81</v>
      </c>
      <c r="E72" s="180" t="s">
        <v>6574</v>
      </c>
      <c r="F72" s="181"/>
      <c r="G72" s="179" t="s">
        <v>6575</v>
      </c>
      <c r="H72" s="190"/>
      <c r="I72" s="190"/>
      <c r="J72" s="187" t="s">
        <v>3151</v>
      </c>
      <c r="K72" s="187"/>
      <c r="L72" s="184" t="str">
        <f>IFERROR(__xludf.DUMMYFUNCTION("ifna(IF(and(D72=""Saída"",J72=""Sangria""),if(sum(QUERY(IMPORTRANGE(""https://docs.google.com/spreadsheets/d/1ykfbEpHEAAZVCgujsGjRFJRCTULkzlWa8UjdyLzkDBM"",""BD M Sangrias!a:i""),""select Col6 where Col7 = 'Depositada' and Col9 = '""&amp;K72&amp;""' and Col6 = """&amp;"&amp;M72&amp;"" and Col4 = date '""&amp;YEAR(C72)&amp;""-""&amp;MONTH(C72)&amp;""-""&amp;DAY(C72)&amp;""'""))&gt;0,""Depositada"",if(sum(QUERY(IMPORTRANGE(""https://docs.google.com/spreadsheets/d/1ykfbEpHEAAZVCgujsGjRFJRCTULkzlWa8UjdyLzkDBM"",""BD M Sangrias!a:i""),""select Col6 where Col7"&amp;" = 'Caixa Atendimento' and Col9 = '""&amp;K72&amp;""' and Col6 = ""&amp;M72&amp;"" and Col4 = date '""&amp;YEAR(C72)&amp;""-""&amp;MONTH(C72)&amp;""-""&amp;DAY(C72)&amp;""'""))&gt;0,""Caixa Atendimento"",""Caixa Sangria"")),""""),""Caixa Sangria"")"),"")</f>
        <v/>
      </c>
      <c r="M72" s="185">
        <f>IFERROR(__xludf.DUMMYFUNCTION("ifna(VALUE(REGEXEXTRACT(E72,""[0-9.]+[,]+[0-9]+"")))"),3.12)</f>
        <v>3.12</v>
      </c>
      <c r="N72" s="52"/>
      <c r="O72" s="53"/>
      <c r="P72" s="53"/>
      <c r="Q72" s="53"/>
      <c r="R72" s="55"/>
      <c r="S72" s="53"/>
      <c r="T72" s="53"/>
      <c r="U72" s="53"/>
      <c r="V72" s="54"/>
    </row>
    <row r="73" ht="14.25" customHeight="1">
      <c r="A73" s="178"/>
      <c r="B73" s="12">
        <v>1717480.0</v>
      </c>
      <c r="C73" s="13">
        <v>45933.94196759259</v>
      </c>
      <c r="D73" s="179" t="s">
        <v>81</v>
      </c>
      <c r="E73" s="180" t="s">
        <v>6577</v>
      </c>
      <c r="F73" s="181"/>
      <c r="G73" s="179" t="s">
        <v>6578</v>
      </c>
      <c r="H73" s="190"/>
      <c r="I73" s="190"/>
      <c r="J73" s="187" t="s">
        <v>2438</v>
      </c>
      <c r="K73" s="187"/>
      <c r="L73" s="184" t="str">
        <f>IFERROR(__xludf.DUMMYFUNCTION("ifna(IF(and(D73=""Saída"",J73=""Sangria""),if(sum(QUERY(IMPORTRANGE(""https://docs.google.com/spreadsheets/d/1ykfbEpHEAAZVCgujsGjRFJRCTULkzlWa8UjdyLzkDBM"",""BD M Sangrias!a:i""),""select Col6 where Col7 = 'Depositada' and Col9 = '""&amp;K73&amp;""' and Col6 = """&amp;"&amp;M73&amp;"" and Col4 = date '""&amp;YEAR(C73)&amp;""-""&amp;MONTH(C73)&amp;""-""&amp;DAY(C73)&amp;""'""))&gt;0,""Depositada"",if(sum(QUERY(IMPORTRANGE(""https://docs.google.com/spreadsheets/d/1ykfbEpHEAAZVCgujsGjRFJRCTULkzlWa8UjdyLzkDBM"",""BD M Sangrias!a:i""),""select Col6 where Col7"&amp;" = 'Caixa Atendimento' and Col9 = '""&amp;K73&amp;""' and Col6 = ""&amp;M73&amp;"" and Col4 = date '""&amp;YEAR(C73)&amp;""-""&amp;MONTH(C73)&amp;""-""&amp;DAY(C73)&amp;""'""))&gt;0,""Caixa Atendimento"",""Caixa Sangria"")),""""),""Caixa Sangria"")"),"")</f>
        <v/>
      </c>
      <c r="M73" s="185">
        <f>IFERROR(__xludf.DUMMYFUNCTION("ifna(VALUE(REGEXEXTRACT(E73,""[0-9.]+[,]+[0-9]+"")))"),70.57)</f>
        <v>70.57</v>
      </c>
      <c r="N73" s="52"/>
      <c r="O73" s="53"/>
      <c r="P73" s="53"/>
      <c r="Q73" s="53"/>
      <c r="R73" s="55"/>
      <c r="S73" s="53"/>
      <c r="T73" s="53"/>
      <c r="U73" s="53"/>
      <c r="V73" s="54"/>
    </row>
    <row r="74" ht="14.25" customHeight="1">
      <c r="A74" s="178"/>
      <c r="B74" s="12">
        <v>1720262.0</v>
      </c>
      <c r="C74" s="13">
        <v>45935.40225694444</v>
      </c>
      <c r="D74" s="179" t="s">
        <v>81</v>
      </c>
      <c r="E74" s="180" t="s">
        <v>6579</v>
      </c>
      <c r="F74" s="181"/>
      <c r="G74" s="179" t="s">
        <v>193</v>
      </c>
      <c r="H74" s="190"/>
      <c r="I74" s="190"/>
      <c r="J74" s="187" t="s">
        <v>3151</v>
      </c>
      <c r="K74" s="187"/>
      <c r="L74" s="184" t="str">
        <f>IFERROR(__xludf.DUMMYFUNCTION("ifna(IF(and(D74=""Saída"",J74=""Sangria""),if(sum(QUERY(IMPORTRANGE(""https://docs.google.com/spreadsheets/d/1ykfbEpHEAAZVCgujsGjRFJRCTULkzlWa8UjdyLzkDBM"",""BD M Sangrias!a:i""),""select Col6 where Col7 = 'Depositada' and Col9 = '""&amp;K74&amp;""' and Col6 = """&amp;"&amp;M74&amp;"" and Col4 = date '""&amp;YEAR(C74)&amp;""-""&amp;MONTH(C74)&amp;""-""&amp;DAY(C74)&amp;""'""))&gt;0,""Depositada"",if(sum(QUERY(IMPORTRANGE(""https://docs.google.com/spreadsheets/d/1ykfbEpHEAAZVCgujsGjRFJRCTULkzlWa8UjdyLzkDBM"",""BD M Sangrias!a:i""),""select Col6 where Col7"&amp;" = 'Caixa Atendimento' and Col9 = '""&amp;K74&amp;""' and Col6 = ""&amp;M74&amp;"" and Col4 = date '""&amp;YEAR(C74)&amp;""-""&amp;MONTH(C74)&amp;""-""&amp;DAY(C74)&amp;""'""))&gt;0,""Caixa Atendimento"",""Caixa Sangria"")),""""),""Caixa Sangria"")"),"")</f>
        <v/>
      </c>
      <c r="M74" s="185">
        <f>IFERROR(__xludf.DUMMYFUNCTION("ifna(VALUE(REGEXEXTRACT(E74,""[0-9.]+[,]+[0-9]+"")))"),11.96)</f>
        <v>11.96</v>
      </c>
      <c r="N74" s="52"/>
      <c r="O74" s="53"/>
      <c r="P74" s="53"/>
      <c r="Q74" s="53"/>
      <c r="R74" s="55"/>
      <c r="S74" s="53"/>
      <c r="T74" s="53"/>
      <c r="U74" s="53"/>
      <c r="V74" s="54"/>
    </row>
    <row r="75" ht="14.25" customHeight="1">
      <c r="A75" s="178"/>
      <c r="B75" s="12">
        <v>1720266.0</v>
      </c>
      <c r="C75" s="13">
        <v>45935.41056712963</v>
      </c>
      <c r="D75" s="179" t="s">
        <v>152</v>
      </c>
      <c r="E75" s="180" t="s">
        <v>1406</v>
      </c>
      <c r="F75" s="181"/>
      <c r="G75" s="179" t="s">
        <v>158</v>
      </c>
      <c r="H75" s="190"/>
      <c r="I75" s="190"/>
      <c r="J75" s="187" t="s">
        <v>2669</v>
      </c>
      <c r="K75" s="187"/>
      <c r="L75" s="184" t="str">
        <f>IFERROR(__xludf.DUMMYFUNCTION("ifna(IF(and(D75=""Saída"",J75=""Sangria""),if(sum(QUERY(IMPORTRANGE(""https://docs.google.com/spreadsheets/d/1ykfbEpHEAAZVCgujsGjRFJRCTULkzlWa8UjdyLzkDBM"",""BD M Sangrias!a:i""),""select Col6 where Col7 = 'Depositada' and Col9 = '""&amp;K75&amp;""' and Col6 = """&amp;"&amp;M75&amp;"" and Col4 = date '""&amp;YEAR(C75)&amp;""-""&amp;MONTH(C75)&amp;""-""&amp;DAY(C75)&amp;""'""))&gt;0,""Depositada"",if(sum(QUERY(IMPORTRANGE(""https://docs.google.com/spreadsheets/d/1ykfbEpHEAAZVCgujsGjRFJRCTULkzlWa8UjdyLzkDBM"",""BD M Sangrias!a:i""),""select Col6 where Col7"&amp;" = 'Caixa Atendimento' and Col9 = '""&amp;K75&amp;""' and Col6 = ""&amp;M75&amp;"" and Col4 = date '""&amp;YEAR(C75)&amp;""-""&amp;MONTH(C75)&amp;""-""&amp;DAY(C75)&amp;""'""))&gt;0,""Caixa Atendimento"",""Caixa Sangria"")),""""),""Caixa Sangria"")"),"")</f>
        <v/>
      </c>
      <c r="M75" s="185">
        <f>IFERROR(__xludf.DUMMYFUNCTION("ifna(VALUE(REGEXEXTRACT(E75,""[0-9.]+[,]+[0-9]+"")))"),242.0)</f>
        <v>242</v>
      </c>
      <c r="N75" s="52"/>
      <c r="O75" s="79"/>
      <c r="P75" s="79"/>
      <c r="Q75" s="79"/>
      <c r="R75" s="81"/>
      <c r="S75" s="79"/>
      <c r="T75" s="79"/>
      <c r="U75" s="79"/>
      <c r="V75" s="80"/>
    </row>
    <row r="76" ht="14.25" customHeight="1">
      <c r="A76" s="178"/>
      <c r="B76" s="12">
        <v>1723334.0</v>
      </c>
      <c r="C76" s="13">
        <v>45935.94907407407</v>
      </c>
      <c r="D76" s="179" t="s">
        <v>81</v>
      </c>
      <c r="E76" s="180" t="s">
        <v>457</v>
      </c>
      <c r="F76" s="181"/>
      <c r="G76" s="179" t="s">
        <v>6580</v>
      </c>
      <c r="H76" s="190"/>
      <c r="I76" s="190"/>
      <c r="J76" s="187" t="s">
        <v>1782</v>
      </c>
      <c r="K76" s="187"/>
      <c r="L76" s="184" t="str">
        <f>IFERROR(__xludf.DUMMYFUNCTION("ifna(IF(and(D76=""Saída"",J76=""Sangria""),if(sum(QUERY(IMPORTRANGE(""https://docs.google.com/spreadsheets/d/1ykfbEpHEAAZVCgujsGjRFJRCTULkzlWa8UjdyLzkDBM"",""BD M Sangrias!a:i""),""select Col6 where Col7 = 'Depositada' and Col9 = '""&amp;K76&amp;""' and Col6 = """&amp;"&amp;M76&amp;"" and Col4 = date '""&amp;YEAR(C76)&amp;""-""&amp;MONTH(C76)&amp;""-""&amp;DAY(C76)&amp;""'""))&gt;0,""Depositada"",if(sum(QUERY(IMPORTRANGE(""https://docs.google.com/spreadsheets/d/1ykfbEpHEAAZVCgujsGjRFJRCTULkzlWa8UjdyLzkDBM"",""BD M Sangrias!a:i""),""select Col6 where Col7"&amp;" = 'Caixa Atendimento' and Col9 = '""&amp;K76&amp;""' and Col6 = ""&amp;M76&amp;"" and Col4 = date '""&amp;YEAR(C76)&amp;""-""&amp;MONTH(C76)&amp;""-""&amp;DAY(C76)&amp;""'""))&gt;0,""Caixa Atendimento"",""Caixa Sangria"")),""""),""Caixa Sangria"")"),"")</f>
        <v/>
      </c>
      <c r="M76" s="185">
        <f>IFERROR(__xludf.DUMMYFUNCTION("ifna(VALUE(REGEXEXTRACT(E76,""[0-9.]+[,]+[0-9]+"")))"),200.0)</f>
        <v>200</v>
      </c>
      <c r="N76" s="88"/>
      <c r="O76" s="89"/>
      <c r="P76" s="89"/>
      <c r="Q76" s="89"/>
      <c r="R76" s="91"/>
      <c r="S76" s="89"/>
      <c r="T76" s="89"/>
      <c r="U76" s="89"/>
      <c r="V76" s="90"/>
    </row>
    <row r="77" ht="14.25" customHeight="1">
      <c r="A77" s="178"/>
      <c r="B77" s="12">
        <v>1723335.0</v>
      </c>
      <c r="C77" s="13">
        <v>45935.94929398148</v>
      </c>
      <c r="D77" s="179" t="s">
        <v>81</v>
      </c>
      <c r="E77" s="180" t="s">
        <v>6581</v>
      </c>
      <c r="F77" s="181"/>
      <c r="G77" s="179" t="s">
        <v>6529</v>
      </c>
      <c r="H77" s="190"/>
      <c r="I77" s="190"/>
      <c r="J77" s="187" t="s">
        <v>1782</v>
      </c>
      <c r="K77" s="187"/>
      <c r="L77" s="184" t="str">
        <f>IFERROR(__xludf.DUMMYFUNCTION("ifna(IF(and(D77=""Saída"",J77=""Sangria""),if(sum(QUERY(IMPORTRANGE(""https://docs.google.com/spreadsheets/d/1ykfbEpHEAAZVCgujsGjRFJRCTULkzlWa8UjdyLzkDBM"",""BD M Sangrias!a:i""),""select Col6 where Col7 = 'Depositada' and Col9 = '""&amp;K77&amp;""' and Col6 = """&amp;"&amp;M77&amp;"" and Col4 = date '""&amp;YEAR(C77)&amp;""-""&amp;MONTH(C77)&amp;""-""&amp;DAY(C77)&amp;""'""))&gt;0,""Depositada"",if(sum(QUERY(IMPORTRANGE(""https://docs.google.com/spreadsheets/d/1ykfbEpHEAAZVCgujsGjRFJRCTULkzlWa8UjdyLzkDBM"",""BD M Sangrias!a:i""),""select Col6 where Col7"&amp;" = 'Caixa Atendimento' and Col9 = '""&amp;K77&amp;""' and Col6 = ""&amp;M77&amp;"" and Col4 = date '""&amp;YEAR(C77)&amp;""-""&amp;MONTH(C77)&amp;""-""&amp;DAY(C77)&amp;""'""))&gt;0,""Caixa Atendimento"",""Caixa Sangria"")),""""),""Caixa Sangria"")"),"")</f>
        <v/>
      </c>
      <c r="M77" s="185">
        <f>IFERROR(__xludf.DUMMYFUNCTION("ifna(VALUE(REGEXEXTRACT(E77,""[0-9.]+[,]+[0-9]+"")))"),370.0)</f>
        <v>370</v>
      </c>
      <c r="N77" s="194"/>
      <c r="O77" s="195"/>
      <c r="P77" s="196"/>
      <c r="Q77" s="197"/>
      <c r="R77" s="91"/>
      <c r="S77" s="89"/>
      <c r="T77" s="89"/>
      <c r="U77" s="89"/>
      <c r="V77" s="90"/>
    </row>
    <row r="78" ht="14.25" customHeight="1">
      <c r="A78" s="178"/>
      <c r="B78" s="12">
        <v>1723337.0</v>
      </c>
      <c r="C78" s="13">
        <v>45935.949479166666</v>
      </c>
      <c r="D78" s="179" t="s">
        <v>81</v>
      </c>
      <c r="E78" s="180" t="s">
        <v>6582</v>
      </c>
      <c r="F78" s="188"/>
      <c r="G78" s="179" t="s">
        <v>6527</v>
      </c>
      <c r="H78" s="190"/>
      <c r="I78" s="190"/>
      <c r="J78" s="199" t="s">
        <v>1782</v>
      </c>
      <c r="K78" s="187"/>
      <c r="L78" s="184" t="str">
        <f>IFERROR(__xludf.DUMMYFUNCTION("ifna(IF(and(D78=""Saída"",J78=""Sangria""),if(sum(QUERY(IMPORTRANGE(""https://docs.google.com/spreadsheets/d/1ykfbEpHEAAZVCgujsGjRFJRCTULkzlWa8UjdyLzkDBM"",""BD M Sangrias!a:i""),""select Col6 where Col7 = 'Depositada' and Col9 = '""&amp;K78&amp;""' and Col6 = """&amp;"&amp;M78&amp;"" and Col4 = date '""&amp;YEAR(C78)&amp;""-""&amp;MONTH(C78)&amp;""-""&amp;DAY(C78)&amp;""'""))&gt;0,""Depositada"",if(sum(QUERY(IMPORTRANGE(""https://docs.google.com/spreadsheets/d/1ykfbEpHEAAZVCgujsGjRFJRCTULkzlWa8UjdyLzkDBM"",""BD M Sangrias!a:i""),""select Col6 where Col7"&amp;" = 'Caixa Atendimento' and Col9 = '""&amp;K78&amp;""' and Col6 = ""&amp;M78&amp;"" and Col4 = date '""&amp;YEAR(C78)&amp;""-""&amp;MONTH(C78)&amp;""-""&amp;DAY(C78)&amp;""'""))&gt;0,""Caixa Atendimento"",""Caixa Sangria"")),""""),""Caixa Sangria"")"),"")</f>
        <v/>
      </c>
      <c r="M78" s="185">
        <f>IFERROR(__xludf.DUMMYFUNCTION("ifna(VALUE(REGEXEXTRACT(E78,""[0-9.]+[,]+[0-9]+"")))"),320.0)</f>
        <v>320</v>
      </c>
      <c r="N78" s="194"/>
      <c r="O78" s="195"/>
      <c r="P78" s="196"/>
      <c r="Q78" s="197"/>
      <c r="R78" s="91"/>
      <c r="S78" s="89"/>
      <c r="T78" s="89"/>
      <c r="U78" s="89"/>
      <c r="V78" s="90"/>
    </row>
    <row r="79" ht="14.25" customHeight="1">
      <c r="A79" s="178"/>
      <c r="B79" s="12">
        <v>1723348.0</v>
      </c>
      <c r="C79" s="13">
        <v>45935.950578703705</v>
      </c>
      <c r="D79" s="179" t="s">
        <v>81</v>
      </c>
      <c r="E79" s="180" t="s">
        <v>6583</v>
      </c>
      <c r="F79" s="181"/>
      <c r="G79" s="179" t="s">
        <v>460</v>
      </c>
      <c r="H79" s="190"/>
      <c r="I79" s="190"/>
      <c r="J79" s="187" t="s">
        <v>3151</v>
      </c>
      <c r="K79" s="187"/>
      <c r="L79" s="184" t="str">
        <f>IFERROR(__xludf.DUMMYFUNCTION("ifna(IF(and(D79=""Saída"",J79=""Sangria""),if(sum(QUERY(IMPORTRANGE(""https://docs.google.com/spreadsheets/d/1ykfbEpHEAAZVCgujsGjRFJRCTULkzlWa8UjdyLzkDBM"",""BD M Sangrias!a:i""),""select Col6 where Col7 = 'Depositada' and Col9 = '""&amp;K79&amp;""' and Col6 = """&amp;"&amp;M79&amp;"" and Col4 = date '""&amp;YEAR(C79)&amp;""-""&amp;MONTH(C79)&amp;""-""&amp;DAY(C79)&amp;""'""))&gt;0,""Depositada"",if(sum(QUERY(IMPORTRANGE(""https://docs.google.com/spreadsheets/d/1ykfbEpHEAAZVCgujsGjRFJRCTULkzlWa8UjdyLzkDBM"",""BD M Sangrias!a:i""),""select Col6 where Col7"&amp;" = 'Caixa Atendimento' and Col9 = '""&amp;K79&amp;""' and Col6 = ""&amp;M79&amp;"" and Col4 = date '""&amp;YEAR(C79)&amp;""-""&amp;MONTH(C79)&amp;""-""&amp;DAY(C79)&amp;""'""))&gt;0,""Caixa Atendimento"",""Caixa Sangria"")),""""),""Caixa Sangria"")"),"")</f>
        <v/>
      </c>
      <c r="M79" s="185">
        <f>IFERROR(__xludf.DUMMYFUNCTION("ifna(VALUE(REGEXEXTRACT(E79,""[0-9.]+[,]+[0-9]+"")))"),252.69)</f>
        <v>252.69</v>
      </c>
      <c r="N79" s="194"/>
      <c r="O79" s="195"/>
      <c r="P79" s="196"/>
      <c r="Q79" s="197"/>
      <c r="R79" s="91"/>
      <c r="S79" s="89"/>
      <c r="T79" s="89"/>
      <c r="U79" s="89"/>
      <c r="V79" s="90"/>
    </row>
    <row r="80" ht="14.25" customHeight="1">
      <c r="A80" s="178"/>
      <c r="B80" s="12">
        <v>1723379.0</v>
      </c>
      <c r="C80" s="13">
        <v>45935.952002314814</v>
      </c>
      <c r="D80" s="179" t="s">
        <v>152</v>
      </c>
      <c r="E80" s="180" t="s">
        <v>6583</v>
      </c>
      <c r="F80" s="181"/>
      <c r="G80" s="179" t="s">
        <v>6584</v>
      </c>
      <c r="H80" s="190"/>
      <c r="I80" s="190"/>
      <c r="J80" s="187"/>
      <c r="K80" s="187"/>
      <c r="L80" s="184" t="str">
        <f>IFERROR(__xludf.DUMMYFUNCTION("ifna(IF(and(D80=""Saída"",J80=""Sangria""),if(sum(QUERY(IMPORTRANGE(""https://docs.google.com/spreadsheets/d/1ykfbEpHEAAZVCgujsGjRFJRCTULkzlWa8UjdyLzkDBM"",""BD M Sangrias!a:i""),""select Col6 where Col7 = 'Depositada' and Col9 = '""&amp;K80&amp;""' and Col6 = """&amp;"&amp;M80&amp;"" and Col4 = date '""&amp;YEAR(C80)&amp;""-""&amp;MONTH(C80)&amp;""-""&amp;DAY(C80)&amp;""'""))&gt;0,""Depositada"",if(sum(QUERY(IMPORTRANGE(""https://docs.google.com/spreadsheets/d/1ykfbEpHEAAZVCgujsGjRFJRCTULkzlWa8UjdyLzkDBM"",""BD M Sangrias!a:i""),""select Col6 where Col7"&amp;" = 'Caixa Atendimento' and Col9 = '""&amp;K80&amp;""' and Col6 = ""&amp;M80&amp;"" and Col4 = date '""&amp;YEAR(C80)&amp;""-""&amp;MONTH(C80)&amp;""-""&amp;DAY(C80)&amp;""'""))&gt;0,""Caixa Atendimento"",""Caixa Sangria"")),""""),""Caixa Sangria"")"),"")</f>
        <v/>
      </c>
      <c r="M80" s="185">
        <f>IFERROR(__xludf.DUMMYFUNCTION("ifna(VALUE(REGEXEXTRACT(E80,""[0-9.]+[,]+[0-9]+"")))"),252.69)</f>
        <v>252.69</v>
      </c>
      <c r="N80" s="194"/>
      <c r="O80" s="195"/>
      <c r="P80" s="196"/>
      <c r="Q80" s="197"/>
      <c r="R80" s="91"/>
      <c r="S80" s="89"/>
      <c r="T80" s="89"/>
      <c r="U80" s="89"/>
      <c r="V80" s="90"/>
    </row>
    <row r="81" ht="14.25" customHeight="1">
      <c r="A81" s="178"/>
      <c r="B81" s="12">
        <v>1723407.0</v>
      </c>
      <c r="C81" s="13">
        <v>45935.95380787037</v>
      </c>
      <c r="D81" s="179" t="s">
        <v>81</v>
      </c>
      <c r="E81" s="180" t="s">
        <v>6583</v>
      </c>
      <c r="F81" s="181"/>
      <c r="G81" s="179" t="s">
        <v>6585</v>
      </c>
      <c r="H81" s="190"/>
      <c r="I81" s="190"/>
      <c r="J81" s="187"/>
      <c r="K81" s="187"/>
      <c r="L81" s="184" t="str">
        <f>IFERROR(__xludf.DUMMYFUNCTION("ifna(IF(and(D81=""Saída"",J81=""Sangria""),if(sum(QUERY(IMPORTRANGE(""https://docs.google.com/spreadsheets/d/1ykfbEpHEAAZVCgujsGjRFJRCTULkzlWa8UjdyLzkDBM"",""BD M Sangrias!a:i""),""select Col6 where Col7 = 'Depositada' and Col9 = '""&amp;K81&amp;""' and Col6 = """&amp;"&amp;M81&amp;"" and Col4 = date '""&amp;YEAR(C81)&amp;""-""&amp;MONTH(C81)&amp;""-""&amp;DAY(C81)&amp;""'""))&gt;0,""Depositada"",if(sum(QUERY(IMPORTRANGE(""https://docs.google.com/spreadsheets/d/1ykfbEpHEAAZVCgujsGjRFJRCTULkzlWa8UjdyLzkDBM"",""BD M Sangrias!a:i""),""select Col6 where Col7"&amp;" = 'Caixa Atendimento' and Col9 = '""&amp;K81&amp;""' and Col6 = ""&amp;M81&amp;"" and Col4 = date '""&amp;YEAR(C81)&amp;""-""&amp;MONTH(C81)&amp;""-""&amp;DAY(C81)&amp;""'""))&gt;0,""Caixa Atendimento"",""Caixa Sangria"")),""""),""Caixa Sangria"")"),"")</f>
        <v/>
      </c>
      <c r="M81" s="185">
        <f>IFERROR(__xludf.DUMMYFUNCTION("ifna(VALUE(REGEXEXTRACT(E81,""[0-9.]+[,]+[0-9]+"")))"),252.69)</f>
        <v>252.69</v>
      </c>
      <c r="N81" s="88"/>
      <c r="O81" s="89"/>
      <c r="P81" s="89"/>
      <c r="Q81" s="89"/>
      <c r="R81" s="91"/>
      <c r="S81" s="89"/>
      <c r="T81" s="89"/>
      <c r="U81" s="89"/>
      <c r="V81" s="90"/>
    </row>
    <row r="82" ht="14.25" customHeight="1">
      <c r="A82" s="178"/>
      <c r="B82" s="12">
        <v>1723488.0</v>
      </c>
      <c r="C82" s="13">
        <v>45935.96068287037</v>
      </c>
      <c r="D82" s="179" t="s">
        <v>152</v>
      </c>
      <c r="E82" s="180" t="s">
        <v>6586</v>
      </c>
      <c r="F82" s="181"/>
      <c r="G82" s="179" t="s">
        <v>267</v>
      </c>
      <c r="H82" s="190"/>
      <c r="I82" s="190"/>
      <c r="J82" s="187" t="s">
        <v>2669</v>
      </c>
      <c r="K82" s="187"/>
      <c r="L82" s="184" t="str">
        <f>IFERROR(__xludf.DUMMYFUNCTION("ifna(IF(and(D82=""Saída"",J82=""Sangria""),if(sum(QUERY(IMPORTRANGE(""https://docs.google.com/spreadsheets/d/1ykfbEpHEAAZVCgujsGjRFJRCTULkzlWa8UjdyLzkDBM"",""BD M Sangrias!a:i""),""select Col6 where Col7 = 'Depositada' and Col9 = '""&amp;K82&amp;""' and Col6 = """&amp;"&amp;M82&amp;"" and Col4 = date '""&amp;YEAR(C82)&amp;""-""&amp;MONTH(C82)&amp;""-""&amp;DAY(C82)&amp;""'""))&gt;0,""Depositada"",if(sum(QUERY(IMPORTRANGE(""https://docs.google.com/spreadsheets/d/1ykfbEpHEAAZVCgujsGjRFJRCTULkzlWa8UjdyLzkDBM"",""BD M Sangrias!a:i""),""select Col6 where Col7"&amp;" = 'Caixa Atendimento' and Col9 = '""&amp;K82&amp;""' and Col6 = ""&amp;M82&amp;"" and Col4 = date '""&amp;YEAR(C82)&amp;""-""&amp;MONTH(C82)&amp;""-""&amp;DAY(C82)&amp;""'""))&gt;0,""Caixa Atendimento"",""Caixa Sangria"")),""""),""Caixa Sangria"")"),"")</f>
        <v/>
      </c>
      <c r="M82" s="185">
        <f>IFERROR(__xludf.DUMMYFUNCTION("ifna(VALUE(REGEXEXTRACT(E82,""[0-9.]+[,]+[0-9]+"")))"),173.5)</f>
        <v>173.5</v>
      </c>
      <c r="N82" s="88"/>
      <c r="O82" s="89"/>
      <c r="P82" s="89"/>
      <c r="Q82" s="89"/>
      <c r="R82" s="91"/>
      <c r="S82" s="89"/>
      <c r="T82" s="89"/>
      <c r="U82" s="89"/>
      <c r="V82" s="90"/>
    </row>
    <row r="83" ht="14.25" customHeight="1">
      <c r="A83" s="178"/>
      <c r="B83" s="12">
        <v>1723553.0</v>
      </c>
      <c r="C83" s="13">
        <v>45935.964837962965</v>
      </c>
      <c r="D83" s="179" t="s">
        <v>81</v>
      </c>
      <c r="E83" s="180" t="s">
        <v>411</v>
      </c>
      <c r="F83" s="181"/>
      <c r="G83" s="179" t="s">
        <v>267</v>
      </c>
      <c r="H83" s="190"/>
      <c r="I83" s="190"/>
      <c r="J83" s="187" t="s">
        <v>2735</v>
      </c>
      <c r="K83" s="187" t="s">
        <v>2018</v>
      </c>
      <c r="L83" s="184" t="str">
        <f>IFERROR(__xludf.DUMMYFUNCTION("ifna(IF(and(D83=""Saída"",J83=""Sangria""),if(sum(QUERY(IMPORTRANGE(""https://docs.google.com/spreadsheets/d/1ykfbEpHEAAZVCgujsGjRFJRCTULkzlWa8UjdyLzkDBM"",""BD M Sangrias!a:i""),""select Col6 where Col7 = 'Depositada' and Col9 = '""&amp;K83&amp;""' and Col6 = """&amp;"&amp;M83&amp;"" and Col4 = date '""&amp;YEAR(C83)&amp;""-""&amp;MONTH(C83)&amp;""-""&amp;DAY(C83)&amp;""'""))&gt;0,""Depositada"",if(sum(QUERY(IMPORTRANGE(""https://docs.google.com/spreadsheets/d/1ykfbEpHEAAZVCgujsGjRFJRCTULkzlWa8UjdyLzkDBM"",""BD M Sangrias!a:i""),""select Col6 where Col7"&amp;" = 'Caixa Atendimento' and Col9 = '""&amp;K83&amp;""' and Col6 = ""&amp;M83&amp;"" and Col4 = date '""&amp;YEAR(C83)&amp;""-""&amp;MONTH(C83)&amp;""-""&amp;DAY(C83)&amp;""'""))&gt;0,""Caixa Atendimento"",""Caixa Sangria"")),""""),""Caixa Sangria"")"),"#REF!")</f>
        <v>#REF!</v>
      </c>
      <c r="M83" s="185">
        <f>IFERROR(__xludf.DUMMYFUNCTION("ifna(VALUE(REGEXEXTRACT(E83,""[0-9.]+[,]+[0-9]+"")))"),1450.0)</f>
        <v>1450</v>
      </c>
      <c r="N83" s="108"/>
      <c r="O83" s="109"/>
      <c r="P83" s="109"/>
      <c r="Q83" s="109"/>
      <c r="R83" s="91"/>
      <c r="S83" s="109"/>
      <c r="T83" s="109"/>
      <c r="U83" s="109"/>
      <c r="V83" s="111"/>
    </row>
    <row r="84" ht="14.25" customHeight="1">
      <c r="A84" s="178"/>
      <c r="B84" s="12">
        <v>1723561.0</v>
      </c>
      <c r="C84" s="13">
        <v>45935.96571759259</v>
      </c>
      <c r="D84" s="179" t="s">
        <v>81</v>
      </c>
      <c r="E84" s="180" t="s">
        <v>5289</v>
      </c>
      <c r="F84" s="181"/>
      <c r="G84" s="179" t="s">
        <v>6587</v>
      </c>
      <c r="H84" s="190"/>
      <c r="I84" s="190"/>
      <c r="J84" s="187"/>
      <c r="K84" s="187"/>
      <c r="L84" s="184" t="str">
        <f>IFERROR(__xludf.DUMMYFUNCTION("ifna(IF(and(D84=""Saída"",J84=""Sangria""),if(sum(QUERY(IMPORTRANGE(""https://docs.google.com/spreadsheets/d/1ykfbEpHEAAZVCgujsGjRFJRCTULkzlWa8UjdyLzkDBM"",""BD M Sangrias!a:i""),""select Col6 where Col7 = 'Depositada' and Col9 = '""&amp;K84&amp;""' and Col6 = """&amp;"&amp;M84&amp;"" and Col4 = date '""&amp;YEAR(C84)&amp;""-""&amp;MONTH(C84)&amp;""-""&amp;DAY(C84)&amp;""'""))&gt;0,""Depositada"",if(sum(QUERY(IMPORTRANGE(""https://docs.google.com/spreadsheets/d/1ykfbEpHEAAZVCgujsGjRFJRCTULkzlWa8UjdyLzkDBM"",""BD M Sangrias!a:i""),""select Col6 where Col7"&amp;" = 'Caixa Atendimento' and Col9 = '""&amp;K84&amp;""' and Col6 = ""&amp;M84&amp;"" and Col4 = date '""&amp;YEAR(C84)&amp;""-""&amp;MONTH(C84)&amp;""-""&amp;DAY(C84)&amp;""'""))&gt;0,""Caixa Atendimento"",""Caixa Sangria"")),""""),""Caixa Sangria"")"),"")</f>
        <v/>
      </c>
      <c r="M84" s="185">
        <f>IFERROR(__xludf.DUMMYFUNCTION("ifna(VALUE(REGEXEXTRACT(E84,""[0-9.]+[,]+[0-9]+"")))"),0.01)</f>
        <v>0.01</v>
      </c>
      <c r="N84" s="201"/>
      <c r="O84" s="202"/>
      <c r="P84" s="202"/>
      <c r="Q84" s="202"/>
      <c r="R84" s="91"/>
      <c r="S84" s="202"/>
      <c r="T84" s="202"/>
      <c r="U84" s="202"/>
      <c r="V84" s="203"/>
    </row>
    <row r="85" ht="14.25" customHeight="1">
      <c r="A85" s="178"/>
      <c r="B85" s="12">
        <v>1724208.0</v>
      </c>
      <c r="C85" s="13">
        <v>45936.628333333334</v>
      </c>
      <c r="D85" s="179" t="s">
        <v>152</v>
      </c>
      <c r="E85" s="180" t="s">
        <v>6588</v>
      </c>
      <c r="F85" s="181"/>
      <c r="G85" s="179" t="s">
        <v>267</v>
      </c>
      <c r="H85" s="190"/>
      <c r="I85" s="190"/>
      <c r="J85" s="187" t="s">
        <v>2669</v>
      </c>
      <c r="K85" s="187"/>
      <c r="L85" s="184" t="str">
        <f>IFERROR(__xludf.DUMMYFUNCTION("ifna(IF(and(D85=""Saída"",J85=""Sangria""),if(sum(QUERY(IMPORTRANGE(""https://docs.google.com/spreadsheets/d/1ykfbEpHEAAZVCgujsGjRFJRCTULkzlWa8UjdyLzkDBM"",""BD M Sangrias!a:i""),""select Col6 where Col7 = 'Depositada' and Col9 = '""&amp;K85&amp;""' and Col6 = """&amp;"&amp;M85&amp;"" and Col4 = date '""&amp;YEAR(C85)&amp;""-""&amp;MONTH(C85)&amp;""-""&amp;DAY(C85)&amp;""'""))&gt;0,""Depositada"",if(sum(QUERY(IMPORTRANGE(""https://docs.google.com/spreadsheets/d/1ykfbEpHEAAZVCgujsGjRFJRCTULkzlWa8UjdyLzkDBM"",""BD M Sangrias!a:i""),""select Col6 where Col7"&amp;" = 'Caixa Atendimento' and Col9 = '""&amp;K85&amp;""' and Col6 = ""&amp;M85&amp;"" and Col4 = date '""&amp;YEAR(C85)&amp;""-""&amp;MONTH(C85)&amp;""-""&amp;DAY(C85)&amp;""'""))&gt;0,""Caixa Atendimento"",""Caixa Sangria"")),""""),""Caixa Sangria"")"),"")</f>
        <v/>
      </c>
      <c r="M85" s="185">
        <f>IFERROR(__xludf.DUMMYFUNCTION("ifna(VALUE(REGEXEXTRACT(E85,""[0-9.]+[,]+[0-9]+"")))"),6.8)</f>
        <v>6.8</v>
      </c>
      <c r="N85" s="201"/>
      <c r="O85" s="202"/>
      <c r="P85" s="202"/>
      <c r="Q85" s="202"/>
      <c r="R85" s="91"/>
      <c r="S85" s="202"/>
      <c r="T85" s="202"/>
      <c r="U85" s="202"/>
      <c r="V85" s="203"/>
    </row>
    <row r="86" ht="14.25" customHeight="1">
      <c r="A86" s="178"/>
      <c r="B86" s="12">
        <v>1725319.0</v>
      </c>
      <c r="C86" s="13">
        <v>45936.918900462966</v>
      </c>
      <c r="D86" s="179" t="s">
        <v>81</v>
      </c>
      <c r="E86" s="180" t="s">
        <v>5437</v>
      </c>
      <c r="F86" s="181"/>
      <c r="G86" s="179" t="s">
        <v>6589</v>
      </c>
      <c r="H86" s="190"/>
      <c r="I86" s="190"/>
      <c r="J86" s="187" t="s">
        <v>2735</v>
      </c>
      <c r="K86" s="187" t="s">
        <v>2018</v>
      </c>
      <c r="L86" s="184" t="str">
        <f>IFERROR(__xludf.DUMMYFUNCTION("ifna(IF(and(D86=""Saída"",J86=""Sangria""),if(sum(QUERY(IMPORTRANGE(""https://docs.google.com/spreadsheets/d/1ykfbEpHEAAZVCgujsGjRFJRCTULkzlWa8UjdyLzkDBM"",""BD M Sangrias!a:i""),""select Col6 where Col7 = 'Depositada' and Col9 = '""&amp;K86&amp;""' and Col6 = """&amp;"&amp;M86&amp;"" and Col4 = date '""&amp;YEAR(C86)&amp;""-""&amp;MONTH(C86)&amp;""-""&amp;DAY(C86)&amp;""'""))&gt;0,""Depositada"",if(sum(QUERY(IMPORTRANGE(""https://docs.google.com/spreadsheets/d/1ykfbEpHEAAZVCgujsGjRFJRCTULkzlWa8UjdyLzkDBM"",""BD M Sangrias!a:i""),""select Col6 where Col7"&amp;" = 'Caixa Atendimento' and Col9 = '""&amp;K86&amp;""' and Col6 = ""&amp;M86&amp;"" and Col4 = date '""&amp;YEAR(C86)&amp;""-""&amp;MONTH(C86)&amp;""-""&amp;DAY(C86)&amp;""'""))&gt;0,""Caixa Atendimento"",""Caixa Sangria"")),""""),""Caixa Sangria"")"),"#REF!")</f>
        <v>#REF!</v>
      </c>
      <c r="M86" s="185">
        <f>IFERROR(__xludf.DUMMYFUNCTION("ifna(VALUE(REGEXEXTRACT(E86,""[0-9.]+[,]+[0-9]+"")))"),600.0)</f>
        <v>600</v>
      </c>
      <c r="N86" s="201"/>
      <c r="O86" s="202"/>
      <c r="P86" s="202"/>
      <c r="Q86" s="202"/>
      <c r="R86" s="91"/>
      <c r="S86" s="202"/>
      <c r="T86" s="202"/>
      <c r="U86" s="202"/>
      <c r="V86" s="203"/>
    </row>
    <row r="87" ht="14.25" customHeight="1">
      <c r="A87" s="178"/>
      <c r="B87" s="12">
        <v>1725410.0</v>
      </c>
      <c r="C87" s="13">
        <v>45936.927199074074</v>
      </c>
      <c r="D87" s="179" t="s">
        <v>81</v>
      </c>
      <c r="E87" s="180" t="s">
        <v>6590</v>
      </c>
      <c r="F87" s="181"/>
      <c r="G87" s="179" t="s">
        <v>6591</v>
      </c>
      <c r="H87" s="190"/>
      <c r="I87" s="190"/>
      <c r="J87" s="187" t="s">
        <v>2019</v>
      </c>
      <c r="K87" s="187" t="s">
        <v>2078</v>
      </c>
      <c r="L87" s="184" t="str">
        <f>IFERROR(__xludf.DUMMYFUNCTION("ifna(IF(and(D87=""Saída"",J87=""Sangria""),if(sum(QUERY(IMPORTRANGE(""https://docs.google.com/spreadsheets/d/1ykfbEpHEAAZVCgujsGjRFJRCTULkzlWa8UjdyLzkDBM"",""BD M Sangrias!a:i""),""select Col6 where Col7 = 'Depositada' and Col9 = '""&amp;K87&amp;""' and Col6 = """&amp;"&amp;M87&amp;"" and Col4 = date '""&amp;YEAR(C87)&amp;""-""&amp;MONTH(C87)&amp;""-""&amp;DAY(C87)&amp;""'""))&gt;0,""Depositada"",if(sum(QUERY(IMPORTRANGE(""https://docs.google.com/spreadsheets/d/1ykfbEpHEAAZVCgujsGjRFJRCTULkzlWa8UjdyLzkDBM"",""BD M Sangrias!a:i""),""select Col6 where Col7"&amp;" = 'Caixa Atendimento' and Col9 = '""&amp;K87&amp;""' and Col6 = ""&amp;M87&amp;"" and Col4 = date '""&amp;YEAR(C87)&amp;""-""&amp;MONTH(C87)&amp;""-""&amp;DAY(C87)&amp;""'""))&gt;0,""Caixa Atendimento"",""Caixa Sangria"")),""""),""Caixa Sangria"")"),"")</f>
        <v/>
      </c>
      <c r="M87" s="185">
        <f>IFERROR(__xludf.DUMMYFUNCTION("ifna(VALUE(REGEXEXTRACT(E87,""[0-9.]+[,]+[0-9]+"")))"),14.09)</f>
        <v>14.09</v>
      </c>
      <c r="N87" s="201"/>
      <c r="O87" s="202"/>
      <c r="P87" s="202"/>
      <c r="Q87" s="202"/>
      <c r="R87" s="91"/>
      <c r="S87" s="202"/>
      <c r="T87" s="202"/>
      <c r="U87" s="202"/>
      <c r="V87" s="203"/>
    </row>
    <row r="88" ht="14.25" customHeight="1">
      <c r="A88" s="178"/>
      <c r="B88" s="12">
        <v>1725419.0</v>
      </c>
      <c r="C88" s="13">
        <v>45936.92774305555</v>
      </c>
      <c r="D88" s="179" t="s">
        <v>81</v>
      </c>
      <c r="E88" s="180" t="s">
        <v>6592</v>
      </c>
      <c r="F88" s="188"/>
      <c r="G88" s="179" t="s">
        <v>5861</v>
      </c>
      <c r="H88" s="190"/>
      <c r="I88" s="190"/>
      <c r="J88" s="187" t="s">
        <v>2019</v>
      </c>
      <c r="K88" s="187" t="s">
        <v>2117</v>
      </c>
      <c r="L88" s="184" t="str">
        <f>IFERROR(__xludf.DUMMYFUNCTION("ifna(IF(and(D88=""Saída"",J88=""Sangria""),if(sum(QUERY(IMPORTRANGE(""https://docs.google.com/spreadsheets/d/1ykfbEpHEAAZVCgujsGjRFJRCTULkzlWa8UjdyLzkDBM"",""BD M Sangrias!a:i""),""select Col6 where Col7 = 'Depositada' and Col9 = '""&amp;K88&amp;""' and Col6 = """&amp;"&amp;M88&amp;"" and Col4 = date '""&amp;YEAR(C88)&amp;""-""&amp;MONTH(C88)&amp;""-""&amp;DAY(C88)&amp;""'""))&gt;0,""Depositada"",if(sum(QUERY(IMPORTRANGE(""https://docs.google.com/spreadsheets/d/1ykfbEpHEAAZVCgujsGjRFJRCTULkzlWa8UjdyLzkDBM"",""BD M Sangrias!a:i""),""select Col6 where Col7"&amp;" = 'Caixa Atendimento' and Col9 = '""&amp;K88&amp;""' and Col6 = ""&amp;M88&amp;"" and Col4 = date '""&amp;YEAR(C88)&amp;""-""&amp;MONTH(C88)&amp;""-""&amp;DAY(C88)&amp;""'""))&gt;0,""Caixa Atendimento"",""Caixa Sangria"")),""""),""Caixa Sangria"")"),"")</f>
        <v/>
      </c>
      <c r="M88" s="185">
        <f>IFERROR(__xludf.DUMMYFUNCTION("ifna(VALUE(REGEXEXTRACT(E88,""[0-9.]+[,]+[0-9]+"")))"),56.11)</f>
        <v>56.11</v>
      </c>
      <c r="N88" s="204"/>
      <c r="O88" s="205"/>
      <c r="P88" s="205"/>
      <c r="Q88" s="205"/>
      <c r="R88" s="206"/>
      <c r="S88" s="205"/>
      <c r="T88" s="205"/>
      <c r="U88" s="205"/>
      <c r="V88" s="207"/>
    </row>
    <row r="89" ht="14.25" customHeight="1">
      <c r="A89" s="178"/>
      <c r="B89" s="12">
        <v>1726627.0</v>
      </c>
      <c r="C89" s="13">
        <v>45937.83611111111</v>
      </c>
      <c r="D89" s="179" t="s">
        <v>81</v>
      </c>
      <c r="E89" s="180" t="s">
        <v>5437</v>
      </c>
      <c r="F89" s="181"/>
      <c r="G89" s="179" t="s">
        <v>4071</v>
      </c>
      <c r="H89" s="190"/>
      <c r="I89" s="190"/>
      <c r="J89" s="187" t="s">
        <v>2735</v>
      </c>
      <c r="K89" s="187" t="s">
        <v>2018</v>
      </c>
      <c r="L89" s="184" t="str">
        <f>IFERROR(__xludf.DUMMYFUNCTION("ifna(IF(and(D89=""Saída"",J89=""Sangria""),if(sum(QUERY(IMPORTRANGE(""https://docs.google.com/spreadsheets/d/1ykfbEpHEAAZVCgujsGjRFJRCTULkzlWa8UjdyLzkDBM"",""BD M Sangrias!a:i""),""select Col6 where Col7 = 'Depositada' and Col9 = '""&amp;K89&amp;""' and Col6 = """&amp;"&amp;M89&amp;"" and Col4 = date '""&amp;YEAR(C89)&amp;""-""&amp;MONTH(C89)&amp;""-""&amp;DAY(C89)&amp;""'""))&gt;0,""Depositada"",if(sum(QUERY(IMPORTRANGE(""https://docs.google.com/spreadsheets/d/1ykfbEpHEAAZVCgujsGjRFJRCTULkzlWa8UjdyLzkDBM"",""BD M Sangrias!a:i""),""select Col6 where Col7"&amp;" = 'Caixa Atendimento' and Col9 = '""&amp;K89&amp;""' and Col6 = ""&amp;M89&amp;"" and Col4 = date '""&amp;YEAR(C89)&amp;""-""&amp;MONTH(C89)&amp;""-""&amp;DAY(C89)&amp;""'""))&gt;0,""Caixa Atendimento"",""Caixa Sangria"")),""""),""Caixa Sangria"")"),"#REF!")</f>
        <v>#REF!</v>
      </c>
      <c r="M89" s="185">
        <f>IFERROR(__xludf.DUMMYFUNCTION("ifna(VALUE(REGEXEXTRACT(E89,""[0-9.]+[,]+[0-9]+"")))"),600.0)</f>
        <v>600</v>
      </c>
      <c r="N89" s="25"/>
      <c r="O89" s="25"/>
      <c r="P89" s="25"/>
      <c r="Q89" s="25"/>
      <c r="R89" s="25"/>
      <c r="S89" s="25"/>
      <c r="T89" s="25"/>
      <c r="U89" s="25"/>
      <c r="V89" s="25"/>
    </row>
    <row r="90" ht="14.25" customHeight="1">
      <c r="A90" s="178"/>
      <c r="B90" s="12">
        <v>1727028.0</v>
      </c>
      <c r="C90" s="13">
        <v>45937.93579861111</v>
      </c>
      <c r="D90" s="179" t="s">
        <v>81</v>
      </c>
      <c r="E90" s="180" t="s">
        <v>6593</v>
      </c>
      <c r="F90" s="181"/>
      <c r="G90" s="179" t="s">
        <v>4041</v>
      </c>
      <c r="H90" s="190"/>
      <c r="I90" s="190"/>
      <c r="J90" s="187" t="s">
        <v>3151</v>
      </c>
      <c r="K90" s="187"/>
      <c r="L90" s="184" t="str">
        <f>IFERROR(__xludf.DUMMYFUNCTION("ifna(IF(and(D90=""Saída"",J90=""Sangria""),if(sum(QUERY(IMPORTRANGE(""https://docs.google.com/spreadsheets/d/1ykfbEpHEAAZVCgujsGjRFJRCTULkzlWa8UjdyLzkDBM"",""BD M Sangrias!a:i""),""select Col6 where Col7 = 'Depositada' and Col9 = '""&amp;K90&amp;""' and Col6 = """&amp;"&amp;M90&amp;"" and Col4 = date '""&amp;YEAR(C90)&amp;""-""&amp;MONTH(C90)&amp;""-""&amp;DAY(C90)&amp;""'""))&gt;0,""Depositada"",if(sum(QUERY(IMPORTRANGE(""https://docs.google.com/spreadsheets/d/1ykfbEpHEAAZVCgujsGjRFJRCTULkzlWa8UjdyLzkDBM"",""BD M Sangrias!a:i""),""select Col6 where Col7"&amp;" = 'Caixa Atendimento' and Col9 = '""&amp;K90&amp;""' and Col6 = ""&amp;M90&amp;"" and Col4 = date '""&amp;YEAR(C90)&amp;""-""&amp;MONTH(C90)&amp;""-""&amp;DAY(C90)&amp;""'""))&gt;0,""Caixa Atendimento"",""Caixa Sangria"")),""""),""Caixa Sangria"")"),"")</f>
        <v/>
      </c>
      <c r="M90" s="185">
        <f>IFERROR(__xludf.DUMMYFUNCTION("ifna(VALUE(REGEXEXTRACT(E90,""[0-9.]+[,]+[0-9]+"")))"),147.37)</f>
        <v>147.37</v>
      </c>
      <c r="N90" s="25"/>
      <c r="O90" s="25"/>
      <c r="P90" s="25"/>
      <c r="Q90" s="25"/>
      <c r="R90" s="25"/>
      <c r="S90" s="25"/>
      <c r="T90" s="25"/>
      <c r="U90" s="25"/>
      <c r="V90" s="25"/>
    </row>
    <row r="91" ht="14.25" customHeight="1">
      <c r="A91" s="178"/>
      <c r="B91" s="12">
        <v>1728522.0</v>
      </c>
      <c r="C91" s="13">
        <v>45938.95224537037</v>
      </c>
      <c r="D91" s="179" t="s">
        <v>81</v>
      </c>
      <c r="E91" s="180" t="s">
        <v>6594</v>
      </c>
      <c r="F91" s="181"/>
      <c r="G91" s="179" t="s">
        <v>544</v>
      </c>
      <c r="H91" s="190"/>
      <c r="I91" s="190"/>
      <c r="J91" s="187" t="s">
        <v>2019</v>
      </c>
      <c r="K91" s="187" t="s">
        <v>2078</v>
      </c>
      <c r="L91" s="184" t="str">
        <f>IFERROR(__xludf.DUMMYFUNCTION("ifna(IF(and(D91=""Saída"",J91=""Sangria""),if(sum(QUERY(IMPORTRANGE(""https://docs.google.com/spreadsheets/d/1ykfbEpHEAAZVCgujsGjRFJRCTULkzlWa8UjdyLzkDBM"",""BD M Sangrias!a:i""),""select Col6 where Col7 = 'Depositada' and Col9 = '""&amp;K91&amp;""' and Col6 = """&amp;"&amp;M91&amp;"" and Col4 = date '""&amp;YEAR(C91)&amp;""-""&amp;MONTH(C91)&amp;""-""&amp;DAY(C91)&amp;""'""))&gt;0,""Depositada"",if(sum(QUERY(IMPORTRANGE(""https://docs.google.com/spreadsheets/d/1ykfbEpHEAAZVCgujsGjRFJRCTULkzlWa8UjdyLzkDBM"",""BD M Sangrias!a:i""),""select Col6 where Col7"&amp;" = 'Caixa Atendimento' and Col9 = '""&amp;K91&amp;""' and Col6 = ""&amp;M91&amp;"" and Col4 = date '""&amp;YEAR(C91)&amp;""-""&amp;MONTH(C91)&amp;""-""&amp;DAY(C91)&amp;""'""))&gt;0,""Caixa Atendimento"",""Caixa Sangria"")),""""),""Caixa Sangria"")"),"")</f>
        <v/>
      </c>
      <c r="M91" s="185">
        <f>IFERROR(__xludf.DUMMYFUNCTION("ifna(VALUE(REGEXEXTRACT(E91,""[0-9.]+[,]+[0-9]+"")))"),18.74)</f>
        <v>18.74</v>
      </c>
      <c r="N91" s="25"/>
      <c r="O91" s="25"/>
      <c r="P91" s="25"/>
      <c r="Q91" s="25"/>
      <c r="R91" s="25"/>
      <c r="S91" s="25"/>
      <c r="T91" s="25"/>
      <c r="U91" s="25"/>
      <c r="V91" s="25"/>
    </row>
    <row r="92" ht="14.25" customHeight="1">
      <c r="A92" s="178"/>
      <c r="B92" s="12">
        <v>1728541.0</v>
      </c>
      <c r="C92" s="13">
        <v>45938.95630787037</v>
      </c>
      <c r="D92" s="179" t="s">
        <v>81</v>
      </c>
      <c r="E92" s="180" t="s">
        <v>4106</v>
      </c>
      <c r="F92" s="181"/>
      <c r="G92" s="179" t="s">
        <v>4071</v>
      </c>
      <c r="H92" s="190"/>
      <c r="I92" s="190"/>
      <c r="J92" s="187" t="s">
        <v>2735</v>
      </c>
      <c r="K92" s="187" t="s">
        <v>2018</v>
      </c>
      <c r="L92" s="184" t="str">
        <f>IFERROR(__xludf.DUMMYFUNCTION("ifna(IF(and(D92=""Saída"",J92=""Sangria""),if(sum(QUERY(IMPORTRANGE(""https://docs.google.com/spreadsheets/d/1ykfbEpHEAAZVCgujsGjRFJRCTULkzlWa8UjdyLzkDBM"",""BD M Sangrias!a:i""),""select Col6 where Col7 = 'Depositada' and Col9 = '""&amp;K92&amp;""' and Col6 = """&amp;"&amp;M92&amp;"" and Col4 = date '""&amp;YEAR(C92)&amp;""-""&amp;MONTH(C92)&amp;""-""&amp;DAY(C92)&amp;""'""))&gt;0,""Depositada"",if(sum(QUERY(IMPORTRANGE(""https://docs.google.com/spreadsheets/d/1ykfbEpHEAAZVCgujsGjRFJRCTULkzlWa8UjdyLzkDBM"",""BD M Sangrias!a:i""),""select Col6 where Col7"&amp;" = 'Caixa Atendimento' and Col9 = '""&amp;K92&amp;""' and Col6 = ""&amp;M92&amp;"" and Col4 = date '""&amp;YEAR(C92)&amp;""-""&amp;MONTH(C92)&amp;""-""&amp;DAY(C92)&amp;""'""))&gt;0,""Caixa Atendimento"",""Caixa Sangria"")),""""),""Caixa Sangria"")"),"#REF!")</f>
        <v>#REF!</v>
      </c>
      <c r="M92" s="185">
        <f>IFERROR(__xludf.DUMMYFUNCTION("ifna(VALUE(REGEXEXTRACT(E92,""[0-9.]+[,]+[0-9]+"")))"),750.0)</f>
        <v>750</v>
      </c>
      <c r="N92" s="25"/>
      <c r="O92" s="25"/>
      <c r="P92" s="25"/>
      <c r="Q92" s="25"/>
      <c r="R92" s="25"/>
      <c r="S92" s="25"/>
      <c r="T92" s="185"/>
      <c r="U92" s="185"/>
      <c r="V92" s="185"/>
    </row>
    <row r="93" ht="14.25" customHeight="1">
      <c r="A93" s="178"/>
      <c r="B93" s="12">
        <v>1729281.0</v>
      </c>
      <c r="C93" s="13">
        <v>45939.778125</v>
      </c>
      <c r="D93" s="179" t="s">
        <v>81</v>
      </c>
      <c r="E93" s="180" t="s">
        <v>6595</v>
      </c>
      <c r="F93" s="181"/>
      <c r="G93" s="179" t="s">
        <v>6596</v>
      </c>
      <c r="H93" s="190"/>
      <c r="I93" s="190"/>
      <c r="J93" s="187" t="s">
        <v>3151</v>
      </c>
      <c r="K93" s="187"/>
      <c r="L93" s="184" t="str">
        <f>IFERROR(__xludf.DUMMYFUNCTION("ifna(IF(and(D93=""Saída"",J93=""Sangria""),if(sum(QUERY(IMPORTRANGE(""https://docs.google.com/spreadsheets/d/1ykfbEpHEAAZVCgujsGjRFJRCTULkzlWa8UjdyLzkDBM"",""BD M Sangrias!a:i""),""select Col6 where Col7 = 'Depositada' and Col9 = '""&amp;K93&amp;""' and Col6 = """&amp;"&amp;M93&amp;"" and Col4 = date '""&amp;YEAR(C93)&amp;""-""&amp;MONTH(C93)&amp;""-""&amp;DAY(C93)&amp;""'""))&gt;0,""Depositada"",if(sum(QUERY(IMPORTRANGE(""https://docs.google.com/spreadsheets/d/1ykfbEpHEAAZVCgujsGjRFJRCTULkzlWa8UjdyLzkDBM"",""BD M Sangrias!a:i""),""select Col6 where Col7"&amp;" = 'Caixa Atendimento' and Col9 = '""&amp;K93&amp;""' and Col6 = ""&amp;M93&amp;"" and Col4 = date '""&amp;YEAR(C93)&amp;""-""&amp;MONTH(C93)&amp;""-""&amp;DAY(C93)&amp;""'""))&gt;0,""Caixa Atendimento"",""Caixa Sangria"")),""""),""Caixa Sangria"")"),"")</f>
        <v/>
      </c>
      <c r="M93" s="185">
        <f>IFERROR(__xludf.DUMMYFUNCTION("ifna(VALUE(REGEXEXTRACT(E93,""[0-9.]+[,]+[0-9]+"")))"),24.99)</f>
        <v>24.99</v>
      </c>
      <c r="N93" s="209" t="s">
        <v>3799</v>
      </c>
      <c r="O93" s="210"/>
      <c r="P93" s="210"/>
      <c r="Q93" s="210"/>
      <c r="R93" s="210"/>
      <c r="S93" s="59"/>
      <c r="T93" s="185"/>
      <c r="U93" s="185"/>
      <c r="V93" s="185"/>
    </row>
    <row r="94" ht="14.25" customHeight="1">
      <c r="A94" s="178"/>
      <c r="B94" s="12">
        <v>1729284.0</v>
      </c>
      <c r="C94" s="13">
        <v>45939.77855324074</v>
      </c>
      <c r="D94" s="179" t="s">
        <v>81</v>
      </c>
      <c r="E94" s="180" t="s">
        <v>6597</v>
      </c>
      <c r="F94" s="181"/>
      <c r="G94" s="179" t="s">
        <v>460</v>
      </c>
      <c r="H94" s="190"/>
      <c r="I94" s="190"/>
      <c r="J94" s="187" t="s">
        <v>3151</v>
      </c>
      <c r="K94" s="187"/>
      <c r="L94" s="184" t="str">
        <f>IFERROR(__xludf.DUMMYFUNCTION("ifna(IF(and(D94=""Saída"",J94=""Sangria""),if(sum(QUERY(IMPORTRANGE(""https://docs.google.com/spreadsheets/d/1ykfbEpHEAAZVCgujsGjRFJRCTULkzlWa8UjdyLzkDBM"",""BD M Sangrias!a:i""),""select Col6 where Col7 = 'Depositada' and Col9 = '""&amp;K94&amp;""' and Col6 = """&amp;"&amp;M94&amp;"" and Col4 = date '""&amp;YEAR(C94)&amp;""-""&amp;MONTH(C94)&amp;""-""&amp;DAY(C94)&amp;""'""))&gt;0,""Depositada"",if(sum(QUERY(IMPORTRANGE(""https://docs.google.com/spreadsheets/d/1ykfbEpHEAAZVCgujsGjRFJRCTULkzlWa8UjdyLzkDBM"",""BD M Sangrias!a:i""),""select Col6 where Col7"&amp;" = 'Caixa Atendimento' and Col9 = '""&amp;K94&amp;""' and Col6 = ""&amp;M94&amp;"" and Col4 = date '""&amp;YEAR(C94)&amp;""-""&amp;MONTH(C94)&amp;""-""&amp;DAY(C94)&amp;""'""))&gt;0,""Caixa Atendimento"",""Caixa Sangria"")),""""),""Caixa Sangria"")"),"")</f>
        <v/>
      </c>
      <c r="M94" s="185">
        <f>IFERROR(__xludf.DUMMYFUNCTION("ifna(VALUE(REGEXEXTRACT(E94,""[0-9.]+[,]+[0-9]+"")))"),21.86)</f>
        <v>21.86</v>
      </c>
      <c r="N94" s="211"/>
      <c r="S94" s="212"/>
      <c r="T94" s="185"/>
      <c r="U94" s="185"/>
      <c r="V94" s="185"/>
    </row>
    <row r="95" ht="14.25" customHeight="1">
      <c r="A95" s="178"/>
      <c r="B95" s="12">
        <v>1729347.0</v>
      </c>
      <c r="C95" s="13">
        <v>45939.80925925926</v>
      </c>
      <c r="D95" s="179" t="s">
        <v>152</v>
      </c>
      <c r="E95" s="180" t="s">
        <v>402</v>
      </c>
      <c r="F95" s="181"/>
      <c r="G95" s="179" t="s">
        <v>158</v>
      </c>
      <c r="H95" s="190"/>
      <c r="I95" s="190"/>
      <c r="J95" s="187" t="s">
        <v>2669</v>
      </c>
      <c r="K95" s="187"/>
      <c r="L95" s="184" t="str">
        <f>IFERROR(__xludf.DUMMYFUNCTION("ifna(IF(and(D95=""Saída"",J95=""Sangria""),if(sum(QUERY(IMPORTRANGE(""https://docs.google.com/spreadsheets/d/1ykfbEpHEAAZVCgujsGjRFJRCTULkzlWa8UjdyLzkDBM"",""BD M Sangrias!a:i""),""select Col6 where Col7 = 'Depositada' and Col9 = '""&amp;K95&amp;""' and Col6 = """&amp;"&amp;M95&amp;"" and Col4 = date '""&amp;YEAR(C95)&amp;""-""&amp;MONTH(C95)&amp;""-""&amp;DAY(C95)&amp;""'""))&gt;0,""Depositada"",if(sum(QUERY(IMPORTRANGE(""https://docs.google.com/spreadsheets/d/1ykfbEpHEAAZVCgujsGjRFJRCTULkzlWa8UjdyLzkDBM"",""BD M Sangrias!a:i""),""select Col6 where Col7"&amp;" = 'Caixa Atendimento' and Col9 = '""&amp;K95&amp;""' and Col6 = ""&amp;M95&amp;"" and Col4 = date '""&amp;YEAR(C95)&amp;""-""&amp;MONTH(C95)&amp;""-""&amp;DAY(C95)&amp;""'""))&gt;0,""Caixa Atendimento"",""Caixa Sangria"")),""""),""Caixa Sangria"")"),"")</f>
        <v/>
      </c>
      <c r="M95" s="185">
        <f>IFERROR(__xludf.DUMMYFUNCTION("ifna(VALUE(REGEXEXTRACT(E95,""[0-9.]+[,]+[0-9]+"")))"),20.0)</f>
        <v>20</v>
      </c>
      <c r="N95" s="213" t="s">
        <v>1</v>
      </c>
      <c r="O95" s="214" t="s">
        <v>2</v>
      </c>
      <c r="P95" s="214" t="s">
        <v>3830</v>
      </c>
      <c r="Q95" s="214" t="s">
        <v>46</v>
      </c>
      <c r="R95" s="215" t="s">
        <v>33</v>
      </c>
      <c r="S95" s="212"/>
      <c r="T95" s="185"/>
      <c r="U95" s="185"/>
      <c r="V95" s="185"/>
    </row>
    <row r="96" ht="14.25" customHeight="1">
      <c r="A96" s="178"/>
      <c r="B96" s="12">
        <v>1729917.0</v>
      </c>
      <c r="C96" s="13">
        <v>45939.98168981481</v>
      </c>
      <c r="D96" s="179" t="s">
        <v>81</v>
      </c>
      <c r="E96" s="180" t="s">
        <v>416</v>
      </c>
      <c r="F96" s="181"/>
      <c r="G96" s="179" t="s">
        <v>4071</v>
      </c>
      <c r="H96" s="190"/>
      <c r="I96" s="190"/>
      <c r="J96" s="187" t="s">
        <v>2735</v>
      </c>
      <c r="K96" s="187" t="s">
        <v>2018</v>
      </c>
      <c r="L96" s="184" t="str">
        <f>IFERROR(__xludf.DUMMYFUNCTION("ifna(IF(and(D96=""Saída"",J96=""Sangria""),if(sum(QUERY(IMPORTRANGE(""https://docs.google.com/spreadsheets/d/1ykfbEpHEAAZVCgujsGjRFJRCTULkzlWa8UjdyLzkDBM"",""BD M Sangrias!a:i""),""select Col6 where Col7 = 'Depositada' and Col9 = '""&amp;K96&amp;""' and Col6 = """&amp;"&amp;M96&amp;"" and Col4 = date '""&amp;YEAR(C96)&amp;""-""&amp;MONTH(C96)&amp;""-""&amp;DAY(C96)&amp;""'""))&gt;0,""Depositada"",if(sum(QUERY(IMPORTRANGE(""https://docs.google.com/spreadsheets/d/1ykfbEpHEAAZVCgujsGjRFJRCTULkzlWa8UjdyLzkDBM"",""BD M Sangrias!a:i""),""select Col6 where Col7"&amp;" = 'Caixa Atendimento' and Col9 = '""&amp;K96&amp;""' and Col6 = ""&amp;M96&amp;"" and Col4 = date '""&amp;YEAR(C96)&amp;""-""&amp;MONTH(C96)&amp;""-""&amp;DAY(C96)&amp;""'""))&gt;0,""Caixa Atendimento"",""Caixa Sangria"")),""""),""Caixa Sangria"")"),"#REF!")</f>
        <v>#REF!</v>
      </c>
      <c r="M96" s="185">
        <f>IFERROR(__xludf.DUMMYFUNCTION("ifna(VALUE(REGEXEXTRACT(E96,""[0-9.]+[,]+[0-9]+"")))"),100.0)</f>
        <v>100</v>
      </c>
      <c r="N96" s="216"/>
      <c r="O96" s="195"/>
      <c r="P96" s="196"/>
      <c r="Q96" s="197"/>
      <c r="R96" s="217"/>
      <c r="S96" s="218" t="str">
        <f t="shared" ref="S96:S116" si="1">IFERROR(VLOOKUP(P96, $A$4:$B$11, 2, FALSE), "")</f>
        <v/>
      </c>
      <c r="T96" s="185"/>
      <c r="U96" s="185"/>
      <c r="V96" s="185"/>
    </row>
    <row r="97" ht="14.25" customHeight="1">
      <c r="A97" s="178"/>
      <c r="B97" s="12">
        <v>1729919.0</v>
      </c>
      <c r="C97" s="13">
        <v>45939.98216435185</v>
      </c>
      <c r="D97" s="179" t="s">
        <v>81</v>
      </c>
      <c r="E97" s="180" t="s">
        <v>127</v>
      </c>
      <c r="F97" s="188"/>
      <c r="G97" s="179" t="s">
        <v>4071</v>
      </c>
      <c r="H97" s="190"/>
      <c r="I97" s="190"/>
      <c r="J97" s="16" t="s">
        <v>2735</v>
      </c>
      <c r="K97" s="187" t="s">
        <v>2018</v>
      </c>
      <c r="L97" s="184" t="str">
        <f>IFERROR(__xludf.DUMMYFUNCTION("ifna(IF(and(D97=""Saída"",J97=""Sangria""),if(sum(QUERY(IMPORTRANGE(""https://docs.google.com/spreadsheets/d/1ykfbEpHEAAZVCgujsGjRFJRCTULkzlWa8UjdyLzkDBM"",""BD M Sangrias!a:i""),""select Col6 where Col7 = 'Depositada' and Col9 = '""&amp;K97&amp;""' and Col6 = """&amp;"&amp;M97&amp;"" and Col4 = date '""&amp;YEAR(C97)&amp;""-""&amp;MONTH(C97)&amp;""-""&amp;DAY(C97)&amp;""'""))&gt;0,""Depositada"",if(sum(QUERY(IMPORTRANGE(""https://docs.google.com/spreadsheets/d/1ykfbEpHEAAZVCgujsGjRFJRCTULkzlWa8UjdyLzkDBM"",""BD M Sangrias!a:i""),""select Col6 where Col7"&amp;" = 'Caixa Atendimento' and Col9 = '""&amp;K97&amp;""' and Col6 = ""&amp;M97&amp;"" and Col4 = date '""&amp;YEAR(C97)&amp;""-""&amp;MONTH(C97)&amp;""-""&amp;DAY(C97)&amp;""'""))&gt;0,""Caixa Atendimento"",""Caixa Sangria"")),""""),""Caixa Sangria"")"),"#REF!")</f>
        <v>#REF!</v>
      </c>
      <c r="M97" s="185">
        <f>IFERROR(__xludf.DUMMYFUNCTION("ifna(VALUE(REGEXEXTRACT(E97,""[0-9.]+[,]+[0-9]+"")))"),250.0)</f>
        <v>250</v>
      </c>
      <c r="N97" s="216"/>
      <c r="O97" s="195"/>
      <c r="P97" s="196"/>
      <c r="Q97" s="197"/>
      <c r="R97" s="219"/>
      <c r="S97" s="218" t="str">
        <f t="shared" si="1"/>
        <v/>
      </c>
      <c r="T97" s="185"/>
      <c r="U97" s="185"/>
      <c r="V97" s="185"/>
    </row>
    <row r="98" ht="14.25" customHeight="1">
      <c r="A98" s="178"/>
      <c r="B98" s="12">
        <v>1730678.0</v>
      </c>
      <c r="C98" s="13">
        <v>45940.74178240741</v>
      </c>
      <c r="D98" s="179" t="s">
        <v>152</v>
      </c>
      <c r="E98" s="180" t="s">
        <v>6601</v>
      </c>
      <c r="F98" s="181"/>
      <c r="G98" s="179" t="s">
        <v>267</v>
      </c>
      <c r="H98" s="190"/>
      <c r="I98" s="190"/>
      <c r="J98" s="187" t="s">
        <v>2669</v>
      </c>
      <c r="K98" s="187"/>
      <c r="L98" s="184" t="str">
        <f>IFERROR(__xludf.DUMMYFUNCTION("ifna(IF(and(D98=""Saída"",J98=""Sangria""),if(sum(QUERY(IMPORTRANGE(""https://docs.google.com/spreadsheets/d/1ykfbEpHEAAZVCgujsGjRFJRCTULkzlWa8UjdyLzkDBM"",""BD M Sangrias!a:i""),""select Col6 where Col7 = 'Depositada' and Col9 = '""&amp;K98&amp;""' and Col6 = """&amp;"&amp;M98&amp;"" and Col4 = date '""&amp;YEAR(C98)&amp;""-""&amp;MONTH(C98)&amp;""-""&amp;DAY(C98)&amp;""'""))&gt;0,""Depositada"",if(sum(QUERY(IMPORTRANGE(""https://docs.google.com/spreadsheets/d/1ykfbEpHEAAZVCgujsGjRFJRCTULkzlWa8UjdyLzkDBM"",""BD M Sangrias!a:i""),""select Col6 where Col7"&amp;" = 'Caixa Atendimento' and Col9 = '""&amp;K98&amp;""' and Col6 = ""&amp;M98&amp;"" and Col4 = date '""&amp;YEAR(C98)&amp;""-""&amp;MONTH(C98)&amp;""-""&amp;DAY(C98)&amp;""'""))&gt;0,""Caixa Atendimento"",""Caixa Sangria"")),""""),""Caixa Sangria"")"),"")</f>
        <v/>
      </c>
      <c r="M98" s="185">
        <f>IFERROR(__xludf.DUMMYFUNCTION("ifna(VALUE(REGEXEXTRACT(E98,""[0-9.]+[,]+[0-9]+"")))"),54.6)</f>
        <v>54.6</v>
      </c>
      <c r="N98" s="216"/>
      <c r="O98" s="195"/>
      <c r="P98" s="196"/>
      <c r="Q98" s="197"/>
      <c r="R98" s="220"/>
      <c r="S98" s="218" t="str">
        <f t="shared" si="1"/>
        <v/>
      </c>
      <c r="T98" s="185"/>
      <c r="U98" s="185"/>
      <c r="V98" s="185"/>
    </row>
    <row r="99" ht="14.25" customHeight="1">
      <c r="A99" s="178"/>
      <c r="B99" s="12">
        <v>1730742.0</v>
      </c>
      <c r="C99" s="13">
        <v>45940.75818287037</v>
      </c>
      <c r="D99" s="179" t="s">
        <v>81</v>
      </c>
      <c r="E99" s="180" t="s">
        <v>6603</v>
      </c>
      <c r="F99" s="181"/>
      <c r="G99" s="179" t="s">
        <v>6542</v>
      </c>
      <c r="H99" s="190"/>
      <c r="I99" s="190"/>
      <c r="J99" s="199" t="s">
        <v>3151</v>
      </c>
      <c r="K99" s="187"/>
      <c r="L99" s="184" t="str">
        <f>IFERROR(__xludf.DUMMYFUNCTION("ifna(IF(and(D99=""Saída"",J99=""Sangria""),if(sum(QUERY(IMPORTRANGE(""https://docs.google.com/spreadsheets/d/1ykfbEpHEAAZVCgujsGjRFJRCTULkzlWa8UjdyLzkDBM"",""BD M Sangrias!a:i""),""select Col6 where Col7 = 'Depositada' and Col9 = '""&amp;K99&amp;""' and Col6 = """&amp;"&amp;M99&amp;"" and Col4 = date '""&amp;YEAR(C99)&amp;""-""&amp;MONTH(C99)&amp;""-""&amp;DAY(C99)&amp;""'""))&gt;0,""Depositada"",if(sum(QUERY(IMPORTRANGE(""https://docs.google.com/spreadsheets/d/1ykfbEpHEAAZVCgujsGjRFJRCTULkzlWa8UjdyLzkDBM"",""BD M Sangrias!a:i""),""select Col6 where Col7"&amp;" = 'Caixa Atendimento' and Col9 = '""&amp;K99&amp;""' and Col6 = ""&amp;M99&amp;"" and Col4 = date '""&amp;YEAR(C99)&amp;""-""&amp;MONTH(C99)&amp;""-""&amp;DAY(C99)&amp;""'""))&gt;0,""Caixa Atendimento"",""Caixa Sangria"")),""""),""Caixa Sangria"")"),"")</f>
        <v/>
      </c>
      <c r="M99" s="185">
        <f>IFERROR(__xludf.DUMMYFUNCTION("ifna(VALUE(REGEXEXTRACT(E99,""[0-9.]+[,]+[0-9]+"")))"),244.4)</f>
        <v>244.4</v>
      </c>
      <c r="N99" s="216"/>
      <c r="O99" s="195"/>
      <c r="P99" s="196"/>
      <c r="Q99" s="197"/>
      <c r="R99" s="221"/>
      <c r="S99" s="218" t="str">
        <f t="shared" si="1"/>
        <v/>
      </c>
      <c r="T99" s="185"/>
      <c r="U99" s="185"/>
      <c r="V99" s="185"/>
    </row>
    <row r="100" ht="14.25" customHeight="1">
      <c r="A100" s="178"/>
      <c r="B100" s="12">
        <v>1730817.0</v>
      </c>
      <c r="C100" s="13">
        <v>45940.780810185184</v>
      </c>
      <c r="D100" s="179" t="s">
        <v>81</v>
      </c>
      <c r="E100" s="180" t="s">
        <v>933</v>
      </c>
      <c r="F100" s="181"/>
      <c r="G100" s="179" t="s">
        <v>6605</v>
      </c>
      <c r="H100" s="190"/>
      <c r="I100" s="190"/>
      <c r="J100" s="187" t="s">
        <v>3151</v>
      </c>
      <c r="K100" s="187"/>
      <c r="L100" s="184" t="str">
        <f>IFERROR(__xludf.DUMMYFUNCTION("ifna(IF(and(D100=""Saída"",J100=""Sangria""),if(sum(QUERY(IMPORTRANGE(""https://docs.google.com/spreadsheets/d/1ykfbEpHEAAZVCgujsGjRFJRCTULkzlWa8UjdyLzkDBM"",""BD M Sangrias!a:i""),""select Col6 where Col7 = 'Depositada' and Col9 = '""&amp;K100&amp;""' and Col6 ="&amp;" ""&amp;M100&amp;"" and Col4 = date '""&amp;YEAR(C100)&amp;""-""&amp;MONTH(C100)&amp;""-""&amp;DAY(C100)&amp;""'""))&gt;0,""Depositada"",if(sum(QUERY(IMPORTRANGE(""https://docs.google.com/spreadsheets/d/1ykfbEpHEAAZVCgujsGjRFJRCTULkzlWa8UjdyLzkDBM"",""BD M Sangrias!a:i""),""select Col6 whe"&amp;"re Col7 = 'Caixa Atendimento' and Col9 = '""&amp;K100&amp;""' and Col6 = ""&amp;M100&amp;"" and Col4 = date '""&amp;YEAR(C100)&amp;""-""&amp;MONTH(C100)&amp;""-""&amp;DAY(C100)&amp;""'""))&gt;0,""Caixa Atendimento"",""Caixa Sangria"")),""""),""Caixa Sangria"")"),"")</f>
        <v/>
      </c>
      <c r="M100" s="185">
        <f>IFERROR(__xludf.DUMMYFUNCTION("ifna(VALUE(REGEXEXTRACT(E100,""[0-9.]+[,]+[0-9]+"")))"),31.68)</f>
        <v>31.68</v>
      </c>
      <c r="N100" s="216"/>
      <c r="O100" s="195"/>
      <c r="P100" s="196"/>
      <c r="Q100" s="197"/>
      <c r="R100" s="220"/>
      <c r="S100" s="218" t="str">
        <f t="shared" si="1"/>
        <v/>
      </c>
      <c r="T100" s="185"/>
      <c r="U100" s="185"/>
      <c r="V100" s="185"/>
    </row>
    <row r="101" ht="14.25" customHeight="1">
      <c r="A101" s="178"/>
      <c r="B101" s="12">
        <v>1730819.0</v>
      </c>
      <c r="C101" s="13">
        <v>45940.78104166667</v>
      </c>
      <c r="D101" s="179" t="s">
        <v>81</v>
      </c>
      <c r="E101" s="180" t="s">
        <v>5685</v>
      </c>
      <c r="F101" s="181"/>
      <c r="G101" s="179" t="s">
        <v>6605</v>
      </c>
      <c r="H101" s="190"/>
      <c r="I101" s="190"/>
      <c r="J101" s="187" t="s">
        <v>3151</v>
      </c>
      <c r="K101" s="187"/>
      <c r="L101" s="184" t="str">
        <f>IFERROR(__xludf.DUMMYFUNCTION("ifna(IF(and(D101=""Saída"",J101=""Sangria""),if(sum(QUERY(IMPORTRANGE(""https://docs.google.com/spreadsheets/d/1ykfbEpHEAAZVCgujsGjRFJRCTULkzlWa8UjdyLzkDBM"",""BD M Sangrias!a:i""),""select Col6 where Col7 = 'Depositada' and Col9 = '""&amp;K101&amp;""' and Col6 ="&amp;" ""&amp;M101&amp;"" and Col4 = date '""&amp;YEAR(C101)&amp;""-""&amp;MONTH(C101)&amp;""-""&amp;DAY(C101)&amp;""'""))&gt;0,""Depositada"",if(sum(QUERY(IMPORTRANGE(""https://docs.google.com/spreadsheets/d/1ykfbEpHEAAZVCgujsGjRFJRCTULkzlWa8UjdyLzkDBM"",""BD M Sangrias!a:i""),""select Col6 whe"&amp;"re Col7 = 'Caixa Atendimento' and Col9 = '""&amp;K101&amp;""' and Col6 = ""&amp;M101&amp;"" and Col4 = date '""&amp;YEAR(C101)&amp;""-""&amp;MONTH(C101)&amp;""-""&amp;DAY(C101)&amp;""'""))&gt;0,""Caixa Atendimento"",""Caixa Sangria"")),""""),""Caixa Sangria"")"),"")</f>
        <v/>
      </c>
      <c r="M101" s="185">
        <f>IFERROR(__xludf.DUMMYFUNCTION("ifna(VALUE(REGEXEXTRACT(E101,""[0-9.]+[,]+[0-9]+"")))"),45.0)</f>
        <v>45</v>
      </c>
      <c r="N101" s="222"/>
      <c r="O101" s="223"/>
      <c r="P101" s="224"/>
      <c r="Q101" s="225"/>
      <c r="R101" s="221"/>
      <c r="S101" s="218" t="str">
        <f t="shared" si="1"/>
        <v/>
      </c>
      <c r="T101" s="185"/>
      <c r="U101" s="185"/>
      <c r="V101" s="185"/>
    </row>
    <row r="102" ht="14.25" customHeight="1">
      <c r="A102" s="178"/>
      <c r="B102" s="12">
        <v>1731419.0</v>
      </c>
      <c r="C102" s="13">
        <v>45940.94049768519</v>
      </c>
      <c r="D102" s="179" t="s">
        <v>81</v>
      </c>
      <c r="E102" s="180" t="s">
        <v>6608</v>
      </c>
      <c r="F102" s="181"/>
      <c r="G102" s="179" t="s">
        <v>4071</v>
      </c>
      <c r="H102" s="190"/>
      <c r="I102" s="190"/>
      <c r="J102" s="187" t="s">
        <v>2735</v>
      </c>
      <c r="K102" s="187" t="s">
        <v>2018</v>
      </c>
      <c r="L102" s="184" t="str">
        <f>IFERROR(__xludf.DUMMYFUNCTION("ifna(IF(and(D102=""Saída"",J102=""Sangria""),if(sum(QUERY(IMPORTRANGE(""https://docs.google.com/spreadsheets/d/1ykfbEpHEAAZVCgujsGjRFJRCTULkzlWa8UjdyLzkDBM"",""BD M Sangrias!a:i""),""select Col6 where Col7 = 'Depositada' and Col9 = '""&amp;K102&amp;""' and Col6 ="&amp;" ""&amp;M102&amp;"" and Col4 = date '""&amp;YEAR(C102)&amp;""-""&amp;MONTH(C102)&amp;""-""&amp;DAY(C102)&amp;""'""))&gt;0,""Depositada"",if(sum(QUERY(IMPORTRANGE(""https://docs.google.com/spreadsheets/d/1ykfbEpHEAAZVCgujsGjRFJRCTULkzlWa8UjdyLzkDBM"",""BD M Sangrias!a:i""),""select Col6 whe"&amp;"re Col7 = 'Caixa Atendimento' and Col9 = '""&amp;K102&amp;""' and Col6 = ""&amp;M102&amp;"" and Col4 = date '""&amp;YEAR(C102)&amp;""-""&amp;MONTH(C102)&amp;""-""&amp;DAY(C102)&amp;""'""))&gt;0,""Caixa Atendimento"",""Caixa Sangria"")),""""),""Caixa Sangria"")"),"#REF!")</f>
        <v>#REF!</v>
      </c>
      <c r="M102" s="185">
        <f>IFERROR(__xludf.DUMMYFUNCTION("ifna(VALUE(REGEXEXTRACT(E102,""[0-9.]+[,]+[0-9]+"")))"),640.0)</f>
        <v>640</v>
      </c>
      <c r="N102" s="226"/>
      <c r="O102" s="227"/>
      <c r="P102" s="220"/>
      <c r="Q102" s="228" t="str">
        <f t="shared" ref="Q102:Q138" si="2">IFERROR(VLOOKUP(P102, $B$4:$C$18, 2, FALSE), "")</f>
        <v/>
      </c>
      <c r="R102" s="220" t="str">
        <f t="shared" ref="R102:R138" si="3">IFERROR(VLOOKUP(P102, $A$4:$B$18, 2, FALSE), "")</f>
        <v/>
      </c>
      <c r="S102" s="218" t="str">
        <f t="shared" si="1"/>
        <v/>
      </c>
      <c r="T102" s="185"/>
      <c r="U102" s="185"/>
      <c r="V102" s="185"/>
    </row>
    <row r="103" ht="14.25" customHeight="1">
      <c r="A103" s="178"/>
      <c r="B103" s="12">
        <v>1733668.0</v>
      </c>
      <c r="C103" s="13">
        <v>45941.93215277778</v>
      </c>
      <c r="D103" s="179" t="s">
        <v>152</v>
      </c>
      <c r="E103" s="180" t="s">
        <v>1388</v>
      </c>
      <c r="F103" s="181"/>
      <c r="G103" s="179" t="s">
        <v>267</v>
      </c>
      <c r="H103" s="190"/>
      <c r="I103" s="190"/>
      <c r="J103" s="187" t="s">
        <v>2669</v>
      </c>
      <c r="K103" s="187"/>
      <c r="L103" s="184" t="str">
        <f>IFERROR(__xludf.DUMMYFUNCTION("ifna(IF(and(D103=""Saída"",J103=""Sangria""),if(sum(QUERY(IMPORTRANGE(""https://docs.google.com/spreadsheets/d/1ykfbEpHEAAZVCgujsGjRFJRCTULkzlWa8UjdyLzkDBM"",""BD M Sangrias!a:i""),""select Col6 where Col7 = 'Depositada' and Col9 = '""&amp;K103&amp;""' and Col6 ="&amp;" ""&amp;M103&amp;"" and Col4 = date '""&amp;YEAR(C103)&amp;""-""&amp;MONTH(C103)&amp;""-""&amp;DAY(C103)&amp;""'""))&gt;0,""Depositada"",if(sum(QUERY(IMPORTRANGE(""https://docs.google.com/spreadsheets/d/1ykfbEpHEAAZVCgujsGjRFJRCTULkzlWa8UjdyLzkDBM"",""BD M Sangrias!a:i""),""select Col6 whe"&amp;"re Col7 = 'Caixa Atendimento' and Col9 = '""&amp;K103&amp;""' and Col6 = ""&amp;M103&amp;"" and Col4 = date '""&amp;YEAR(C103)&amp;""-""&amp;MONTH(C103)&amp;""-""&amp;DAY(C103)&amp;""'""))&gt;0,""Caixa Atendimento"",""Caixa Sangria"")),""""),""Caixa Sangria"")"),"")</f>
        <v/>
      </c>
      <c r="M103" s="185">
        <f>IFERROR(__xludf.DUMMYFUNCTION("ifna(VALUE(REGEXEXTRACT(E103,""[0-9.]+[,]+[0-9]+"")))"),92.0)</f>
        <v>92</v>
      </c>
      <c r="N103" s="229"/>
      <c r="O103" s="230"/>
      <c r="P103" s="221"/>
      <c r="Q103" s="231" t="str">
        <f t="shared" si="2"/>
        <v/>
      </c>
      <c r="R103" s="221" t="str">
        <f t="shared" si="3"/>
        <v/>
      </c>
      <c r="S103" s="218" t="str">
        <f t="shared" si="1"/>
        <v/>
      </c>
      <c r="T103" s="185"/>
      <c r="U103" s="185"/>
      <c r="V103" s="185"/>
    </row>
    <row r="104" ht="14.25" customHeight="1">
      <c r="A104" s="178"/>
      <c r="B104" s="12">
        <v>1733685.0</v>
      </c>
      <c r="C104" s="13">
        <v>45941.93386574074</v>
      </c>
      <c r="D104" s="179" t="s">
        <v>81</v>
      </c>
      <c r="E104" s="180" t="s">
        <v>6613</v>
      </c>
      <c r="F104" s="181"/>
      <c r="G104" s="179" t="s">
        <v>4071</v>
      </c>
      <c r="H104" s="190"/>
      <c r="I104" s="190"/>
      <c r="J104" s="187" t="s">
        <v>2735</v>
      </c>
      <c r="K104" s="187" t="s">
        <v>2018</v>
      </c>
      <c r="L104" s="184" t="str">
        <f>IFERROR(__xludf.DUMMYFUNCTION("ifna(IF(and(D104=""Saída"",J104=""Sangria""),if(sum(QUERY(IMPORTRANGE(""https://docs.google.com/spreadsheets/d/1ykfbEpHEAAZVCgujsGjRFJRCTULkzlWa8UjdyLzkDBM"",""BD M Sangrias!a:i""),""select Col6 where Col7 = 'Depositada' and Col9 = '""&amp;K104&amp;""' and Col6 ="&amp;" ""&amp;M104&amp;"" and Col4 = date '""&amp;YEAR(C104)&amp;""-""&amp;MONTH(C104)&amp;""-""&amp;DAY(C104)&amp;""'""))&gt;0,""Depositada"",if(sum(QUERY(IMPORTRANGE(""https://docs.google.com/spreadsheets/d/1ykfbEpHEAAZVCgujsGjRFJRCTULkzlWa8UjdyLzkDBM"",""BD M Sangrias!a:i""),""select Col6 whe"&amp;"re Col7 = 'Caixa Atendimento' and Col9 = '""&amp;K104&amp;""' and Col6 = ""&amp;M104&amp;"" and Col4 = date '""&amp;YEAR(C104)&amp;""-""&amp;MONTH(C104)&amp;""-""&amp;DAY(C104)&amp;""'""))&gt;0,""Caixa Atendimento"",""Caixa Sangria"")),""""),""Caixa Sangria"")"),"#REF!")</f>
        <v>#REF!</v>
      </c>
      <c r="M104" s="185">
        <f>IFERROR(__xludf.DUMMYFUNCTION("ifna(VALUE(REGEXEXTRACT(E104,""[0-9.]+[,]+[0-9]+"")))"),2530.0)</f>
        <v>2530</v>
      </c>
      <c r="N104" s="226"/>
      <c r="O104" s="227"/>
      <c r="P104" s="220"/>
      <c r="Q104" s="228" t="str">
        <f t="shared" si="2"/>
        <v/>
      </c>
      <c r="R104" s="220" t="str">
        <f t="shared" si="3"/>
        <v/>
      </c>
      <c r="S104" s="218" t="str">
        <f t="shared" si="1"/>
        <v/>
      </c>
      <c r="T104" s="185"/>
      <c r="U104" s="185"/>
      <c r="V104" s="185"/>
    </row>
    <row r="105" ht="14.25" customHeight="1">
      <c r="A105" s="178"/>
      <c r="B105" s="12">
        <v>1736241.0</v>
      </c>
      <c r="C105" s="13">
        <v>45942.92587962963</v>
      </c>
      <c r="D105" s="179" t="s">
        <v>81</v>
      </c>
      <c r="E105" s="180" t="s">
        <v>3905</v>
      </c>
      <c r="F105" s="181"/>
      <c r="G105" s="179" t="s">
        <v>3587</v>
      </c>
      <c r="H105" s="190"/>
      <c r="I105" s="190"/>
      <c r="J105" s="187" t="s">
        <v>2735</v>
      </c>
      <c r="K105" s="187" t="s">
        <v>2018</v>
      </c>
      <c r="L105" s="184" t="str">
        <f>IFERROR(__xludf.DUMMYFUNCTION("ifna(IF(and(D105=""Saída"",J105=""Sangria""),if(sum(QUERY(IMPORTRANGE(""https://docs.google.com/spreadsheets/d/1ykfbEpHEAAZVCgujsGjRFJRCTULkzlWa8UjdyLzkDBM"",""BD M Sangrias!a:i""),""select Col6 where Col7 = 'Depositada' and Col9 = '""&amp;K105&amp;""' and Col6 ="&amp;" ""&amp;M105&amp;"" and Col4 = date '""&amp;YEAR(C105)&amp;""-""&amp;MONTH(C105)&amp;""-""&amp;DAY(C105)&amp;""'""))&gt;0,""Depositada"",if(sum(QUERY(IMPORTRANGE(""https://docs.google.com/spreadsheets/d/1ykfbEpHEAAZVCgujsGjRFJRCTULkzlWa8UjdyLzkDBM"",""BD M Sangrias!a:i""),""select Col6 whe"&amp;"re Col7 = 'Caixa Atendimento' and Col9 = '""&amp;K105&amp;""' and Col6 = ""&amp;M105&amp;"" and Col4 = date '""&amp;YEAR(C105)&amp;""-""&amp;MONTH(C105)&amp;""-""&amp;DAY(C105)&amp;""'""))&gt;0,""Caixa Atendimento"",""Caixa Sangria"")),""""),""Caixa Sangria"")"),"#REF!")</f>
        <v>#REF!</v>
      </c>
      <c r="M105" s="185">
        <f>IFERROR(__xludf.DUMMYFUNCTION("ifna(VALUE(REGEXEXTRACT(E105,""[0-9.]+[,]+[0-9]+"")))"),1050.0)</f>
        <v>1050</v>
      </c>
      <c r="N105" s="229"/>
      <c r="O105" s="230"/>
      <c r="P105" s="221"/>
      <c r="Q105" s="231" t="str">
        <f t="shared" si="2"/>
        <v/>
      </c>
      <c r="R105" s="221" t="str">
        <f t="shared" si="3"/>
        <v/>
      </c>
      <c r="S105" s="218" t="str">
        <f t="shared" si="1"/>
        <v/>
      </c>
      <c r="T105" s="185"/>
      <c r="U105" s="185"/>
      <c r="V105" s="185"/>
    </row>
    <row r="106" ht="14.25" customHeight="1">
      <c r="A106" s="178"/>
      <c r="B106" s="12">
        <v>1737676.0</v>
      </c>
      <c r="C106" s="13">
        <v>45943.793912037036</v>
      </c>
      <c r="D106" s="179" t="s">
        <v>81</v>
      </c>
      <c r="E106" s="180" t="s">
        <v>758</v>
      </c>
      <c r="F106" s="181"/>
      <c r="G106" s="179" t="s">
        <v>5861</v>
      </c>
      <c r="H106" s="190"/>
      <c r="I106" s="190"/>
      <c r="J106" s="199" t="s">
        <v>2019</v>
      </c>
      <c r="K106" s="187" t="s">
        <v>2117</v>
      </c>
      <c r="L106" s="184" t="str">
        <f>IFERROR(__xludf.DUMMYFUNCTION("ifna(IF(and(D106=""Saída"",J106=""Sangria""),if(sum(QUERY(IMPORTRANGE(""https://docs.google.com/spreadsheets/d/1ykfbEpHEAAZVCgujsGjRFJRCTULkzlWa8UjdyLzkDBM"",""BD M Sangrias!a:i""),""select Col6 where Col7 = 'Depositada' and Col9 = '""&amp;K106&amp;""' and Col6 ="&amp;" ""&amp;M106&amp;"" and Col4 = date '""&amp;YEAR(C106)&amp;""-""&amp;MONTH(C106)&amp;""-""&amp;DAY(C106)&amp;""'""))&gt;0,""Depositada"",if(sum(QUERY(IMPORTRANGE(""https://docs.google.com/spreadsheets/d/1ykfbEpHEAAZVCgujsGjRFJRCTULkzlWa8UjdyLzkDBM"",""BD M Sangrias!a:i""),""select Col6 whe"&amp;"re Col7 = 'Caixa Atendimento' and Col9 = '""&amp;K106&amp;""' and Col6 = ""&amp;M106&amp;"" and Col4 = date '""&amp;YEAR(C106)&amp;""-""&amp;MONTH(C106)&amp;""-""&amp;DAY(C106)&amp;""'""))&gt;0,""Caixa Atendimento"",""Caixa Sangria"")),""""),""Caixa Sangria"")"),"")</f>
        <v/>
      </c>
      <c r="M106" s="185">
        <f>IFERROR(__xludf.DUMMYFUNCTION("ifna(VALUE(REGEXEXTRACT(E106,""[0-9.]+[,]+[0-9]+"")))"),10.19)</f>
        <v>10.19</v>
      </c>
      <c r="N106" s="226"/>
      <c r="O106" s="227"/>
      <c r="P106" s="220"/>
      <c r="Q106" s="228" t="str">
        <f t="shared" si="2"/>
        <v/>
      </c>
      <c r="R106" s="220" t="str">
        <f t="shared" si="3"/>
        <v/>
      </c>
      <c r="S106" s="218" t="str">
        <f t="shared" si="1"/>
        <v/>
      </c>
      <c r="T106" s="185"/>
      <c r="U106" s="185"/>
      <c r="V106" s="185"/>
    </row>
    <row r="107" ht="14.25" customHeight="1">
      <c r="A107" s="178"/>
      <c r="B107" s="12">
        <v>1737681.0</v>
      </c>
      <c r="C107" s="13">
        <v>45943.795219907406</v>
      </c>
      <c r="D107" s="179" t="s">
        <v>81</v>
      </c>
      <c r="E107" s="180" t="s">
        <v>6617</v>
      </c>
      <c r="F107" s="188"/>
      <c r="G107" s="179" t="s">
        <v>6618</v>
      </c>
      <c r="H107" s="190"/>
      <c r="I107" s="190"/>
      <c r="J107" s="187" t="s">
        <v>2438</v>
      </c>
      <c r="K107" s="187"/>
      <c r="L107" s="184" t="str">
        <f>IFERROR(__xludf.DUMMYFUNCTION("ifna(IF(and(D107=""Saída"",J107=""Sangria""),if(sum(QUERY(IMPORTRANGE(""https://docs.google.com/spreadsheets/d/1ykfbEpHEAAZVCgujsGjRFJRCTULkzlWa8UjdyLzkDBM"",""BD M Sangrias!a:i""),""select Col6 where Col7 = 'Depositada' and Col9 = '""&amp;K107&amp;""' and Col6 ="&amp;" ""&amp;M107&amp;"" and Col4 = date '""&amp;YEAR(C107)&amp;""-""&amp;MONTH(C107)&amp;""-""&amp;DAY(C107)&amp;""'""))&gt;0,""Depositada"",if(sum(QUERY(IMPORTRANGE(""https://docs.google.com/spreadsheets/d/1ykfbEpHEAAZVCgujsGjRFJRCTULkzlWa8UjdyLzkDBM"",""BD M Sangrias!a:i""),""select Col6 whe"&amp;"re Col7 = 'Caixa Atendimento' and Col9 = '""&amp;K107&amp;""' and Col6 = ""&amp;M107&amp;"" and Col4 = date '""&amp;YEAR(C107)&amp;""-""&amp;MONTH(C107)&amp;""-""&amp;DAY(C107)&amp;""'""))&gt;0,""Caixa Atendimento"",""Caixa Sangria"")),""""),""Caixa Sangria"")"),"")</f>
        <v/>
      </c>
      <c r="M107" s="185">
        <f>IFERROR(__xludf.DUMMYFUNCTION("ifna(VALUE(REGEXEXTRACT(E107,""[0-9.]+[,]+[0-9]+"")))"),131.08)</f>
        <v>131.08</v>
      </c>
      <c r="N107" s="229"/>
      <c r="O107" s="221"/>
      <c r="P107" s="221"/>
      <c r="Q107" s="231" t="str">
        <f t="shared" si="2"/>
        <v/>
      </c>
      <c r="R107" s="221" t="str">
        <f t="shared" si="3"/>
        <v/>
      </c>
      <c r="S107" s="218" t="str">
        <f t="shared" si="1"/>
        <v/>
      </c>
      <c r="T107" s="185"/>
      <c r="U107" s="185"/>
      <c r="V107" s="185"/>
    </row>
    <row r="108" ht="14.25" customHeight="1">
      <c r="A108" s="178"/>
      <c r="B108" s="12">
        <v>1738396.0</v>
      </c>
      <c r="C108" s="13">
        <v>45943.97630787037</v>
      </c>
      <c r="D108" s="179" t="s">
        <v>81</v>
      </c>
      <c r="E108" s="180" t="s">
        <v>6622</v>
      </c>
      <c r="F108" s="181"/>
      <c r="G108" s="179" t="s">
        <v>544</v>
      </c>
      <c r="H108" s="190"/>
      <c r="I108" s="190"/>
      <c r="J108" s="187" t="s">
        <v>2019</v>
      </c>
      <c r="K108" s="187" t="s">
        <v>2078</v>
      </c>
      <c r="L108" s="184" t="str">
        <f>IFERROR(__xludf.DUMMYFUNCTION("ifna(IF(and(D108=""Saída"",J108=""Sangria""),if(sum(QUERY(IMPORTRANGE(""https://docs.google.com/spreadsheets/d/1ykfbEpHEAAZVCgujsGjRFJRCTULkzlWa8UjdyLzkDBM"",""BD M Sangrias!a:i""),""select Col6 where Col7 = 'Depositada' and Col9 = '""&amp;K108&amp;""' and Col6 ="&amp;" ""&amp;M108&amp;"" and Col4 = date '""&amp;YEAR(C108)&amp;""-""&amp;MONTH(C108)&amp;""-""&amp;DAY(C108)&amp;""'""))&gt;0,""Depositada"",if(sum(QUERY(IMPORTRANGE(""https://docs.google.com/spreadsheets/d/1ykfbEpHEAAZVCgujsGjRFJRCTULkzlWa8UjdyLzkDBM"",""BD M Sangrias!a:i""),""select Col6 whe"&amp;"re Col7 = 'Caixa Atendimento' and Col9 = '""&amp;K108&amp;""' and Col6 = ""&amp;M108&amp;"" and Col4 = date '""&amp;YEAR(C108)&amp;""-""&amp;MONTH(C108)&amp;""-""&amp;DAY(C108)&amp;""'""))&gt;0,""Caixa Atendimento"",""Caixa Sangria"")),""""),""Caixa Sangria"")"),"")</f>
        <v/>
      </c>
      <c r="M108" s="185">
        <f>IFERROR(__xludf.DUMMYFUNCTION("ifna(VALUE(REGEXEXTRACT(E108,""[0-9.]+[,]+[0-9]+"")))"),18.37)</f>
        <v>18.37</v>
      </c>
      <c r="N108" s="226"/>
      <c r="O108" s="220"/>
      <c r="P108" s="220"/>
      <c r="Q108" s="228" t="str">
        <f t="shared" si="2"/>
        <v/>
      </c>
      <c r="R108" s="220" t="str">
        <f t="shared" si="3"/>
        <v/>
      </c>
      <c r="S108" s="218" t="str">
        <f t="shared" si="1"/>
        <v/>
      </c>
      <c r="T108" s="185"/>
      <c r="U108" s="185"/>
      <c r="V108" s="185"/>
    </row>
    <row r="109" ht="14.25" customHeight="1">
      <c r="A109" s="178"/>
      <c r="B109" s="12">
        <v>1738400.0</v>
      </c>
      <c r="C109" s="13">
        <v>45943.979375</v>
      </c>
      <c r="D109" s="179" t="s">
        <v>152</v>
      </c>
      <c r="E109" s="180" t="s">
        <v>485</v>
      </c>
      <c r="F109" s="181"/>
      <c r="G109" s="179" t="s">
        <v>6623</v>
      </c>
      <c r="H109" s="190"/>
      <c r="I109" s="190"/>
      <c r="J109" s="187" t="s">
        <v>3151</v>
      </c>
      <c r="K109" s="187"/>
      <c r="L109" s="184" t="str">
        <f>IFERROR(__xludf.DUMMYFUNCTION("ifna(IF(and(D109=""Saída"",J109=""Sangria""),if(sum(QUERY(IMPORTRANGE(""https://docs.google.com/spreadsheets/d/1ykfbEpHEAAZVCgujsGjRFJRCTULkzlWa8UjdyLzkDBM"",""BD M Sangrias!a:i""),""select Col6 where Col7 = 'Depositada' and Col9 = '""&amp;K109&amp;""' and Col6 ="&amp;" ""&amp;M109&amp;"" and Col4 = date '""&amp;YEAR(C109)&amp;""-""&amp;MONTH(C109)&amp;""-""&amp;DAY(C109)&amp;""'""))&gt;0,""Depositada"",if(sum(QUERY(IMPORTRANGE(""https://docs.google.com/spreadsheets/d/1ykfbEpHEAAZVCgujsGjRFJRCTULkzlWa8UjdyLzkDBM"",""BD M Sangrias!a:i""),""select Col6 whe"&amp;"re Col7 = 'Caixa Atendimento' and Col9 = '""&amp;K109&amp;""' and Col6 = ""&amp;M109&amp;"" and Col4 = date '""&amp;YEAR(C109)&amp;""-""&amp;MONTH(C109)&amp;""-""&amp;DAY(C109)&amp;""'""))&gt;0,""Caixa Atendimento"",""Caixa Sangria"")),""""),""Caixa Sangria"")"),"")</f>
        <v/>
      </c>
      <c r="M109" s="185">
        <f>IFERROR(__xludf.DUMMYFUNCTION("ifna(VALUE(REGEXEXTRACT(E109,""[0-9.]+[,]+[0-9]+"")))"),60.0)</f>
        <v>60</v>
      </c>
      <c r="N109" s="229"/>
      <c r="O109" s="221"/>
      <c r="P109" s="221"/>
      <c r="Q109" s="231" t="str">
        <f t="shared" si="2"/>
        <v/>
      </c>
      <c r="R109" s="221" t="str">
        <f t="shared" si="3"/>
        <v/>
      </c>
      <c r="S109" s="218" t="str">
        <f t="shared" si="1"/>
        <v/>
      </c>
      <c r="T109" s="185"/>
      <c r="U109" s="185"/>
      <c r="V109" s="185"/>
    </row>
    <row r="110" ht="14.25" customHeight="1">
      <c r="A110" s="178"/>
      <c r="B110" s="12">
        <v>1738401.0</v>
      </c>
      <c r="C110" s="13">
        <v>45943.97961805556</v>
      </c>
      <c r="D110" s="179" t="s">
        <v>81</v>
      </c>
      <c r="E110" s="180" t="s">
        <v>411</v>
      </c>
      <c r="F110" s="181"/>
      <c r="G110" s="179" t="s">
        <v>4071</v>
      </c>
      <c r="H110" s="190"/>
      <c r="I110" s="190"/>
      <c r="J110" s="187" t="s">
        <v>2735</v>
      </c>
      <c r="K110" s="187" t="s">
        <v>2018</v>
      </c>
      <c r="L110" s="184" t="str">
        <f>IFERROR(__xludf.DUMMYFUNCTION("ifna(IF(and(D110=""Saída"",J110=""Sangria""),if(sum(QUERY(IMPORTRANGE(""https://docs.google.com/spreadsheets/d/1ykfbEpHEAAZVCgujsGjRFJRCTULkzlWa8UjdyLzkDBM"",""BD M Sangrias!a:i""),""select Col6 where Col7 = 'Depositada' and Col9 = '""&amp;K110&amp;""' and Col6 ="&amp;" ""&amp;M110&amp;"" and Col4 = date '""&amp;YEAR(C110)&amp;""-""&amp;MONTH(C110)&amp;""-""&amp;DAY(C110)&amp;""'""))&gt;0,""Depositada"",if(sum(QUERY(IMPORTRANGE(""https://docs.google.com/spreadsheets/d/1ykfbEpHEAAZVCgujsGjRFJRCTULkzlWa8UjdyLzkDBM"",""BD M Sangrias!a:i""),""select Col6 whe"&amp;"re Col7 = 'Caixa Atendimento' and Col9 = '""&amp;K110&amp;""' and Col6 = ""&amp;M110&amp;"" and Col4 = date '""&amp;YEAR(C110)&amp;""-""&amp;MONTH(C110)&amp;""-""&amp;DAY(C110)&amp;""'""))&gt;0,""Caixa Atendimento"",""Caixa Sangria"")),""""),""Caixa Sangria"")"),"#REF!")</f>
        <v>#REF!</v>
      </c>
      <c r="M110" s="185">
        <f>IFERROR(__xludf.DUMMYFUNCTION("ifna(VALUE(REGEXEXTRACT(E110,""[0-9.]+[,]+[0-9]+"")))"),1450.0)</f>
        <v>1450</v>
      </c>
      <c r="N110" s="226"/>
      <c r="O110" s="220"/>
      <c r="P110" s="220"/>
      <c r="Q110" s="228" t="str">
        <f t="shared" si="2"/>
        <v/>
      </c>
      <c r="R110" s="220" t="str">
        <f t="shared" si="3"/>
        <v/>
      </c>
      <c r="S110" s="218" t="str">
        <f t="shared" si="1"/>
        <v/>
      </c>
      <c r="T110" s="185"/>
      <c r="U110" s="185"/>
      <c r="V110" s="185"/>
    </row>
    <row r="111" ht="14.25" customHeight="1">
      <c r="A111" s="178"/>
      <c r="B111" s="12">
        <v>1738404.0</v>
      </c>
      <c r="C111" s="13">
        <v>45943.983761574076</v>
      </c>
      <c r="D111" s="179" t="s">
        <v>81</v>
      </c>
      <c r="E111" s="180" t="s">
        <v>6627</v>
      </c>
      <c r="F111" s="181"/>
      <c r="G111" s="179" t="s">
        <v>313</v>
      </c>
      <c r="H111" s="190"/>
      <c r="I111" s="190"/>
      <c r="J111" s="187" t="s">
        <v>3151</v>
      </c>
      <c r="K111" s="187"/>
      <c r="L111" s="184" t="str">
        <f>IFERROR(__xludf.DUMMYFUNCTION("ifna(IF(and(D111=""Saída"",J111=""Sangria""),if(sum(QUERY(IMPORTRANGE(""https://docs.google.com/spreadsheets/d/1ykfbEpHEAAZVCgujsGjRFJRCTULkzlWa8UjdyLzkDBM"",""BD M Sangrias!a:i""),""select Col6 where Col7 = 'Depositada' and Col9 = '""&amp;K111&amp;""' and Col6 ="&amp;" ""&amp;M111&amp;"" and Col4 = date '""&amp;YEAR(C111)&amp;""-""&amp;MONTH(C111)&amp;""-""&amp;DAY(C111)&amp;""'""))&gt;0,""Depositada"",if(sum(QUERY(IMPORTRANGE(""https://docs.google.com/spreadsheets/d/1ykfbEpHEAAZVCgujsGjRFJRCTULkzlWa8UjdyLzkDBM"",""BD M Sangrias!a:i""),""select Col6 whe"&amp;"re Col7 = 'Caixa Atendimento' and Col9 = '""&amp;K111&amp;""' and Col6 = ""&amp;M111&amp;"" and Col4 = date '""&amp;YEAR(C111)&amp;""-""&amp;MONTH(C111)&amp;""-""&amp;DAY(C111)&amp;""'""))&gt;0,""Caixa Atendimento"",""Caixa Sangria"")),""""),""Caixa Sangria"")"),"")</f>
        <v/>
      </c>
      <c r="M111" s="185">
        <f>IFERROR(__xludf.DUMMYFUNCTION("ifna(VALUE(REGEXEXTRACT(E111,""[0-9.]+[,]+[0-9]+"")))"),225.2)</f>
        <v>225.2</v>
      </c>
      <c r="N111" s="229"/>
      <c r="O111" s="221"/>
      <c r="P111" s="221"/>
      <c r="Q111" s="231" t="str">
        <f t="shared" si="2"/>
        <v/>
      </c>
      <c r="R111" s="221" t="str">
        <f t="shared" si="3"/>
        <v/>
      </c>
      <c r="S111" s="218" t="str">
        <f t="shared" si="1"/>
        <v/>
      </c>
      <c r="T111" s="185"/>
      <c r="U111" s="185"/>
      <c r="V111" s="185"/>
    </row>
    <row r="112" ht="14.25" customHeight="1">
      <c r="A112" s="178"/>
      <c r="B112" s="12">
        <v>1738666.0</v>
      </c>
      <c r="C112" s="13">
        <v>45944.66200231481</v>
      </c>
      <c r="D112" s="179" t="s">
        <v>152</v>
      </c>
      <c r="E112" s="180" t="s">
        <v>5120</v>
      </c>
      <c r="F112" s="181"/>
      <c r="G112" s="179" t="s">
        <v>267</v>
      </c>
      <c r="H112" s="190"/>
      <c r="I112" s="190"/>
      <c r="J112" s="187" t="s">
        <v>2669</v>
      </c>
      <c r="K112" s="187"/>
      <c r="L112" s="184" t="str">
        <f>IFERROR(__xludf.DUMMYFUNCTION("ifna(IF(and(D112=""Saída"",J112=""Sangria""),if(sum(QUERY(IMPORTRANGE(""https://docs.google.com/spreadsheets/d/1ykfbEpHEAAZVCgujsGjRFJRCTULkzlWa8UjdyLzkDBM"",""BD M Sangrias!a:i""),""select Col6 where Col7 = 'Depositada' and Col9 = '""&amp;K112&amp;""' and Col6 ="&amp;" ""&amp;M112&amp;"" and Col4 = date '""&amp;YEAR(C112)&amp;""-""&amp;MONTH(C112)&amp;""-""&amp;DAY(C112)&amp;""'""))&gt;0,""Depositada"",if(sum(QUERY(IMPORTRANGE(""https://docs.google.com/spreadsheets/d/1ykfbEpHEAAZVCgujsGjRFJRCTULkzlWa8UjdyLzkDBM"",""BD M Sangrias!a:i""),""select Col6 whe"&amp;"re Col7 = 'Caixa Atendimento' and Col9 = '""&amp;K112&amp;""' and Col6 = ""&amp;M112&amp;"" and Col4 = date '""&amp;YEAR(C112)&amp;""-""&amp;MONTH(C112)&amp;""-""&amp;DAY(C112)&amp;""'""))&gt;0,""Caixa Atendimento"",""Caixa Sangria"")),""""),""Caixa Sangria"")"),"")</f>
        <v/>
      </c>
      <c r="M112" s="185">
        <f>IFERROR(__xludf.DUMMYFUNCTION("ifna(VALUE(REGEXEXTRACT(E112,""[0-9.]+[,]+[0-9]+"")))"),38.0)</f>
        <v>38</v>
      </c>
      <c r="N112" s="226"/>
      <c r="O112" s="220"/>
      <c r="P112" s="220"/>
      <c r="Q112" s="228" t="str">
        <f t="shared" si="2"/>
        <v/>
      </c>
      <c r="R112" s="220" t="str">
        <f t="shared" si="3"/>
        <v/>
      </c>
      <c r="S112" s="218" t="str">
        <f t="shared" si="1"/>
        <v/>
      </c>
      <c r="T112" s="185"/>
      <c r="U112" s="185"/>
      <c r="V112" s="185"/>
    </row>
    <row r="113" ht="14.25" customHeight="1">
      <c r="A113" s="178"/>
      <c r="B113" s="12">
        <v>1739209.0</v>
      </c>
      <c r="C113" s="13">
        <v>45944.76252314815</v>
      </c>
      <c r="D113" s="179" t="s">
        <v>81</v>
      </c>
      <c r="E113" s="180" t="s">
        <v>6629</v>
      </c>
      <c r="F113" s="181"/>
      <c r="G113" s="179" t="s">
        <v>6630</v>
      </c>
      <c r="H113" s="190"/>
      <c r="I113" s="190"/>
      <c r="J113" s="187" t="s">
        <v>3151</v>
      </c>
      <c r="K113" s="187"/>
      <c r="L113" s="184" t="str">
        <f>IFERROR(__xludf.DUMMYFUNCTION("ifna(IF(and(D113=""Saída"",J113=""Sangria""),if(sum(QUERY(IMPORTRANGE(""https://docs.google.com/spreadsheets/d/1ykfbEpHEAAZVCgujsGjRFJRCTULkzlWa8UjdyLzkDBM"",""BD M Sangrias!a:i""),""select Col6 where Col7 = 'Depositada' and Col9 = '""&amp;K113&amp;""' and Col6 ="&amp;" ""&amp;M113&amp;"" and Col4 = date '""&amp;YEAR(C113)&amp;""-""&amp;MONTH(C113)&amp;""-""&amp;DAY(C113)&amp;""'""))&gt;0,""Depositada"",if(sum(QUERY(IMPORTRANGE(""https://docs.google.com/spreadsheets/d/1ykfbEpHEAAZVCgujsGjRFJRCTULkzlWa8UjdyLzkDBM"",""BD M Sangrias!a:i""),""select Col6 whe"&amp;"re Col7 = 'Caixa Atendimento' and Col9 = '""&amp;K113&amp;""' and Col6 = ""&amp;M113&amp;"" and Col4 = date '""&amp;YEAR(C113)&amp;""-""&amp;MONTH(C113)&amp;""-""&amp;DAY(C113)&amp;""'""))&gt;0,""Caixa Atendimento"",""Caixa Sangria"")),""""),""Caixa Sangria"")"),"")</f>
        <v/>
      </c>
      <c r="M113" s="185">
        <f>IFERROR(__xludf.DUMMYFUNCTION("ifna(VALUE(REGEXEXTRACT(E113,""[0-9.]+[,]+[0-9]+"")))"),17.7)</f>
        <v>17.7</v>
      </c>
      <c r="N113" s="229"/>
      <c r="O113" s="221"/>
      <c r="P113" s="221"/>
      <c r="Q113" s="231" t="str">
        <f t="shared" si="2"/>
        <v/>
      </c>
      <c r="R113" s="221" t="str">
        <f t="shared" si="3"/>
        <v/>
      </c>
      <c r="S113" s="218" t="str">
        <f t="shared" si="1"/>
        <v/>
      </c>
      <c r="T113" s="185"/>
      <c r="U113" s="185"/>
      <c r="V113" s="185"/>
    </row>
    <row r="114" ht="14.25" customHeight="1">
      <c r="A114" s="178"/>
      <c r="B114" s="12">
        <v>1739634.0</v>
      </c>
      <c r="C114" s="13">
        <v>45944.9046875</v>
      </c>
      <c r="D114" s="179" t="s">
        <v>81</v>
      </c>
      <c r="E114" s="180" t="s">
        <v>6632</v>
      </c>
      <c r="F114" s="181"/>
      <c r="G114" s="179" t="s">
        <v>6559</v>
      </c>
      <c r="H114" s="190"/>
      <c r="I114" s="190"/>
      <c r="J114" s="187" t="s">
        <v>1782</v>
      </c>
      <c r="K114" s="187"/>
      <c r="L114" s="184" t="str">
        <f>IFERROR(__xludf.DUMMYFUNCTION("ifna(IF(and(D114=""Saída"",J114=""Sangria""),if(sum(QUERY(IMPORTRANGE(""https://docs.google.com/spreadsheets/d/1ykfbEpHEAAZVCgujsGjRFJRCTULkzlWa8UjdyLzkDBM"",""BD M Sangrias!a:i""),""select Col6 where Col7 = 'Depositada' and Col9 = '""&amp;K114&amp;""' and Col6 ="&amp;" ""&amp;M114&amp;"" and Col4 = date '""&amp;YEAR(C114)&amp;""-""&amp;MONTH(C114)&amp;""-""&amp;DAY(C114)&amp;""'""))&gt;0,""Depositada"",if(sum(QUERY(IMPORTRANGE(""https://docs.google.com/spreadsheets/d/1ykfbEpHEAAZVCgujsGjRFJRCTULkzlWa8UjdyLzkDBM"",""BD M Sangrias!a:i""),""select Col6 whe"&amp;"re Col7 = 'Caixa Atendimento' and Col9 = '""&amp;K114&amp;""' and Col6 = ""&amp;M114&amp;"" and Col4 = date '""&amp;YEAR(C114)&amp;""-""&amp;MONTH(C114)&amp;""-""&amp;DAY(C114)&amp;""'""))&gt;0,""Caixa Atendimento"",""Caixa Sangria"")),""""),""Caixa Sangria"")"),"")</f>
        <v/>
      </c>
      <c r="M114" s="185">
        <f>IFERROR(__xludf.DUMMYFUNCTION("ifna(VALUE(REGEXEXTRACT(E114,""[0-9.]+[,]+[0-9]+"")))"),276.9)</f>
        <v>276.9</v>
      </c>
      <c r="N114" s="226"/>
      <c r="O114" s="220"/>
      <c r="P114" s="220"/>
      <c r="Q114" s="228" t="str">
        <f t="shared" si="2"/>
        <v/>
      </c>
      <c r="R114" s="220" t="str">
        <f t="shared" si="3"/>
        <v/>
      </c>
      <c r="S114" s="218" t="str">
        <f t="shared" si="1"/>
        <v/>
      </c>
      <c r="T114" s="185"/>
      <c r="U114" s="185"/>
      <c r="V114" s="185"/>
    </row>
    <row r="115" ht="14.25" customHeight="1">
      <c r="A115" s="178"/>
      <c r="B115" s="12">
        <v>1739637.0</v>
      </c>
      <c r="C115" s="13">
        <v>45944.90505787037</v>
      </c>
      <c r="D115" s="179" t="s">
        <v>81</v>
      </c>
      <c r="E115" s="180" t="s">
        <v>6635</v>
      </c>
      <c r="F115" s="188"/>
      <c r="G115" s="179" t="s">
        <v>6636</v>
      </c>
      <c r="H115" s="190"/>
      <c r="I115" s="190"/>
      <c r="J115" s="187" t="s">
        <v>1782</v>
      </c>
      <c r="K115" s="187"/>
      <c r="L115" s="184" t="str">
        <f>IFERROR(__xludf.DUMMYFUNCTION("ifna(IF(and(D115=""Saída"",J115=""Sangria""),if(sum(QUERY(IMPORTRANGE(""https://docs.google.com/spreadsheets/d/1ykfbEpHEAAZVCgujsGjRFJRCTULkzlWa8UjdyLzkDBM"",""BD M Sangrias!a:i""),""select Col6 where Col7 = 'Depositada' and Col9 = '""&amp;K115&amp;""' and Col6 ="&amp;" ""&amp;M115&amp;"" and Col4 = date '""&amp;YEAR(C115)&amp;""-""&amp;MONTH(C115)&amp;""-""&amp;DAY(C115)&amp;""'""))&gt;0,""Depositada"",if(sum(QUERY(IMPORTRANGE(""https://docs.google.com/spreadsheets/d/1ykfbEpHEAAZVCgujsGjRFJRCTULkzlWa8UjdyLzkDBM"",""BD M Sangrias!a:i""),""select Col6 whe"&amp;"re Col7 = 'Caixa Atendimento' and Col9 = '""&amp;K115&amp;""' and Col6 = ""&amp;M115&amp;"" and Col4 = date '""&amp;YEAR(C115)&amp;""-""&amp;MONTH(C115)&amp;""-""&amp;DAY(C115)&amp;""'""))&gt;0,""Caixa Atendimento"",""Caixa Sangria"")),""""),""Caixa Sangria"")"),"")</f>
        <v/>
      </c>
      <c r="M115" s="185">
        <f>IFERROR(__xludf.DUMMYFUNCTION("ifna(VALUE(REGEXEXTRACT(E115,""[0-9.]+[,]+[0-9]+"")))"),97.1)</f>
        <v>97.1</v>
      </c>
      <c r="N115" s="229"/>
      <c r="O115" s="221"/>
      <c r="P115" s="221"/>
      <c r="Q115" s="231" t="str">
        <f t="shared" si="2"/>
        <v/>
      </c>
      <c r="R115" s="221" t="str">
        <f t="shared" si="3"/>
        <v/>
      </c>
      <c r="S115" s="218" t="str">
        <f t="shared" si="1"/>
        <v/>
      </c>
      <c r="T115" s="185"/>
      <c r="U115" s="185"/>
      <c r="V115" s="185"/>
    </row>
    <row r="116" ht="14.25" customHeight="1">
      <c r="A116" s="178"/>
      <c r="B116" s="12">
        <v>1739640.0</v>
      </c>
      <c r="C116" s="13">
        <v>45944.905335648145</v>
      </c>
      <c r="D116" s="179" t="s">
        <v>81</v>
      </c>
      <c r="E116" s="180" t="s">
        <v>162</v>
      </c>
      <c r="F116" s="181"/>
      <c r="G116" s="179" t="s">
        <v>6639</v>
      </c>
      <c r="H116" s="190"/>
      <c r="I116" s="190"/>
      <c r="J116" s="187" t="s">
        <v>1782</v>
      </c>
      <c r="K116" s="187"/>
      <c r="L116" s="184" t="str">
        <f>IFERROR(__xludf.DUMMYFUNCTION("ifna(IF(and(D116=""Saída"",J116=""Sangria""),if(sum(QUERY(IMPORTRANGE(""https://docs.google.com/spreadsheets/d/1ykfbEpHEAAZVCgujsGjRFJRCTULkzlWa8UjdyLzkDBM"",""BD M Sangrias!a:i""),""select Col6 where Col7 = 'Depositada' and Col9 = '""&amp;K116&amp;""' and Col6 ="&amp;" ""&amp;M116&amp;"" and Col4 = date '""&amp;YEAR(C116)&amp;""-""&amp;MONTH(C116)&amp;""-""&amp;DAY(C116)&amp;""'""))&gt;0,""Depositada"",if(sum(QUERY(IMPORTRANGE(""https://docs.google.com/spreadsheets/d/1ykfbEpHEAAZVCgujsGjRFJRCTULkzlWa8UjdyLzkDBM"",""BD M Sangrias!a:i""),""select Col6 whe"&amp;"re Col7 = 'Caixa Atendimento' and Col9 = '""&amp;K116&amp;""' and Col6 = ""&amp;M116&amp;"" and Col4 = date '""&amp;YEAR(C116)&amp;""-""&amp;MONTH(C116)&amp;""-""&amp;DAY(C116)&amp;""'""))&gt;0,""Caixa Atendimento"",""Caixa Sangria"")),""""),""Caixa Sangria"")"),"")</f>
        <v/>
      </c>
      <c r="M116" s="185">
        <f>IFERROR(__xludf.DUMMYFUNCTION("ifna(VALUE(REGEXEXTRACT(E116,""[0-9.]+[,]+[0-9]+"")))"),150.0)</f>
        <v>150</v>
      </c>
      <c r="N116" s="226"/>
      <c r="O116" s="220"/>
      <c r="P116" s="220"/>
      <c r="Q116" s="228" t="str">
        <f t="shared" si="2"/>
        <v/>
      </c>
      <c r="R116" s="220" t="str">
        <f t="shared" si="3"/>
        <v/>
      </c>
      <c r="S116" s="218" t="str">
        <f t="shared" si="1"/>
        <v/>
      </c>
      <c r="T116" s="185"/>
      <c r="U116" s="185"/>
      <c r="V116" s="185"/>
    </row>
    <row r="117" ht="14.25" customHeight="1">
      <c r="A117" s="178"/>
      <c r="B117" s="12">
        <v>1740020.0</v>
      </c>
      <c r="C117" s="13">
        <v>45944.95211805555</v>
      </c>
      <c r="D117" s="179" t="s">
        <v>81</v>
      </c>
      <c r="E117" s="180" t="s">
        <v>6640</v>
      </c>
      <c r="F117" s="188"/>
      <c r="G117" s="179" t="s">
        <v>4071</v>
      </c>
      <c r="H117" s="190"/>
      <c r="I117" s="190"/>
      <c r="J117" s="187" t="s">
        <v>2735</v>
      </c>
      <c r="K117" s="187" t="s">
        <v>2018</v>
      </c>
      <c r="L117" s="184" t="str">
        <f>IFERROR(__xludf.DUMMYFUNCTION("ifna(IF(and(D117=""Saída"",J117=""Sangria""),if(sum(QUERY(IMPORTRANGE(""https://docs.google.com/spreadsheets/d/1ykfbEpHEAAZVCgujsGjRFJRCTULkzlWa8UjdyLzkDBM"",""BD M Sangrias!a:i""),""select Col6 where Col7 = 'Depositada' and Col9 = '""&amp;K117&amp;""' and Col6 ="&amp;" ""&amp;M117&amp;"" and Col4 = date '""&amp;YEAR(C117)&amp;""-""&amp;MONTH(C117)&amp;""-""&amp;DAY(C117)&amp;""'""))&gt;0,""Depositada"",if(sum(QUERY(IMPORTRANGE(""https://docs.google.com/spreadsheets/d/1ykfbEpHEAAZVCgujsGjRFJRCTULkzlWa8UjdyLzkDBM"",""BD M Sangrias!a:i""),""select Col6 whe"&amp;"re Col7 = 'Caixa Atendimento' and Col9 = '""&amp;K117&amp;""' and Col6 = ""&amp;M117&amp;"" and Col4 = date '""&amp;YEAR(C117)&amp;""-""&amp;MONTH(C117)&amp;""-""&amp;DAY(C117)&amp;""'""))&gt;0,""Caixa Atendimento"",""Caixa Sangria"")),""""),""Caixa Sangria"")"),"#REF!")</f>
        <v>#REF!</v>
      </c>
      <c r="M117" s="185">
        <f>IFERROR(__xludf.DUMMYFUNCTION("ifna(VALUE(REGEXEXTRACT(E117,""[0-9.]+[,]+[0-9]+"")))"),930.0)</f>
        <v>930</v>
      </c>
      <c r="N117" s="229"/>
      <c r="O117" s="221"/>
      <c r="P117" s="221"/>
      <c r="Q117" s="231" t="str">
        <f t="shared" si="2"/>
        <v/>
      </c>
      <c r="R117" s="221" t="str">
        <f t="shared" si="3"/>
        <v/>
      </c>
      <c r="S117" s="232" t="str">
        <f t="shared" ref="S117:S138" si="4">IFERROR(VLOOKUP(P117, $A$4:$B$18, 2, FALSE), "")</f>
        <v/>
      </c>
      <c r="T117" s="185"/>
      <c r="U117" s="185"/>
      <c r="V117" s="185"/>
    </row>
    <row r="118" ht="14.25" customHeight="1">
      <c r="A118" s="178"/>
      <c r="B118" s="12">
        <v>1740817.0</v>
      </c>
      <c r="C118" s="13">
        <v>45945.70563657407</v>
      </c>
      <c r="D118" s="179" t="s">
        <v>152</v>
      </c>
      <c r="E118" s="180" t="s">
        <v>5984</v>
      </c>
      <c r="F118" s="181"/>
      <c r="G118" s="179" t="s">
        <v>267</v>
      </c>
      <c r="H118" s="190"/>
      <c r="I118" s="190"/>
      <c r="J118" s="187" t="s">
        <v>2669</v>
      </c>
      <c r="K118" s="187"/>
      <c r="L118" s="184" t="str">
        <f>IFERROR(__xludf.DUMMYFUNCTION("ifna(IF(and(D118=""Saída"",J118=""Sangria""),if(sum(QUERY(IMPORTRANGE(""https://docs.google.com/spreadsheets/d/1ykfbEpHEAAZVCgujsGjRFJRCTULkzlWa8UjdyLzkDBM"",""BD M Sangrias!a:i""),""select Col6 where Col7 = 'Depositada' and Col9 = '""&amp;K118&amp;""' and Col6 ="&amp;" ""&amp;M118&amp;"" and Col4 = date '""&amp;YEAR(C118)&amp;""-""&amp;MONTH(C118)&amp;""-""&amp;DAY(C118)&amp;""'""))&gt;0,""Depositada"",if(sum(QUERY(IMPORTRANGE(""https://docs.google.com/spreadsheets/d/1ykfbEpHEAAZVCgujsGjRFJRCTULkzlWa8UjdyLzkDBM"",""BD M Sangrias!a:i""),""select Col6 whe"&amp;"re Col7 = 'Caixa Atendimento' and Col9 = '""&amp;K118&amp;""' and Col6 = ""&amp;M118&amp;"" and Col4 = date '""&amp;YEAR(C118)&amp;""-""&amp;MONTH(C118)&amp;""-""&amp;DAY(C118)&amp;""'""))&gt;0,""Caixa Atendimento"",""Caixa Sangria"")),""""),""Caixa Sangria"")"),"")</f>
        <v/>
      </c>
      <c r="M118" s="185">
        <f>IFERROR(__xludf.DUMMYFUNCTION("ifna(VALUE(REGEXEXTRACT(E118,""[0-9.]+[,]+[0-9]+"")))"),33.0)</f>
        <v>33</v>
      </c>
      <c r="N118" s="226"/>
      <c r="O118" s="220"/>
      <c r="P118" s="220"/>
      <c r="Q118" s="228" t="str">
        <f t="shared" si="2"/>
        <v/>
      </c>
      <c r="R118" s="220" t="str">
        <f t="shared" si="3"/>
        <v/>
      </c>
      <c r="S118" s="232" t="str">
        <f t="shared" si="4"/>
        <v/>
      </c>
      <c r="T118" s="185"/>
      <c r="U118" s="185"/>
      <c r="V118" s="185"/>
    </row>
    <row r="119" ht="14.25" customHeight="1">
      <c r="A119" s="178"/>
      <c r="B119" s="12">
        <v>1741637.0</v>
      </c>
      <c r="C119" s="13">
        <v>45945.91143518518</v>
      </c>
      <c r="D119" s="179" t="s">
        <v>81</v>
      </c>
      <c r="E119" s="180" t="s">
        <v>6644</v>
      </c>
      <c r="F119" s="181"/>
      <c r="G119" s="179" t="s">
        <v>544</v>
      </c>
      <c r="H119" s="190"/>
      <c r="I119" s="190"/>
      <c r="J119" s="187" t="s">
        <v>2019</v>
      </c>
      <c r="K119" s="187" t="s">
        <v>2078</v>
      </c>
      <c r="L119" s="184" t="str">
        <f>IFERROR(__xludf.DUMMYFUNCTION("ifna(IF(and(D119=""Saída"",J119=""Sangria""),if(sum(QUERY(IMPORTRANGE(""https://docs.google.com/spreadsheets/d/1ykfbEpHEAAZVCgujsGjRFJRCTULkzlWa8UjdyLzkDBM"",""BD M Sangrias!a:i""),""select Col6 where Col7 = 'Depositada' and Col9 = '""&amp;K119&amp;""' and Col6 ="&amp;" ""&amp;M119&amp;"" and Col4 = date '""&amp;YEAR(C119)&amp;""-""&amp;MONTH(C119)&amp;""-""&amp;DAY(C119)&amp;""'""))&gt;0,""Depositada"",if(sum(QUERY(IMPORTRANGE(""https://docs.google.com/spreadsheets/d/1ykfbEpHEAAZVCgujsGjRFJRCTULkzlWa8UjdyLzkDBM"",""BD M Sangrias!a:i""),""select Col6 whe"&amp;"re Col7 = 'Caixa Atendimento' and Col9 = '""&amp;K119&amp;""' and Col6 = ""&amp;M119&amp;"" and Col4 = date '""&amp;YEAR(C119)&amp;""-""&amp;MONTH(C119)&amp;""-""&amp;DAY(C119)&amp;""'""))&gt;0,""Caixa Atendimento"",""Caixa Sangria"")),""""),""Caixa Sangria"")"),"")</f>
        <v/>
      </c>
      <c r="M119" s="185">
        <f>IFERROR(__xludf.DUMMYFUNCTION("ifna(VALUE(REGEXEXTRACT(E119,""[0-9.]+[,]+[0-9]+"")))"),19.5)</f>
        <v>19.5</v>
      </c>
      <c r="N119" s="229"/>
      <c r="O119" s="221"/>
      <c r="P119" s="221"/>
      <c r="Q119" s="231" t="str">
        <f t="shared" si="2"/>
        <v/>
      </c>
      <c r="R119" s="221" t="str">
        <f t="shared" si="3"/>
        <v/>
      </c>
      <c r="S119" s="232" t="str">
        <f t="shared" si="4"/>
        <v/>
      </c>
      <c r="T119" s="185"/>
      <c r="U119" s="185"/>
      <c r="V119" s="185"/>
    </row>
    <row r="120" ht="14.25" customHeight="1">
      <c r="A120" s="178"/>
      <c r="B120" s="12">
        <v>1741673.0</v>
      </c>
      <c r="C120" s="13">
        <v>45945.91556712963</v>
      </c>
      <c r="D120" s="179" t="s">
        <v>152</v>
      </c>
      <c r="E120" s="180" t="s">
        <v>609</v>
      </c>
      <c r="F120" s="181"/>
      <c r="G120" s="179" t="s">
        <v>6341</v>
      </c>
      <c r="H120" s="190"/>
      <c r="I120" s="190"/>
      <c r="J120" s="187" t="s">
        <v>2669</v>
      </c>
      <c r="K120" s="187"/>
      <c r="L120" s="184" t="str">
        <f>IFERROR(__xludf.DUMMYFUNCTION("ifna(IF(and(D120=""Saída"",J120=""Sangria""),if(sum(QUERY(IMPORTRANGE(""https://docs.google.com/spreadsheets/d/1ykfbEpHEAAZVCgujsGjRFJRCTULkzlWa8UjdyLzkDBM"",""BD M Sangrias!a:i""),""select Col6 where Col7 = 'Depositada' and Col9 = '""&amp;K120&amp;""' and Col6 ="&amp;" ""&amp;M120&amp;"" and Col4 = date '""&amp;YEAR(C120)&amp;""-""&amp;MONTH(C120)&amp;""-""&amp;DAY(C120)&amp;""'""))&gt;0,""Depositada"",if(sum(QUERY(IMPORTRANGE(""https://docs.google.com/spreadsheets/d/1ykfbEpHEAAZVCgujsGjRFJRCTULkzlWa8UjdyLzkDBM"",""BD M Sangrias!a:i""),""select Col6 whe"&amp;"re Col7 = 'Caixa Atendimento' and Col9 = '""&amp;K120&amp;""' and Col6 = ""&amp;M120&amp;"" and Col4 = date '""&amp;YEAR(C120)&amp;""-""&amp;MONTH(C120)&amp;""-""&amp;DAY(C120)&amp;""'""))&gt;0,""Caixa Atendimento"",""Caixa Sangria"")),""""),""Caixa Sangria"")"),"")</f>
        <v/>
      </c>
      <c r="M120" s="185">
        <f>IFERROR(__xludf.DUMMYFUNCTION("ifna(VALUE(REGEXEXTRACT(E120,""[0-9.]+[,]+[0-9]+"")))"),82.0)</f>
        <v>82</v>
      </c>
      <c r="N120" s="226"/>
      <c r="O120" s="220"/>
      <c r="P120" s="220"/>
      <c r="Q120" s="228" t="str">
        <f t="shared" si="2"/>
        <v/>
      </c>
      <c r="R120" s="220" t="str">
        <f t="shared" si="3"/>
        <v/>
      </c>
      <c r="S120" s="232" t="str">
        <f t="shared" si="4"/>
        <v/>
      </c>
      <c r="T120" s="185"/>
      <c r="U120" s="185"/>
      <c r="V120" s="185"/>
    </row>
    <row r="121" ht="14.25" customHeight="1">
      <c r="A121" s="178"/>
      <c r="B121" s="12">
        <v>1741723.0</v>
      </c>
      <c r="C121" s="13">
        <v>45945.91993055555</v>
      </c>
      <c r="D121" s="179" t="s">
        <v>81</v>
      </c>
      <c r="E121" s="180" t="s">
        <v>6306</v>
      </c>
      <c r="F121" s="181"/>
      <c r="G121" s="179" t="s">
        <v>3907</v>
      </c>
      <c r="H121" s="190"/>
      <c r="I121" s="190"/>
      <c r="J121" s="187" t="s">
        <v>2735</v>
      </c>
      <c r="K121" s="187" t="s">
        <v>2018</v>
      </c>
      <c r="L121" s="184" t="str">
        <f>IFERROR(__xludf.DUMMYFUNCTION("ifna(IF(and(D121=""Saída"",J121=""Sangria""),if(sum(QUERY(IMPORTRANGE(""https://docs.google.com/spreadsheets/d/1ykfbEpHEAAZVCgujsGjRFJRCTULkzlWa8UjdyLzkDBM"",""BD M Sangrias!a:i""),""select Col6 where Col7 = 'Depositada' and Col9 = '""&amp;K121&amp;""' and Col6 ="&amp;" ""&amp;M121&amp;"" and Col4 = date '""&amp;YEAR(C121)&amp;""-""&amp;MONTH(C121)&amp;""-""&amp;DAY(C121)&amp;""'""))&gt;0,""Depositada"",if(sum(QUERY(IMPORTRANGE(""https://docs.google.com/spreadsheets/d/1ykfbEpHEAAZVCgujsGjRFJRCTULkzlWa8UjdyLzkDBM"",""BD M Sangrias!a:i""),""select Col6 whe"&amp;"re Col7 = 'Caixa Atendimento' and Col9 = '""&amp;K121&amp;""' and Col6 = ""&amp;M121&amp;"" and Col4 = date '""&amp;YEAR(C121)&amp;""-""&amp;MONTH(C121)&amp;""-""&amp;DAY(C121)&amp;""'""))&gt;0,""Caixa Atendimento"",""Caixa Sangria"")),""""),""Caixa Sangria"")"),"#REF!")</f>
        <v>#REF!</v>
      </c>
      <c r="M121" s="185">
        <f>IFERROR(__xludf.DUMMYFUNCTION("ifna(VALUE(REGEXEXTRACT(E121,""[0-9.]+[,]+[0-9]+"")))"),1650.0)</f>
        <v>1650</v>
      </c>
      <c r="N121" s="229"/>
      <c r="O121" s="221"/>
      <c r="P121" s="221"/>
      <c r="Q121" s="231" t="str">
        <f t="shared" si="2"/>
        <v/>
      </c>
      <c r="R121" s="221" t="str">
        <f t="shared" si="3"/>
        <v/>
      </c>
      <c r="S121" s="232" t="str">
        <f t="shared" si="4"/>
        <v/>
      </c>
      <c r="T121" s="185"/>
      <c r="U121" s="185"/>
      <c r="V121" s="185"/>
    </row>
    <row r="122" ht="14.25" customHeight="1">
      <c r="A122" s="178"/>
      <c r="B122" s="12">
        <v>1742777.0</v>
      </c>
      <c r="C122" s="13">
        <v>45946.72064814815</v>
      </c>
      <c r="D122" s="179" t="s">
        <v>81</v>
      </c>
      <c r="E122" s="180" t="s">
        <v>6648</v>
      </c>
      <c r="F122" s="181"/>
      <c r="G122" s="179" t="s">
        <v>5810</v>
      </c>
      <c r="H122" s="190"/>
      <c r="I122" s="190"/>
      <c r="J122" s="187" t="s">
        <v>2019</v>
      </c>
      <c r="K122" s="187" t="s">
        <v>2117</v>
      </c>
      <c r="L122" s="184" t="str">
        <f>IFERROR(__xludf.DUMMYFUNCTION("ifna(IF(and(D122=""Saída"",J122=""Sangria""),if(sum(QUERY(IMPORTRANGE(""https://docs.google.com/spreadsheets/d/1ykfbEpHEAAZVCgujsGjRFJRCTULkzlWa8UjdyLzkDBM"",""BD M Sangrias!a:i""),""select Col6 where Col7 = 'Depositada' and Col9 = '""&amp;K122&amp;""' and Col6 ="&amp;" ""&amp;M122&amp;"" and Col4 = date '""&amp;YEAR(C122)&amp;""-""&amp;MONTH(C122)&amp;""-""&amp;DAY(C122)&amp;""'""))&gt;0,""Depositada"",if(sum(QUERY(IMPORTRANGE(""https://docs.google.com/spreadsheets/d/1ykfbEpHEAAZVCgujsGjRFJRCTULkzlWa8UjdyLzkDBM"",""BD M Sangrias!a:i""),""select Col6 whe"&amp;"re Col7 = 'Caixa Atendimento' and Col9 = '""&amp;K122&amp;""' and Col6 = ""&amp;M122&amp;"" and Col4 = date '""&amp;YEAR(C122)&amp;""-""&amp;MONTH(C122)&amp;""-""&amp;DAY(C122)&amp;""'""))&gt;0,""Caixa Atendimento"",""Caixa Sangria"")),""""),""Caixa Sangria"")"),"")</f>
        <v/>
      </c>
      <c r="M122" s="185">
        <f>IFERROR(__xludf.DUMMYFUNCTION("ifna(VALUE(REGEXEXTRACT(E122,""[0-9.]+[,]+[0-9]+"")))"),17.74)</f>
        <v>17.74</v>
      </c>
      <c r="N122" s="226"/>
      <c r="O122" s="220"/>
      <c r="P122" s="220"/>
      <c r="Q122" s="228" t="str">
        <f t="shared" si="2"/>
        <v/>
      </c>
      <c r="R122" s="220" t="str">
        <f t="shared" si="3"/>
        <v/>
      </c>
      <c r="S122" s="232" t="str">
        <f t="shared" si="4"/>
        <v/>
      </c>
      <c r="T122" s="185"/>
      <c r="U122" s="185"/>
      <c r="V122" s="185"/>
    </row>
    <row r="123" ht="14.25" customHeight="1">
      <c r="A123" s="178"/>
      <c r="B123" s="12">
        <v>1742780.0</v>
      </c>
      <c r="C123" s="13">
        <v>45946.720983796295</v>
      </c>
      <c r="D123" s="179" t="s">
        <v>81</v>
      </c>
      <c r="E123" s="180" t="s">
        <v>6650</v>
      </c>
      <c r="F123" s="181"/>
      <c r="G123" s="179" t="s">
        <v>193</v>
      </c>
      <c r="H123" s="190"/>
      <c r="I123" s="190"/>
      <c r="J123" s="187" t="s">
        <v>3151</v>
      </c>
      <c r="K123" s="187"/>
      <c r="L123" s="184" t="str">
        <f>IFERROR(__xludf.DUMMYFUNCTION("ifna(IF(and(D123=""Saída"",J123=""Sangria""),if(sum(QUERY(IMPORTRANGE(""https://docs.google.com/spreadsheets/d/1ykfbEpHEAAZVCgujsGjRFJRCTULkzlWa8UjdyLzkDBM"",""BD M Sangrias!a:i""),""select Col6 where Col7 = 'Depositada' and Col9 = '""&amp;K123&amp;""' and Col6 ="&amp;" ""&amp;M123&amp;"" and Col4 = date '""&amp;YEAR(C123)&amp;""-""&amp;MONTH(C123)&amp;""-""&amp;DAY(C123)&amp;""'""))&gt;0,""Depositada"",if(sum(QUERY(IMPORTRANGE(""https://docs.google.com/spreadsheets/d/1ykfbEpHEAAZVCgujsGjRFJRCTULkzlWa8UjdyLzkDBM"",""BD M Sangrias!a:i""),""select Col6 whe"&amp;"re Col7 = 'Caixa Atendimento' and Col9 = '""&amp;K123&amp;""' and Col6 = ""&amp;M123&amp;"" and Col4 = date '""&amp;YEAR(C123)&amp;""-""&amp;MONTH(C123)&amp;""-""&amp;DAY(C123)&amp;""'""))&gt;0,""Caixa Atendimento"",""Caixa Sangria"")),""""),""Caixa Sangria"")"),"")</f>
        <v/>
      </c>
      <c r="M123" s="185">
        <f>IFERROR(__xludf.DUMMYFUNCTION("ifna(VALUE(REGEXEXTRACT(E123,""[0-9.]+[,]+[0-9]+"")))"),5.77)</f>
        <v>5.77</v>
      </c>
      <c r="N123" s="229"/>
      <c r="O123" s="221"/>
      <c r="P123" s="221"/>
      <c r="Q123" s="231" t="str">
        <f t="shared" si="2"/>
        <v/>
      </c>
      <c r="R123" s="221" t="str">
        <f t="shared" si="3"/>
        <v/>
      </c>
      <c r="S123" s="232" t="str">
        <f t="shared" si="4"/>
        <v/>
      </c>
      <c r="T123" s="185"/>
      <c r="U123" s="185"/>
      <c r="V123" s="185"/>
    </row>
    <row r="124" ht="14.25" customHeight="1">
      <c r="A124" s="178"/>
      <c r="B124" s="12">
        <v>1743596.0</v>
      </c>
      <c r="C124" s="13">
        <v>45946.94159722222</v>
      </c>
      <c r="D124" s="179" t="s">
        <v>81</v>
      </c>
      <c r="E124" s="180" t="s">
        <v>343</v>
      </c>
      <c r="F124" s="181"/>
      <c r="G124" s="179" t="s">
        <v>4071</v>
      </c>
      <c r="H124" s="190"/>
      <c r="I124" s="190"/>
      <c r="J124" s="187" t="s">
        <v>2735</v>
      </c>
      <c r="K124" s="187" t="s">
        <v>2018</v>
      </c>
      <c r="L124" s="184" t="str">
        <f>IFERROR(__xludf.DUMMYFUNCTION("ifna(IF(and(D124=""Saída"",J124=""Sangria""),if(sum(QUERY(IMPORTRANGE(""https://docs.google.com/spreadsheets/d/1ykfbEpHEAAZVCgujsGjRFJRCTULkzlWa8UjdyLzkDBM"",""BD M Sangrias!a:i""),""select Col6 where Col7 = 'Depositada' and Col9 = '""&amp;K124&amp;""' and Col6 ="&amp;" ""&amp;M124&amp;"" and Col4 = date '""&amp;YEAR(C124)&amp;""-""&amp;MONTH(C124)&amp;""-""&amp;DAY(C124)&amp;""'""))&gt;0,""Depositada"",if(sum(QUERY(IMPORTRANGE(""https://docs.google.com/spreadsheets/d/1ykfbEpHEAAZVCgujsGjRFJRCTULkzlWa8UjdyLzkDBM"",""BD M Sangrias!a:i""),""select Col6 whe"&amp;"re Col7 = 'Caixa Atendimento' and Col9 = '""&amp;K124&amp;""' and Col6 = ""&amp;M124&amp;"" and Col4 = date '""&amp;YEAR(C124)&amp;""-""&amp;MONTH(C124)&amp;""-""&amp;DAY(C124)&amp;""'""))&gt;0,""Caixa Atendimento"",""Caixa Sangria"")),""""),""Caixa Sangria"")"),"#REF!")</f>
        <v>#REF!</v>
      </c>
      <c r="M124" s="185">
        <f>IFERROR(__xludf.DUMMYFUNCTION("ifna(VALUE(REGEXEXTRACT(E124,""[0-9.]+[,]+[0-9]+"")))"),550.0)</f>
        <v>550</v>
      </c>
      <c r="N124" s="226"/>
      <c r="O124" s="220"/>
      <c r="P124" s="220"/>
      <c r="Q124" s="228" t="str">
        <f t="shared" si="2"/>
        <v/>
      </c>
      <c r="R124" s="220" t="str">
        <f t="shared" si="3"/>
        <v/>
      </c>
      <c r="S124" s="232" t="str">
        <f t="shared" si="4"/>
        <v/>
      </c>
      <c r="T124" s="185"/>
      <c r="U124" s="185"/>
      <c r="V124" s="185"/>
    </row>
    <row r="125" ht="14.25" customHeight="1">
      <c r="A125" s="178"/>
      <c r="B125" s="12">
        <v>1744746.0</v>
      </c>
      <c r="C125" s="13">
        <v>45947.78481481481</v>
      </c>
      <c r="D125" s="179" t="s">
        <v>152</v>
      </c>
      <c r="E125" s="180" t="s">
        <v>200</v>
      </c>
      <c r="F125" s="181"/>
      <c r="G125" s="179" t="s">
        <v>5192</v>
      </c>
      <c r="H125" s="190"/>
      <c r="I125" s="190"/>
      <c r="J125" s="187" t="s">
        <v>5195</v>
      </c>
      <c r="K125" s="187"/>
      <c r="L125" s="184" t="str">
        <f>IFERROR(__xludf.DUMMYFUNCTION("ifna(IF(and(D125=""Saída"",J125=""Sangria""),if(sum(QUERY(IMPORTRANGE(""https://docs.google.com/spreadsheets/d/1ykfbEpHEAAZVCgujsGjRFJRCTULkzlWa8UjdyLzkDBM"",""BD M Sangrias!a:i""),""select Col6 where Col7 = 'Depositada' and Col9 = '""&amp;K125&amp;""' and Col6 ="&amp;" ""&amp;M125&amp;"" and Col4 = date '""&amp;YEAR(C125)&amp;""-""&amp;MONTH(C125)&amp;""-""&amp;DAY(C125)&amp;""'""))&gt;0,""Depositada"",if(sum(QUERY(IMPORTRANGE(""https://docs.google.com/spreadsheets/d/1ykfbEpHEAAZVCgujsGjRFJRCTULkzlWa8UjdyLzkDBM"",""BD M Sangrias!a:i""),""select Col6 whe"&amp;"re Col7 = 'Caixa Atendimento' and Col9 = '""&amp;K125&amp;""' and Col6 = ""&amp;M125&amp;"" and Col4 = date '""&amp;YEAR(C125)&amp;""-""&amp;MONTH(C125)&amp;""-""&amp;DAY(C125)&amp;""'""))&gt;0,""Caixa Atendimento"",""Caixa Sangria"")),""""),""Caixa Sangria"")"),"")</f>
        <v/>
      </c>
      <c r="M125" s="185">
        <f>IFERROR(__xludf.DUMMYFUNCTION("ifna(VALUE(REGEXEXTRACT(E125,""[0-9.]+[,]+[0-9]+"")))"),300.0)</f>
        <v>300</v>
      </c>
      <c r="N125" s="229"/>
      <c r="O125" s="221"/>
      <c r="P125" s="221"/>
      <c r="Q125" s="231" t="str">
        <f t="shared" si="2"/>
        <v/>
      </c>
      <c r="R125" s="221" t="str">
        <f t="shared" si="3"/>
        <v/>
      </c>
      <c r="S125" s="232" t="str">
        <f t="shared" si="4"/>
        <v/>
      </c>
      <c r="T125" s="185"/>
      <c r="U125" s="185"/>
      <c r="V125" s="185"/>
    </row>
    <row r="126" ht="14.25" customHeight="1">
      <c r="A126" s="178"/>
      <c r="B126" s="12">
        <v>1744748.0</v>
      </c>
      <c r="C126" s="13">
        <v>45947.785046296296</v>
      </c>
      <c r="D126" s="179" t="s">
        <v>81</v>
      </c>
      <c r="E126" s="180" t="s">
        <v>6653</v>
      </c>
      <c r="F126" s="181"/>
      <c r="G126" s="179" t="s">
        <v>211</v>
      </c>
      <c r="H126" s="190"/>
      <c r="I126" s="190"/>
      <c r="J126" s="187" t="s">
        <v>3151</v>
      </c>
      <c r="K126" s="187"/>
      <c r="L126" s="184" t="str">
        <f>IFERROR(__xludf.DUMMYFUNCTION("ifna(IF(and(D126=""Saída"",J126=""Sangria""),if(sum(QUERY(IMPORTRANGE(""https://docs.google.com/spreadsheets/d/1ykfbEpHEAAZVCgujsGjRFJRCTULkzlWa8UjdyLzkDBM"",""BD M Sangrias!a:i""),""select Col6 where Col7 = 'Depositada' and Col9 = '""&amp;K126&amp;""' and Col6 ="&amp;" ""&amp;M126&amp;"" and Col4 = date '""&amp;YEAR(C126)&amp;""-""&amp;MONTH(C126)&amp;""-""&amp;DAY(C126)&amp;""'""))&gt;0,""Depositada"",if(sum(QUERY(IMPORTRANGE(""https://docs.google.com/spreadsheets/d/1ykfbEpHEAAZVCgujsGjRFJRCTULkzlWa8UjdyLzkDBM"",""BD M Sangrias!a:i""),""select Col6 whe"&amp;"re Col7 = 'Caixa Atendimento' and Col9 = '""&amp;K126&amp;""' and Col6 = ""&amp;M126&amp;"" and Col4 = date '""&amp;YEAR(C126)&amp;""-""&amp;MONTH(C126)&amp;""-""&amp;DAY(C126)&amp;""'""))&gt;0,""Caixa Atendimento"",""Caixa Sangria"")),""""),""Caixa Sangria"")"),"")</f>
        <v/>
      </c>
      <c r="M126" s="185">
        <f>IFERROR(__xludf.DUMMYFUNCTION("ifna(VALUE(REGEXEXTRACT(E126,""[0-9.]+[,]+[0-9]+"")))"),219.91)</f>
        <v>219.91</v>
      </c>
      <c r="N126" s="226"/>
      <c r="O126" s="220"/>
      <c r="P126" s="220"/>
      <c r="Q126" s="228" t="str">
        <f t="shared" si="2"/>
        <v/>
      </c>
      <c r="R126" s="220" t="str">
        <f t="shared" si="3"/>
        <v/>
      </c>
      <c r="S126" s="232" t="str">
        <f t="shared" si="4"/>
        <v/>
      </c>
      <c r="T126" s="185"/>
      <c r="U126" s="185"/>
      <c r="V126" s="185"/>
    </row>
    <row r="127" ht="14.25" customHeight="1">
      <c r="A127" s="178"/>
      <c r="B127" s="12">
        <v>1744769.0</v>
      </c>
      <c r="C127" s="13">
        <v>45947.79488425926</v>
      </c>
      <c r="D127" s="179" t="s">
        <v>152</v>
      </c>
      <c r="E127" s="180" t="s">
        <v>457</v>
      </c>
      <c r="F127" s="188"/>
      <c r="G127" s="179" t="s">
        <v>5296</v>
      </c>
      <c r="H127" s="190"/>
      <c r="I127" s="190"/>
      <c r="J127" s="187" t="s">
        <v>5195</v>
      </c>
      <c r="K127" s="187"/>
      <c r="L127" s="184" t="str">
        <f>IFERROR(__xludf.DUMMYFUNCTION("ifna(IF(and(D127=""Saída"",J127=""Sangria""),if(sum(QUERY(IMPORTRANGE(""https://docs.google.com/spreadsheets/d/1ykfbEpHEAAZVCgujsGjRFJRCTULkzlWa8UjdyLzkDBM"",""BD M Sangrias!a:i""),""select Col6 where Col7 = 'Depositada' and Col9 = '""&amp;K127&amp;""' and Col6 ="&amp;" ""&amp;M127&amp;"" and Col4 = date '""&amp;YEAR(C127)&amp;""-""&amp;MONTH(C127)&amp;""-""&amp;DAY(C127)&amp;""'""))&gt;0,""Depositada"",if(sum(QUERY(IMPORTRANGE(""https://docs.google.com/spreadsheets/d/1ykfbEpHEAAZVCgujsGjRFJRCTULkzlWa8UjdyLzkDBM"",""BD M Sangrias!a:i""),""select Col6 whe"&amp;"re Col7 = 'Caixa Atendimento' and Col9 = '""&amp;K127&amp;""' and Col6 = ""&amp;M127&amp;"" and Col4 = date '""&amp;YEAR(C127)&amp;""-""&amp;MONTH(C127)&amp;""-""&amp;DAY(C127)&amp;""'""))&gt;0,""Caixa Atendimento"",""Caixa Sangria"")),""""),""Caixa Sangria"")"),"")</f>
        <v/>
      </c>
      <c r="M127" s="185">
        <f>IFERROR(__xludf.DUMMYFUNCTION("ifna(VALUE(REGEXEXTRACT(E127,""[0-9.]+[,]+[0-9]+"")))"),200.0)</f>
        <v>200</v>
      </c>
      <c r="N127" s="229"/>
      <c r="O127" s="221"/>
      <c r="P127" s="221"/>
      <c r="Q127" s="231" t="str">
        <f t="shared" si="2"/>
        <v/>
      </c>
      <c r="R127" s="221" t="str">
        <f t="shared" si="3"/>
        <v/>
      </c>
      <c r="S127" s="232" t="str">
        <f t="shared" si="4"/>
        <v/>
      </c>
      <c r="T127" s="185"/>
      <c r="U127" s="185"/>
      <c r="V127" s="185"/>
    </row>
    <row r="128" ht="14.25" customHeight="1">
      <c r="A128" s="178"/>
      <c r="B128" s="12">
        <v>1744776.0</v>
      </c>
      <c r="C128" s="13">
        <v>45947.79552083334</v>
      </c>
      <c r="D128" s="179" t="s">
        <v>81</v>
      </c>
      <c r="E128" s="180" t="s">
        <v>5263</v>
      </c>
      <c r="F128" s="181"/>
      <c r="G128" s="179" t="s">
        <v>6655</v>
      </c>
      <c r="H128" s="190"/>
      <c r="I128" s="190"/>
      <c r="J128" s="187" t="s">
        <v>3151</v>
      </c>
      <c r="K128" s="187"/>
      <c r="L128" s="184" t="str">
        <f>IFERROR(__xludf.DUMMYFUNCTION("ifna(IF(and(D128=""Saída"",J128=""Sangria""),if(sum(QUERY(IMPORTRANGE(""https://docs.google.com/spreadsheets/d/1ykfbEpHEAAZVCgujsGjRFJRCTULkzlWa8UjdyLzkDBM"",""BD M Sangrias!a:i""),""select Col6 where Col7 = 'Depositada' and Col9 = '""&amp;K128&amp;""' and Col6 ="&amp;" ""&amp;M128&amp;"" and Col4 = date '""&amp;YEAR(C128)&amp;""-""&amp;MONTH(C128)&amp;""-""&amp;DAY(C128)&amp;""'""))&gt;0,""Depositada"",if(sum(QUERY(IMPORTRANGE(""https://docs.google.com/spreadsheets/d/1ykfbEpHEAAZVCgujsGjRFJRCTULkzlWa8UjdyLzkDBM"",""BD M Sangrias!a:i""),""select Col6 whe"&amp;"re Col7 = 'Caixa Atendimento' and Col9 = '""&amp;K128&amp;""' and Col6 = ""&amp;M128&amp;"" and Col4 = date '""&amp;YEAR(C128)&amp;""-""&amp;MONTH(C128)&amp;""-""&amp;DAY(C128)&amp;""'""))&gt;0,""Caixa Atendimento"",""Caixa Sangria"")),""""),""Caixa Sangria"")"),"")</f>
        <v/>
      </c>
      <c r="M128" s="185">
        <f>IFERROR(__xludf.DUMMYFUNCTION("ifna(VALUE(REGEXEXTRACT(E128,""[0-9.]+[,]+[0-9]+"")))"),180.0)</f>
        <v>180</v>
      </c>
      <c r="N128" s="226"/>
      <c r="O128" s="220"/>
      <c r="P128" s="220"/>
      <c r="Q128" s="228" t="str">
        <f t="shared" si="2"/>
        <v/>
      </c>
      <c r="R128" s="220" t="str">
        <f t="shared" si="3"/>
        <v/>
      </c>
      <c r="S128" s="232" t="str">
        <f t="shared" si="4"/>
        <v/>
      </c>
      <c r="T128" s="185"/>
      <c r="U128" s="185"/>
      <c r="V128" s="185"/>
    </row>
    <row r="129" ht="14.25" customHeight="1">
      <c r="A129" s="178"/>
      <c r="B129" s="12">
        <v>1745217.0</v>
      </c>
      <c r="C129" s="13">
        <v>45947.91638888889</v>
      </c>
      <c r="D129" s="179" t="s">
        <v>81</v>
      </c>
      <c r="E129" s="180" t="s">
        <v>6656</v>
      </c>
      <c r="F129" s="181"/>
      <c r="G129" s="179" t="s">
        <v>6657</v>
      </c>
      <c r="H129" s="190"/>
      <c r="I129" s="190"/>
      <c r="J129" s="187" t="s">
        <v>2019</v>
      </c>
      <c r="K129" s="187" t="s">
        <v>2078</v>
      </c>
      <c r="L129" s="184" t="str">
        <f>IFERROR(__xludf.DUMMYFUNCTION("ifna(IF(and(D129=""Saída"",J129=""Sangria""),if(sum(QUERY(IMPORTRANGE(""https://docs.google.com/spreadsheets/d/1ykfbEpHEAAZVCgujsGjRFJRCTULkzlWa8UjdyLzkDBM"",""BD M Sangrias!a:i""),""select Col6 where Col7 = 'Depositada' and Col9 = '""&amp;K129&amp;""' and Col6 ="&amp;" ""&amp;M129&amp;"" and Col4 = date '""&amp;YEAR(C129)&amp;""-""&amp;MONTH(C129)&amp;""-""&amp;DAY(C129)&amp;""'""))&gt;0,""Depositada"",if(sum(QUERY(IMPORTRANGE(""https://docs.google.com/spreadsheets/d/1ykfbEpHEAAZVCgujsGjRFJRCTULkzlWa8UjdyLzkDBM"",""BD M Sangrias!a:i""),""select Col6 whe"&amp;"re Col7 = 'Caixa Atendimento' and Col9 = '""&amp;K129&amp;""' and Col6 = ""&amp;M129&amp;"" and Col4 = date '""&amp;YEAR(C129)&amp;""-""&amp;MONTH(C129)&amp;""-""&amp;DAY(C129)&amp;""'""))&gt;0,""Caixa Atendimento"",""Caixa Sangria"")),""""),""Caixa Sangria"")"),"")</f>
        <v/>
      </c>
      <c r="M129" s="185">
        <f>IFERROR(__xludf.DUMMYFUNCTION("ifna(VALUE(REGEXEXTRACT(E129,""[0-9.]+[,]+[0-9]+"")))"),13.71)</f>
        <v>13.71</v>
      </c>
      <c r="N129" s="229"/>
      <c r="O129" s="221"/>
      <c r="P129" s="221"/>
      <c r="Q129" s="231" t="str">
        <f t="shared" si="2"/>
        <v/>
      </c>
      <c r="R129" s="221" t="str">
        <f t="shared" si="3"/>
        <v/>
      </c>
      <c r="S129" s="232" t="str">
        <f t="shared" si="4"/>
        <v/>
      </c>
      <c r="T129" s="185"/>
      <c r="U129" s="185"/>
      <c r="V129" s="185"/>
    </row>
    <row r="130" ht="14.25" customHeight="1">
      <c r="A130" s="178"/>
      <c r="B130" s="12">
        <v>1747010.0</v>
      </c>
      <c r="C130" s="13">
        <v>45948.91913194444</v>
      </c>
      <c r="D130" s="179" t="s">
        <v>81</v>
      </c>
      <c r="E130" s="180" t="s">
        <v>343</v>
      </c>
      <c r="F130" s="188"/>
      <c r="G130" s="179" t="s">
        <v>4071</v>
      </c>
      <c r="H130" s="190"/>
      <c r="I130" s="190"/>
      <c r="J130" s="187" t="s">
        <v>2735</v>
      </c>
      <c r="K130" s="187" t="s">
        <v>2018</v>
      </c>
      <c r="L130" s="184" t="str">
        <f>IFERROR(__xludf.DUMMYFUNCTION("ifna(IF(and(D130=""Saída"",J130=""Sangria""),if(sum(QUERY(IMPORTRANGE(""https://docs.google.com/spreadsheets/d/1ykfbEpHEAAZVCgujsGjRFJRCTULkzlWa8UjdyLzkDBM"",""BD M Sangrias!a:i""),""select Col6 where Col7 = 'Depositada' and Col9 = '""&amp;K130&amp;""' and Col6 ="&amp;" ""&amp;M130&amp;"" and Col4 = date '""&amp;YEAR(C130)&amp;""-""&amp;MONTH(C130)&amp;""-""&amp;DAY(C130)&amp;""'""))&gt;0,""Depositada"",if(sum(QUERY(IMPORTRANGE(""https://docs.google.com/spreadsheets/d/1ykfbEpHEAAZVCgujsGjRFJRCTULkzlWa8UjdyLzkDBM"",""BD M Sangrias!a:i""),""select Col6 whe"&amp;"re Col7 = 'Caixa Atendimento' and Col9 = '""&amp;K130&amp;""' and Col6 = ""&amp;M130&amp;"" and Col4 = date '""&amp;YEAR(C130)&amp;""-""&amp;MONTH(C130)&amp;""-""&amp;DAY(C130)&amp;""'""))&gt;0,""Caixa Atendimento"",""Caixa Sangria"")),""""),""Caixa Sangria"")"),"#REF!")</f>
        <v>#REF!</v>
      </c>
      <c r="M130" s="185">
        <f>IFERROR(__xludf.DUMMYFUNCTION("ifna(VALUE(REGEXEXTRACT(E130,""[0-9.]+[,]+[0-9]+"")))"),550.0)</f>
        <v>550</v>
      </c>
      <c r="N130" s="226"/>
      <c r="O130" s="220"/>
      <c r="P130" s="220"/>
      <c r="Q130" s="228" t="str">
        <f t="shared" si="2"/>
        <v/>
      </c>
      <c r="R130" s="220" t="str">
        <f t="shared" si="3"/>
        <v/>
      </c>
      <c r="S130" s="232" t="str">
        <f t="shared" si="4"/>
        <v/>
      </c>
      <c r="T130" s="185"/>
      <c r="U130" s="185"/>
      <c r="V130" s="185"/>
    </row>
    <row r="131" ht="14.25" customHeight="1">
      <c r="A131" s="178"/>
      <c r="B131" s="12">
        <v>1747639.0</v>
      </c>
      <c r="C131" s="13">
        <v>45949.56048611111</v>
      </c>
      <c r="D131" s="179" t="s">
        <v>152</v>
      </c>
      <c r="E131" s="180" t="s">
        <v>6659</v>
      </c>
      <c r="F131" s="181"/>
      <c r="G131" s="179" t="s">
        <v>267</v>
      </c>
      <c r="H131" s="190"/>
      <c r="I131" s="190"/>
      <c r="J131" s="233" t="s">
        <v>2669</v>
      </c>
      <c r="K131" s="187"/>
      <c r="L131" s="184" t="str">
        <f>IFERROR(__xludf.DUMMYFUNCTION("ifna(IF(and(D131=""Saída"",J131=""Sangria""),if(sum(QUERY(IMPORTRANGE(""https://docs.google.com/spreadsheets/d/1ykfbEpHEAAZVCgujsGjRFJRCTULkzlWa8UjdyLzkDBM"",""BD M Sangrias!a:i""),""select Col6 where Col7 = 'Depositada' and Col9 = '""&amp;K131&amp;""' and Col6 ="&amp;" ""&amp;M131&amp;"" and Col4 = date '""&amp;YEAR(C131)&amp;""-""&amp;MONTH(C131)&amp;""-""&amp;DAY(C131)&amp;""'""))&gt;0,""Depositada"",if(sum(QUERY(IMPORTRANGE(""https://docs.google.com/spreadsheets/d/1ykfbEpHEAAZVCgujsGjRFJRCTULkzlWa8UjdyLzkDBM"",""BD M Sangrias!a:i""),""select Col6 whe"&amp;"re Col7 = 'Caixa Atendimento' and Col9 = '""&amp;K131&amp;""' and Col6 = ""&amp;M131&amp;"" and Col4 = date '""&amp;YEAR(C131)&amp;""-""&amp;MONTH(C131)&amp;""-""&amp;DAY(C131)&amp;""'""))&gt;0,""Caixa Atendimento"",""Caixa Sangria"")),""""),""Caixa Sangria"")"),"")</f>
        <v/>
      </c>
      <c r="M131" s="185">
        <f>IFERROR(__xludf.DUMMYFUNCTION("ifna(VALUE(REGEXEXTRACT(E131,""[0-9.]+[,]+[0-9]+"")))"),49.4)</f>
        <v>49.4</v>
      </c>
      <c r="N131" s="229"/>
      <c r="O131" s="221"/>
      <c r="P131" s="221"/>
      <c r="Q131" s="231" t="str">
        <f t="shared" si="2"/>
        <v/>
      </c>
      <c r="R131" s="221" t="str">
        <f t="shared" si="3"/>
        <v/>
      </c>
      <c r="S131" s="232" t="str">
        <f t="shared" si="4"/>
        <v/>
      </c>
      <c r="T131" s="185"/>
      <c r="U131" s="185"/>
      <c r="V131" s="185"/>
    </row>
    <row r="132" ht="14.25" customHeight="1">
      <c r="A132" s="178"/>
      <c r="B132" s="12">
        <v>1748210.0</v>
      </c>
      <c r="C132" s="13">
        <v>45949.727627314816</v>
      </c>
      <c r="D132" s="179" t="s">
        <v>152</v>
      </c>
      <c r="E132" s="180" t="s">
        <v>6661</v>
      </c>
      <c r="F132" s="181"/>
      <c r="G132" s="179" t="s">
        <v>267</v>
      </c>
      <c r="H132" s="190"/>
      <c r="I132" s="190"/>
      <c r="J132" s="187" t="s">
        <v>2669</v>
      </c>
      <c r="K132" s="187"/>
      <c r="L132" s="184" t="str">
        <f>IFERROR(__xludf.DUMMYFUNCTION("ifna(IF(and(D132=""Saída"",J132=""Sangria""),if(sum(QUERY(IMPORTRANGE(""https://docs.google.com/spreadsheets/d/1ykfbEpHEAAZVCgujsGjRFJRCTULkzlWa8UjdyLzkDBM"",""BD M Sangrias!a:i""),""select Col6 where Col7 = 'Depositada' and Col9 = '""&amp;K132&amp;""' and Col6 ="&amp;" ""&amp;M132&amp;"" and Col4 = date '""&amp;YEAR(C132)&amp;""-""&amp;MONTH(C132)&amp;""-""&amp;DAY(C132)&amp;""'""))&gt;0,""Depositada"",if(sum(QUERY(IMPORTRANGE(""https://docs.google.com/spreadsheets/d/1ykfbEpHEAAZVCgujsGjRFJRCTULkzlWa8UjdyLzkDBM"",""BD M Sangrias!a:i""),""select Col6 whe"&amp;"re Col7 = 'Caixa Atendimento' and Col9 = '""&amp;K132&amp;""' and Col6 = ""&amp;M132&amp;"" and Col4 = date '""&amp;YEAR(C132)&amp;""-""&amp;MONTH(C132)&amp;""-""&amp;DAY(C132)&amp;""'""))&gt;0,""Caixa Atendimento"",""Caixa Sangria"")),""""),""Caixa Sangria"")"),"")</f>
        <v/>
      </c>
      <c r="M132" s="185">
        <f>IFERROR(__xludf.DUMMYFUNCTION("ifna(VALUE(REGEXEXTRACT(E132,""[0-9.]+[,]+[0-9]+"")))"),58.0)</f>
        <v>58</v>
      </c>
      <c r="N132" s="226"/>
      <c r="O132" s="220"/>
      <c r="P132" s="220"/>
      <c r="Q132" s="228" t="str">
        <f t="shared" si="2"/>
        <v/>
      </c>
      <c r="R132" s="220" t="str">
        <f t="shared" si="3"/>
        <v/>
      </c>
      <c r="S132" s="232" t="str">
        <f t="shared" si="4"/>
        <v/>
      </c>
      <c r="T132" s="185"/>
      <c r="U132" s="185"/>
      <c r="V132" s="185"/>
    </row>
    <row r="133" ht="14.25" customHeight="1">
      <c r="A133" s="178"/>
      <c r="B133" s="12">
        <v>1749507.0</v>
      </c>
      <c r="C133" s="13">
        <v>45949.92853009259</v>
      </c>
      <c r="D133" s="179" t="s">
        <v>81</v>
      </c>
      <c r="E133" s="180" t="s">
        <v>6354</v>
      </c>
      <c r="F133" s="181"/>
      <c r="G133" s="179" t="s">
        <v>6559</v>
      </c>
      <c r="H133" s="190"/>
      <c r="I133" s="190"/>
      <c r="J133" s="187" t="s">
        <v>1782</v>
      </c>
      <c r="K133" s="187"/>
      <c r="L133" s="184" t="str">
        <f>IFERROR(__xludf.DUMMYFUNCTION("ifna(IF(and(D133=""Saída"",J133=""Sangria""),if(sum(QUERY(IMPORTRANGE(""https://docs.google.com/spreadsheets/d/1ykfbEpHEAAZVCgujsGjRFJRCTULkzlWa8UjdyLzkDBM"",""BD M Sangrias!a:i""),""select Col6 where Col7 = 'Depositada' and Col9 = '""&amp;K133&amp;""' and Col6 ="&amp;" ""&amp;M133&amp;"" and Col4 = date '""&amp;YEAR(C133)&amp;""-""&amp;MONTH(C133)&amp;""-""&amp;DAY(C133)&amp;""'""))&gt;0,""Depositada"",if(sum(QUERY(IMPORTRANGE(""https://docs.google.com/spreadsheets/d/1ykfbEpHEAAZVCgujsGjRFJRCTULkzlWa8UjdyLzkDBM"",""BD M Sangrias!a:i""),""select Col6 whe"&amp;"re Col7 = 'Caixa Atendimento' and Col9 = '""&amp;K133&amp;""' and Col6 = ""&amp;M133&amp;"" and Col4 = date '""&amp;YEAR(C133)&amp;""-""&amp;MONTH(C133)&amp;""-""&amp;DAY(C133)&amp;""'""))&gt;0,""Caixa Atendimento"",""Caixa Sangria"")),""""),""Caixa Sangria"")"),"")</f>
        <v/>
      </c>
      <c r="M133" s="185">
        <f>IFERROR(__xludf.DUMMYFUNCTION("ifna(VALUE(REGEXEXTRACT(E133,""[0-9.]+[,]+[0-9]+"")))"),201.0)</f>
        <v>201</v>
      </c>
      <c r="N133" s="235"/>
      <c r="O133" s="236"/>
      <c r="P133" s="236"/>
      <c r="Q133" s="237" t="str">
        <f t="shared" si="2"/>
        <v/>
      </c>
      <c r="R133" s="236" t="str">
        <f t="shared" si="3"/>
        <v/>
      </c>
      <c r="S133" s="232" t="str">
        <f t="shared" si="4"/>
        <v/>
      </c>
      <c r="T133" s="185"/>
      <c r="U133" s="185"/>
      <c r="V133" s="185"/>
    </row>
    <row r="134" ht="14.25" customHeight="1">
      <c r="A134" s="178"/>
      <c r="B134" s="12">
        <v>1749512.0</v>
      </c>
      <c r="C134" s="13">
        <v>45949.92869212963</v>
      </c>
      <c r="D134" s="179" t="s">
        <v>81</v>
      </c>
      <c r="E134" s="180" t="s">
        <v>6666</v>
      </c>
      <c r="F134" s="181"/>
      <c r="G134" s="179" t="s">
        <v>6639</v>
      </c>
      <c r="H134" s="190"/>
      <c r="I134" s="190"/>
      <c r="J134" s="187" t="s">
        <v>1782</v>
      </c>
      <c r="K134" s="187"/>
      <c r="L134" s="184" t="str">
        <f>IFERROR(__xludf.DUMMYFUNCTION("ifna(IF(and(D134=""Saída"",J134=""Sangria""),if(sum(QUERY(IMPORTRANGE(""https://docs.google.com/spreadsheets/d/1ykfbEpHEAAZVCgujsGjRFJRCTULkzlWa8UjdyLzkDBM"",""BD M Sangrias!a:i""),""select Col6 where Col7 = 'Depositada' and Col9 = '""&amp;K134&amp;""' and Col6 ="&amp;" ""&amp;M134&amp;"" and Col4 = date '""&amp;YEAR(C134)&amp;""-""&amp;MONTH(C134)&amp;""-""&amp;DAY(C134)&amp;""'""))&gt;0,""Depositada"",if(sum(QUERY(IMPORTRANGE(""https://docs.google.com/spreadsheets/d/1ykfbEpHEAAZVCgujsGjRFJRCTULkzlWa8UjdyLzkDBM"",""BD M Sangrias!a:i""),""select Col6 whe"&amp;"re Col7 = 'Caixa Atendimento' and Col9 = '""&amp;K134&amp;""' and Col6 = ""&amp;M134&amp;"" and Col4 = date '""&amp;YEAR(C134)&amp;""-""&amp;MONTH(C134)&amp;""-""&amp;DAY(C134)&amp;""'""))&gt;0,""Caixa Atendimento"",""Caixa Sangria"")),""""),""Caixa Sangria"")"),"")</f>
        <v/>
      </c>
      <c r="M134" s="185">
        <f>IFERROR(__xludf.DUMMYFUNCTION("ifna(VALUE(REGEXEXTRACT(E134,""[0-9.]+[,]+[0-9]+"")))"),117.0)</f>
        <v>117</v>
      </c>
      <c r="N134" s="235"/>
      <c r="O134" s="236"/>
      <c r="P134" s="236"/>
      <c r="Q134" s="237" t="str">
        <f t="shared" si="2"/>
        <v/>
      </c>
      <c r="R134" s="236" t="str">
        <f t="shared" si="3"/>
        <v/>
      </c>
      <c r="S134" s="232" t="str">
        <f t="shared" si="4"/>
        <v/>
      </c>
      <c r="T134" s="185"/>
      <c r="U134" s="185"/>
      <c r="V134" s="185"/>
    </row>
    <row r="135" ht="14.25" customHeight="1">
      <c r="A135" s="178"/>
      <c r="B135" s="12">
        <v>1749546.0</v>
      </c>
      <c r="C135" s="13">
        <v>45949.93146990741</v>
      </c>
      <c r="D135" s="179" t="s">
        <v>81</v>
      </c>
      <c r="E135" s="180" t="s">
        <v>4010</v>
      </c>
      <c r="F135" s="181"/>
      <c r="G135" s="179" t="s">
        <v>4071</v>
      </c>
      <c r="H135" s="190"/>
      <c r="I135" s="190"/>
      <c r="J135" s="187" t="s">
        <v>2735</v>
      </c>
      <c r="K135" s="187" t="s">
        <v>2018</v>
      </c>
      <c r="L135" s="184" t="str">
        <f>IFERROR(__xludf.DUMMYFUNCTION("ifna(IF(and(D135=""Saída"",J135=""Sangria""),if(sum(QUERY(IMPORTRANGE(""https://docs.google.com/spreadsheets/d/1ykfbEpHEAAZVCgujsGjRFJRCTULkzlWa8UjdyLzkDBM"",""BD M Sangrias!a:i""),""select Col6 where Col7 = 'Depositada' and Col9 = '""&amp;K135&amp;""' and Col6 ="&amp;" ""&amp;M135&amp;"" and Col4 = date '""&amp;YEAR(C135)&amp;""-""&amp;MONTH(C135)&amp;""-""&amp;DAY(C135)&amp;""'""))&gt;0,""Depositada"",if(sum(QUERY(IMPORTRANGE(""https://docs.google.com/spreadsheets/d/1ykfbEpHEAAZVCgujsGjRFJRCTULkzlWa8UjdyLzkDBM"",""BD M Sangrias!a:i""),""select Col6 whe"&amp;"re Col7 = 'Caixa Atendimento' and Col9 = '""&amp;K135&amp;""' and Col6 = ""&amp;M135&amp;"" and Col4 = date '""&amp;YEAR(C135)&amp;""-""&amp;MONTH(C135)&amp;""-""&amp;DAY(C135)&amp;""'""))&gt;0,""Caixa Atendimento"",""Caixa Sangria"")),""""),""Caixa Sangria"")"),"#REF!")</f>
        <v>#REF!</v>
      </c>
      <c r="M135" s="185">
        <f>IFERROR(__xludf.DUMMYFUNCTION("ifna(VALUE(REGEXEXTRACT(E135,""[0-9.]+[,]+[0-9]+"")))"),2050.0)</f>
        <v>2050</v>
      </c>
      <c r="N135" s="235"/>
      <c r="O135" s="236"/>
      <c r="P135" s="236"/>
      <c r="Q135" s="237" t="str">
        <f t="shared" si="2"/>
        <v/>
      </c>
      <c r="R135" s="236" t="str">
        <f t="shared" si="3"/>
        <v/>
      </c>
      <c r="S135" s="232" t="str">
        <f t="shared" si="4"/>
        <v/>
      </c>
      <c r="T135" s="185"/>
      <c r="U135" s="185"/>
      <c r="V135" s="185"/>
    </row>
    <row r="136" ht="14.25" customHeight="1">
      <c r="A136" s="178"/>
      <c r="B136" s="12">
        <v>1749579.0</v>
      </c>
      <c r="C136" s="13">
        <v>45949.933958333335</v>
      </c>
      <c r="D136" s="179" t="s">
        <v>81</v>
      </c>
      <c r="E136" s="180" t="s">
        <v>416</v>
      </c>
      <c r="F136" s="181"/>
      <c r="G136" s="179" t="s">
        <v>4071</v>
      </c>
      <c r="H136" s="190"/>
      <c r="I136" s="190"/>
      <c r="J136" s="187" t="s">
        <v>2735</v>
      </c>
      <c r="K136" s="187" t="s">
        <v>2018</v>
      </c>
      <c r="L136" s="184" t="str">
        <f>IFERROR(__xludf.DUMMYFUNCTION("ifna(IF(and(D136=""Saída"",J136=""Sangria""),if(sum(QUERY(IMPORTRANGE(""https://docs.google.com/spreadsheets/d/1ykfbEpHEAAZVCgujsGjRFJRCTULkzlWa8UjdyLzkDBM"",""BD M Sangrias!a:i""),""select Col6 where Col7 = 'Depositada' and Col9 = '""&amp;K136&amp;""' and Col6 ="&amp;" ""&amp;M136&amp;"" and Col4 = date '""&amp;YEAR(C136)&amp;""-""&amp;MONTH(C136)&amp;""-""&amp;DAY(C136)&amp;""'""))&gt;0,""Depositada"",if(sum(QUERY(IMPORTRANGE(""https://docs.google.com/spreadsheets/d/1ykfbEpHEAAZVCgujsGjRFJRCTULkzlWa8UjdyLzkDBM"",""BD M Sangrias!a:i""),""select Col6 whe"&amp;"re Col7 = 'Caixa Atendimento' and Col9 = '""&amp;K136&amp;""' and Col6 = ""&amp;M136&amp;"" and Col4 = date '""&amp;YEAR(C136)&amp;""-""&amp;MONTH(C136)&amp;""-""&amp;DAY(C136)&amp;""'""))&gt;0,""Caixa Atendimento"",""Caixa Sangria"")),""""),""Caixa Sangria"")"),"#REF!")</f>
        <v>#REF!</v>
      </c>
      <c r="M136" s="185">
        <f>IFERROR(__xludf.DUMMYFUNCTION("ifna(VALUE(REGEXEXTRACT(E136,""[0-9.]+[,]+[0-9]+"")))"),100.0)</f>
        <v>100</v>
      </c>
      <c r="N136" s="235"/>
      <c r="O136" s="236"/>
      <c r="P136" s="236"/>
      <c r="Q136" s="237" t="str">
        <f t="shared" si="2"/>
        <v/>
      </c>
      <c r="R136" s="236" t="str">
        <f t="shared" si="3"/>
        <v/>
      </c>
      <c r="S136" s="232" t="str">
        <f t="shared" si="4"/>
        <v/>
      </c>
      <c r="T136" s="185"/>
      <c r="U136" s="185"/>
      <c r="V136" s="185"/>
    </row>
    <row r="137" ht="14.25" customHeight="1">
      <c r="A137" s="178"/>
      <c r="B137" s="12">
        <v>1751211.0</v>
      </c>
      <c r="C137" s="13">
        <v>45950.93770833333</v>
      </c>
      <c r="D137" s="179" t="s">
        <v>81</v>
      </c>
      <c r="E137" s="180" t="s">
        <v>6514</v>
      </c>
      <c r="F137" s="181"/>
      <c r="G137" s="179" t="s">
        <v>193</v>
      </c>
      <c r="H137" s="190"/>
      <c r="I137" s="190"/>
      <c r="J137" s="187" t="s">
        <v>3151</v>
      </c>
      <c r="K137" s="187"/>
      <c r="L137" s="184" t="str">
        <f>IFERROR(__xludf.DUMMYFUNCTION("ifna(IF(and(D137=""Saída"",J137=""Sangria""),if(sum(QUERY(IMPORTRANGE(""https://docs.google.com/spreadsheets/d/1ykfbEpHEAAZVCgujsGjRFJRCTULkzlWa8UjdyLzkDBM"",""BD M Sangrias!a:i""),""select Col6 where Col7 = 'Depositada' and Col9 = '""&amp;K137&amp;""' and Col6 ="&amp;" ""&amp;M137&amp;"" and Col4 = date '""&amp;YEAR(C137)&amp;""-""&amp;MONTH(C137)&amp;""-""&amp;DAY(C137)&amp;""'""))&gt;0,""Depositada"",if(sum(QUERY(IMPORTRANGE(""https://docs.google.com/spreadsheets/d/1ykfbEpHEAAZVCgujsGjRFJRCTULkzlWa8UjdyLzkDBM"",""BD M Sangrias!a:i""),""select Col6 whe"&amp;"re Col7 = 'Caixa Atendimento' and Col9 = '""&amp;K137&amp;""' and Col6 = ""&amp;M137&amp;"" and Col4 = date '""&amp;YEAR(C137)&amp;""-""&amp;MONTH(C137)&amp;""-""&amp;DAY(C137)&amp;""'""))&gt;0,""Caixa Atendimento"",""Caixa Sangria"")),""""),""Caixa Sangria"")"),"")</f>
        <v/>
      </c>
      <c r="M137" s="185">
        <f>IFERROR(__xludf.DUMMYFUNCTION("ifna(VALUE(REGEXEXTRACT(E137,""[0-9.]+[,]+[0-9]+"")))"),15.47)</f>
        <v>15.47</v>
      </c>
      <c r="N137" s="235"/>
      <c r="O137" s="236"/>
      <c r="P137" s="236"/>
      <c r="Q137" s="237" t="str">
        <f t="shared" si="2"/>
        <v/>
      </c>
      <c r="R137" s="236" t="str">
        <f t="shared" si="3"/>
        <v/>
      </c>
      <c r="S137" s="232" t="str">
        <f t="shared" si="4"/>
        <v/>
      </c>
      <c r="T137" s="185"/>
      <c r="U137" s="185"/>
      <c r="V137" s="185"/>
    </row>
    <row r="138" ht="14.25" customHeight="1">
      <c r="A138" s="178"/>
      <c r="B138" s="12">
        <v>1751214.0</v>
      </c>
      <c r="C138" s="13">
        <v>45950.93790509259</v>
      </c>
      <c r="D138" s="179" t="s">
        <v>81</v>
      </c>
      <c r="E138" s="180" t="s">
        <v>6669</v>
      </c>
      <c r="F138" s="181"/>
      <c r="G138" s="179" t="s">
        <v>193</v>
      </c>
      <c r="H138" s="190"/>
      <c r="I138" s="190"/>
      <c r="J138" s="187" t="s">
        <v>3151</v>
      </c>
      <c r="K138" s="187"/>
      <c r="L138" s="184" t="str">
        <f>IFERROR(__xludf.DUMMYFUNCTION("ifna(IF(and(D138=""Saída"",J138=""Sangria""),if(sum(QUERY(IMPORTRANGE(""https://docs.google.com/spreadsheets/d/1ykfbEpHEAAZVCgujsGjRFJRCTULkzlWa8UjdyLzkDBM"",""BD M Sangrias!a:i""),""select Col6 where Col7 = 'Depositada' and Col9 = '""&amp;K138&amp;""' and Col6 ="&amp;" ""&amp;M138&amp;"" and Col4 = date '""&amp;YEAR(C138)&amp;""-""&amp;MONTH(C138)&amp;""-""&amp;DAY(C138)&amp;""'""))&gt;0,""Depositada"",if(sum(QUERY(IMPORTRANGE(""https://docs.google.com/spreadsheets/d/1ykfbEpHEAAZVCgujsGjRFJRCTULkzlWa8UjdyLzkDBM"",""BD M Sangrias!a:i""),""select Col6 whe"&amp;"re Col7 = 'Caixa Atendimento' and Col9 = '""&amp;K138&amp;""' and Col6 = ""&amp;M138&amp;"" and Col4 = date '""&amp;YEAR(C138)&amp;""-""&amp;MONTH(C138)&amp;""-""&amp;DAY(C138)&amp;""'""))&gt;0,""Caixa Atendimento"",""Caixa Sangria"")),""""),""Caixa Sangria"")"),"")</f>
        <v/>
      </c>
      <c r="M138" s="185">
        <f>IFERROR(__xludf.DUMMYFUNCTION("ifna(VALUE(REGEXEXTRACT(E138,""[0-9.]+[,]+[0-9]+"")))"),4.5)</f>
        <v>4.5</v>
      </c>
      <c r="N138" s="239"/>
      <c r="O138" s="240"/>
      <c r="P138" s="240"/>
      <c r="Q138" s="241" t="str">
        <f t="shared" si="2"/>
        <v/>
      </c>
      <c r="R138" s="240" t="str">
        <f t="shared" si="3"/>
        <v/>
      </c>
      <c r="S138" s="242" t="str">
        <f t="shared" si="4"/>
        <v/>
      </c>
      <c r="T138" s="185"/>
      <c r="U138" s="185"/>
      <c r="V138" s="185"/>
    </row>
    <row r="139" ht="14.25" customHeight="1">
      <c r="A139" s="178"/>
      <c r="B139" s="12">
        <v>1751238.0</v>
      </c>
      <c r="C139" s="13">
        <v>45950.94310185185</v>
      </c>
      <c r="D139" s="179" t="s">
        <v>81</v>
      </c>
      <c r="E139" s="180" t="s">
        <v>3486</v>
      </c>
      <c r="F139" s="181"/>
      <c r="G139" s="179" t="s">
        <v>5192</v>
      </c>
      <c r="H139" s="190"/>
      <c r="I139" s="190"/>
      <c r="J139" s="187" t="s">
        <v>5195</v>
      </c>
      <c r="K139" s="187"/>
      <c r="L139" s="184" t="str">
        <f>IFERROR(__xludf.DUMMYFUNCTION("ifna(IF(and(D139=""Saída"",J139=""Sangria""),if(sum(QUERY(IMPORTRANGE(""https://docs.google.com/spreadsheets/d/1ykfbEpHEAAZVCgujsGjRFJRCTULkzlWa8UjdyLzkDBM"",""BD M Sangrias!a:i""),""select Col6 where Col7 = 'Depositada' and Col9 = '""&amp;K139&amp;""' and Col6 ="&amp;" ""&amp;M139&amp;"" and Col4 = date '""&amp;YEAR(C139)&amp;""-""&amp;MONTH(C139)&amp;""-""&amp;DAY(C139)&amp;""'""))&gt;0,""Depositada"",if(sum(QUERY(IMPORTRANGE(""https://docs.google.com/spreadsheets/d/1ykfbEpHEAAZVCgujsGjRFJRCTULkzlWa8UjdyLzkDBM"",""BD M Sangrias!a:i""),""select Col6 whe"&amp;"re Col7 = 'Caixa Atendimento' and Col9 = '""&amp;K139&amp;""' and Col6 = ""&amp;M139&amp;"" and Col4 = date '""&amp;YEAR(C139)&amp;""-""&amp;MONTH(C139)&amp;""-""&amp;DAY(C139)&amp;""'""))&gt;0,""Caixa Atendimento"",""Caixa Sangria"")),""""),""Caixa Sangria"")"),"")</f>
        <v/>
      </c>
      <c r="M139" s="185">
        <f>IFERROR(__xludf.DUMMYFUNCTION("ifna(VALUE(REGEXEXTRACT(E139,""[0-9.]+[,]+[0-9]+"")))"),500.0)</f>
        <v>500</v>
      </c>
      <c r="N139" s="185"/>
      <c r="O139" s="185"/>
      <c r="P139" s="185"/>
      <c r="Q139" s="185"/>
      <c r="R139" s="185"/>
      <c r="S139" s="185"/>
      <c r="T139" s="185"/>
      <c r="U139" s="185"/>
      <c r="V139" s="185"/>
    </row>
    <row r="140" ht="14.25" customHeight="1">
      <c r="A140" s="178"/>
      <c r="B140" s="12">
        <v>1751240.0</v>
      </c>
      <c r="C140" s="13">
        <v>45950.9437962963</v>
      </c>
      <c r="D140" s="179" t="s">
        <v>81</v>
      </c>
      <c r="E140" s="180" t="s">
        <v>162</v>
      </c>
      <c r="F140" s="188"/>
      <c r="G140" s="179" t="s">
        <v>3587</v>
      </c>
      <c r="H140" s="190"/>
      <c r="I140" s="190"/>
      <c r="J140" s="187" t="s">
        <v>2735</v>
      </c>
      <c r="K140" s="187" t="s">
        <v>2018</v>
      </c>
      <c r="L140" s="184" t="str">
        <f>IFERROR(__xludf.DUMMYFUNCTION("ifna(IF(and(D140=""Saída"",J140=""Sangria""),if(sum(QUERY(IMPORTRANGE(""https://docs.google.com/spreadsheets/d/1ykfbEpHEAAZVCgujsGjRFJRCTULkzlWa8UjdyLzkDBM"",""BD M Sangrias!a:i""),""select Col6 where Col7 = 'Depositada' and Col9 = '""&amp;K140&amp;""' and Col6 ="&amp;" ""&amp;M140&amp;"" and Col4 = date '""&amp;YEAR(C140)&amp;""-""&amp;MONTH(C140)&amp;""-""&amp;DAY(C140)&amp;""'""))&gt;0,""Depositada"",if(sum(QUERY(IMPORTRANGE(""https://docs.google.com/spreadsheets/d/1ykfbEpHEAAZVCgujsGjRFJRCTULkzlWa8UjdyLzkDBM"",""BD M Sangrias!a:i""),""select Col6 whe"&amp;"re Col7 = 'Caixa Atendimento' and Col9 = '""&amp;K140&amp;""' and Col6 = ""&amp;M140&amp;"" and Col4 = date '""&amp;YEAR(C140)&amp;""-""&amp;MONTH(C140)&amp;""-""&amp;DAY(C140)&amp;""'""))&gt;0,""Caixa Atendimento"",""Caixa Sangria"")),""""),""Caixa Sangria"")"),"#REF!")</f>
        <v>#REF!</v>
      </c>
      <c r="M140" s="185">
        <f>IFERROR(__xludf.DUMMYFUNCTION("ifna(VALUE(REGEXEXTRACT(E140,""[0-9.]+[,]+[0-9]+"")))"),150.0)</f>
        <v>150</v>
      </c>
      <c r="N140" s="185"/>
      <c r="O140" s="185"/>
      <c r="P140" s="185"/>
      <c r="Q140" s="185"/>
      <c r="R140" s="185"/>
      <c r="S140" s="185"/>
      <c r="T140" s="185"/>
      <c r="U140" s="185"/>
      <c r="V140" s="185"/>
    </row>
    <row r="141" ht="14.25" customHeight="1">
      <c r="A141" s="178"/>
      <c r="B141" s="12">
        <v>1752123.0</v>
      </c>
      <c r="C141" s="13">
        <v>45951.804768518516</v>
      </c>
      <c r="D141" s="179" t="s">
        <v>81</v>
      </c>
      <c r="E141" s="180" t="s">
        <v>4255</v>
      </c>
      <c r="F141" s="181"/>
      <c r="G141" s="179" t="s">
        <v>6675</v>
      </c>
      <c r="H141" s="190"/>
      <c r="I141" s="190"/>
      <c r="J141" s="187" t="s">
        <v>3151</v>
      </c>
      <c r="K141" s="187"/>
      <c r="L141" s="184" t="str">
        <f>IFERROR(__xludf.DUMMYFUNCTION("ifna(IF(and(D141=""Saída"",J141=""Sangria""),if(sum(QUERY(IMPORTRANGE(""https://docs.google.com/spreadsheets/d/1ykfbEpHEAAZVCgujsGjRFJRCTULkzlWa8UjdyLzkDBM"",""BD M Sangrias!a:i""),""select Col6 where Col7 = 'Depositada' and Col9 = '""&amp;K141&amp;""' and Col6 ="&amp;" ""&amp;M141&amp;"" and Col4 = date '""&amp;YEAR(C141)&amp;""-""&amp;MONTH(C141)&amp;""-""&amp;DAY(C141)&amp;""'""))&gt;0,""Depositada"",if(sum(QUERY(IMPORTRANGE(""https://docs.google.com/spreadsheets/d/1ykfbEpHEAAZVCgujsGjRFJRCTULkzlWa8UjdyLzkDBM"",""BD M Sangrias!a:i""),""select Col6 whe"&amp;"re Col7 = 'Caixa Atendimento' and Col9 = '""&amp;K141&amp;""' and Col6 = ""&amp;M141&amp;"" and Col4 = date '""&amp;YEAR(C141)&amp;""-""&amp;MONTH(C141)&amp;""-""&amp;DAY(C141)&amp;""'""))&gt;0,""Caixa Atendimento"",""Caixa Sangria"")),""""),""Caixa Sangria"")"),"")</f>
        <v/>
      </c>
      <c r="M141" s="185">
        <f>IFERROR(__xludf.DUMMYFUNCTION("ifna(VALUE(REGEXEXTRACT(E141,""[0-9.]+[,]+[0-9]+"")))"),14.99)</f>
        <v>14.99</v>
      </c>
      <c r="N141" s="185"/>
      <c r="O141" s="185"/>
      <c r="P141" s="185"/>
      <c r="Q141" s="185"/>
      <c r="R141" s="185"/>
      <c r="S141" s="185"/>
      <c r="T141" s="185"/>
      <c r="U141" s="185"/>
      <c r="V141" s="185"/>
    </row>
    <row r="142" ht="14.25" customHeight="1">
      <c r="A142" s="178"/>
      <c r="B142" s="12">
        <v>1752331.0</v>
      </c>
      <c r="C142" s="13">
        <v>45951.89302083333</v>
      </c>
      <c r="D142" s="179" t="s">
        <v>152</v>
      </c>
      <c r="E142" s="180" t="s">
        <v>6677</v>
      </c>
      <c r="F142" s="181"/>
      <c r="G142" s="179" t="s">
        <v>267</v>
      </c>
      <c r="H142" s="190"/>
      <c r="I142" s="190"/>
      <c r="J142" s="187" t="s">
        <v>2669</v>
      </c>
      <c r="K142" s="187"/>
      <c r="L142" s="184" t="str">
        <f>IFERROR(__xludf.DUMMYFUNCTION("ifna(IF(and(D142=""Saída"",J142=""Sangria""),if(sum(QUERY(IMPORTRANGE(""https://docs.google.com/spreadsheets/d/1ykfbEpHEAAZVCgujsGjRFJRCTULkzlWa8UjdyLzkDBM"",""BD M Sangrias!a:i""),""select Col6 where Col7 = 'Depositada' and Col9 = '""&amp;K142&amp;""' and Col6 ="&amp;" ""&amp;M142&amp;"" and Col4 = date '""&amp;YEAR(C142)&amp;""-""&amp;MONTH(C142)&amp;""-""&amp;DAY(C142)&amp;""'""))&gt;0,""Depositada"",if(sum(QUERY(IMPORTRANGE(""https://docs.google.com/spreadsheets/d/1ykfbEpHEAAZVCgujsGjRFJRCTULkzlWa8UjdyLzkDBM"",""BD M Sangrias!a:i""),""select Col6 whe"&amp;"re Col7 = 'Caixa Atendimento' and Col9 = '""&amp;K142&amp;""' and Col6 = ""&amp;M142&amp;"" and Col4 = date '""&amp;YEAR(C142)&amp;""-""&amp;MONTH(C142)&amp;""-""&amp;DAY(C142)&amp;""'""))&gt;0,""Caixa Atendimento"",""Caixa Sangria"")),""""),""Caixa Sangria"")"),"")</f>
        <v/>
      </c>
      <c r="M142" s="185">
        <f>IFERROR(__xludf.DUMMYFUNCTION("ifna(VALUE(REGEXEXTRACT(E142,""[0-9.]+[,]+[0-9]+"")))"),24.6)</f>
        <v>24.6</v>
      </c>
      <c r="N142" s="185"/>
      <c r="O142" s="185"/>
      <c r="P142" s="185"/>
      <c r="Q142" s="185"/>
      <c r="R142" s="185"/>
      <c r="S142" s="185"/>
      <c r="T142" s="185"/>
      <c r="U142" s="185"/>
      <c r="V142" s="185"/>
    </row>
    <row r="143" ht="14.25" customHeight="1">
      <c r="A143" s="178"/>
      <c r="B143" s="12">
        <v>1752345.0</v>
      </c>
      <c r="C143" s="13">
        <v>45951.895324074074</v>
      </c>
      <c r="D143" s="179" t="s">
        <v>81</v>
      </c>
      <c r="E143" s="180" t="s">
        <v>446</v>
      </c>
      <c r="F143" s="188"/>
      <c r="G143" s="179" t="s">
        <v>4071</v>
      </c>
      <c r="H143" s="190"/>
      <c r="I143" s="190"/>
      <c r="J143" s="187" t="s">
        <v>2735</v>
      </c>
      <c r="K143" s="187" t="s">
        <v>2018</v>
      </c>
      <c r="L143" s="184" t="str">
        <f>IFERROR(__xludf.DUMMYFUNCTION("ifna(IF(and(D143=""Saída"",J143=""Sangria""),if(sum(QUERY(IMPORTRANGE(""https://docs.google.com/spreadsheets/d/1ykfbEpHEAAZVCgujsGjRFJRCTULkzlWa8UjdyLzkDBM"",""BD M Sangrias!a:i""),""select Col6 where Col7 = 'Depositada' and Col9 = '""&amp;K143&amp;""' and Col6 ="&amp;" ""&amp;M143&amp;"" and Col4 = date '""&amp;YEAR(C143)&amp;""-""&amp;MONTH(C143)&amp;""-""&amp;DAY(C143)&amp;""'""))&gt;0,""Depositada"",if(sum(QUERY(IMPORTRANGE(""https://docs.google.com/spreadsheets/d/1ykfbEpHEAAZVCgujsGjRFJRCTULkzlWa8UjdyLzkDBM"",""BD M Sangrias!a:i""),""select Col6 whe"&amp;"re Col7 = 'Caixa Atendimento' and Col9 = '""&amp;K143&amp;""' and Col6 = ""&amp;M143&amp;"" and Col4 = date '""&amp;YEAR(C143)&amp;""-""&amp;MONTH(C143)&amp;""-""&amp;DAY(C143)&amp;""'""))&gt;0,""Caixa Atendimento"",""Caixa Sangria"")),""""),""Caixa Sangria"")"),"#REF!")</f>
        <v>#REF!</v>
      </c>
      <c r="M143" s="185">
        <f>IFERROR(__xludf.DUMMYFUNCTION("ifna(VALUE(REGEXEXTRACT(E143,""[0-9.]+[,]+[0-9]+"")))"),700.0)</f>
        <v>700</v>
      </c>
      <c r="N143" s="185"/>
      <c r="O143" s="185"/>
      <c r="P143" s="185"/>
      <c r="Q143" s="185"/>
      <c r="R143" s="185"/>
      <c r="S143" s="185"/>
      <c r="T143" s="185"/>
      <c r="U143" s="185"/>
      <c r="V143" s="185"/>
    </row>
    <row r="144" ht="14.25" customHeight="1">
      <c r="A144" s="178"/>
      <c r="B144" s="12">
        <v>1753626.0</v>
      </c>
      <c r="C144" s="13">
        <v>45952.80457175926</v>
      </c>
      <c r="D144" s="179" t="s">
        <v>81</v>
      </c>
      <c r="E144" s="180" t="s">
        <v>713</v>
      </c>
      <c r="F144" s="181"/>
      <c r="G144" s="179" t="s">
        <v>6680</v>
      </c>
      <c r="H144" s="190"/>
      <c r="I144" s="190"/>
      <c r="J144" s="187" t="s">
        <v>2436</v>
      </c>
      <c r="K144" s="187"/>
      <c r="L144" s="184" t="str">
        <f>IFERROR(__xludf.DUMMYFUNCTION("ifna(IF(and(D144=""Saída"",J144=""Sangria""),if(sum(QUERY(IMPORTRANGE(""https://docs.google.com/spreadsheets/d/1ykfbEpHEAAZVCgujsGjRFJRCTULkzlWa8UjdyLzkDBM"",""BD M Sangrias!a:i""),""select Col6 where Col7 = 'Depositada' and Col9 = '""&amp;K144&amp;""' and Col6 ="&amp;" ""&amp;M144&amp;"" and Col4 = date '""&amp;YEAR(C144)&amp;""-""&amp;MONTH(C144)&amp;""-""&amp;DAY(C144)&amp;""'""))&gt;0,""Depositada"",if(sum(QUERY(IMPORTRANGE(""https://docs.google.com/spreadsheets/d/1ykfbEpHEAAZVCgujsGjRFJRCTULkzlWa8UjdyLzkDBM"",""BD M Sangrias!a:i""),""select Col6 whe"&amp;"re Col7 = 'Caixa Atendimento' and Col9 = '""&amp;K144&amp;""' and Col6 = ""&amp;M144&amp;"" and Col4 = date '""&amp;YEAR(C144)&amp;""-""&amp;MONTH(C144)&amp;""-""&amp;DAY(C144)&amp;""'""))&gt;0,""Caixa Atendimento"",""Caixa Sangria"")),""""),""Caixa Sangria"")"),"")</f>
        <v/>
      </c>
      <c r="M144" s="185">
        <f>IFERROR(__xludf.DUMMYFUNCTION("ifna(VALUE(REGEXEXTRACT(E144,""[0-9.]+[,]+[0-9]+"")))"),50.0)</f>
        <v>50</v>
      </c>
      <c r="N144" s="185"/>
      <c r="O144" s="185"/>
      <c r="P144" s="185"/>
      <c r="Q144" s="185"/>
      <c r="R144" s="185"/>
      <c r="S144" s="185"/>
      <c r="T144" s="185"/>
      <c r="U144" s="185"/>
      <c r="V144" s="185"/>
    </row>
    <row r="145" ht="14.25" customHeight="1">
      <c r="A145" s="178"/>
      <c r="B145" s="12">
        <v>1753627.0</v>
      </c>
      <c r="C145" s="13">
        <v>45952.80511574074</v>
      </c>
      <c r="D145" s="179" t="s">
        <v>152</v>
      </c>
      <c r="E145" s="180" t="s">
        <v>6683</v>
      </c>
      <c r="F145" s="181"/>
      <c r="G145" s="179" t="s">
        <v>158</v>
      </c>
      <c r="H145" s="190"/>
      <c r="I145" s="190"/>
      <c r="J145" s="187" t="s">
        <v>2669</v>
      </c>
      <c r="K145" s="187"/>
      <c r="L145" s="184" t="str">
        <f>IFERROR(__xludf.DUMMYFUNCTION("ifna(IF(and(D145=""Saída"",J145=""Sangria""),if(sum(QUERY(IMPORTRANGE(""https://docs.google.com/spreadsheets/d/1ykfbEpHEAAZVCgujsGjRFJRCTULkzlWa8UjdyLzkDBM"",""BD M Sangrias!a:i""),""select Col6 where Col7 = 'Depositada' and Col9 = '""&amp;K145&amp;""' and Col6 ="&amp;" ""&amp;M145&amp;"" and Col4 = date '""&amp;YEAR(C145)&amp;""-""&amp;MONTH(C145)&amp;""-""&amp;DAY(C145)&amp;""'""))&gt;0,""Depositada"",if(sum(QUERY(IMPORTRANGE(""https://docs.google.com/spreadsheets/d/1ykfbEpHEAAZVCgujsGjRFJRCTULkzlWa8UjdyLzkDBM"",""BD M Sangrias!a:i""),""select Col6 whe"&amp;"re Col7 = 'Caixa Atendimento' and Col9 = '""&amp;K145&amp;""' and Col6 = ""&amp;M145&amp;"" and Col4 = date '""&amp;YEAR(C145)&amp;""-""&amp;MONTH(C145)&amp;""-""&amp;DAY(C145)&amp;""'""))&gt;0,""Caixa Atendimento"",""Caixa Sangria"")),""""),""Caixa Sangria"")"),"")</f>
        <v/>
      </c>
      <c r="M145" s="185">
        <f>IFERROR(__xludf.DUMMYFUNCTION("ifna(VALUE(REGEXEXTRACT(E145,""[0-9.]+[,]+[0-9]+"")))"),3.75)</f>
        <v>3.75</v>
      </c>
      <c r="N145" s="185"/>
      <c r="O145" s="185"/>
      <c r="P145" s="185"/>
      <c r="Q145" s="185"/>
      <c r="R145" s="185"/>
      <c r="S145" s="185"/>
      <c r="T145" s="185"/>
      <c r="U145" s="185"/>
      <c r="V145" s="185"/>
    </row>
    <row r="146" ht="14.25" customHeight="1">
      <c r="A146" s="178"/>
      <c r="B146" s="12">
        <v>1753641.0</v>
      </c>
      <c r="C146" s="13">
        <v>45952.81465277778</v>
      </c>
      <c r="D146" s="179" t="s">
        <v>81</v>
      </c>
      <c r="E146" s="180" t="s">
        <v>5424</v>
      </c>
      <c r="F146" s="188"/>
      <c r="G146" s="179" t="s">
        <v>4071</v>
      </c>
      <c r="H146" s="190"/>
      <c r="I146" s="190"/>
      <c r="J146" s="187" t="s">
        <v>2735</v>
      </c>
      <c r="K146" s="187" t="s">
        <v>2018</v>
      </c>
      <c r="L146" s="184" t="str">
        <f>IFERROR(__xludf.DUMMYFUNCTION("ifna(IF(and(D146=""Saída"",J146=""Sangria""),if(sum(QUERY(IMPORTRANGE(""https://docs.google.com/spreadsheets/d/1ykfbEpHEAAZVCgujsGjRFJRCTULkzlWa8UjdyLzkDBM"",""BD M Sangrias!a:i""),""select Col6 where Col7 = 'Depositada' and Col9 = '""&amp;K146&amp;""' and Col6 ="&amp;" ""&amp;M146&amp;"" and Col4 = date '""&amp;YEAR(C146)&amp;""-""&amp;MONTH(C146)&amp;""-""&amp;DAY(C146)&amp;""'""))&gt;0,""Depositada"",if(sum(QUERY(IMPORTRANGE(""https://docs.google.com/spreadsheets/d/1ykfbEpHEAAZVCgujsGjRFJRCTULkzlWa8UjdyLzkDBM"",""BD M Sangrias!a:i""),""select Col6 whe"&amp;"re Col7 = 'Caixa Atendimento' and Col9 = '""&amp;K146&amp;""' and Col6 = ""&amp;M146&amp;"" and Col4 = date '""&amp;YEAR(C146)&amp;""-""&amp;MONTH(C146)&amp;""-""&amp;DAY(C146)&amp;""'""))&gt;0,""Caixa Atendimento"",""Caixa Sangria"")),""""),""Caixa Sangria"")"),"#REF!")</f>
        <v>#REF!</v>
      </c>
      <c r="M146" s="185">
        <f>IFERROR(__xludf.DUMMYFUNCTION("ifna(VALUE(REGEXEXTRACT(E146,""[0-9.]+[,]+[0-9]+"")))"),1500.0)</f>
        <v>1500</v>
      </c>
      <c r="N146" s="185"/>
      <c r="O146" s="185"/>
      <c r="P146" s="185"/>
      <c r="Q146" s="185"/>
      <c r="R146" s="185"/>
      <c r="S146" s="185"/>
      <c r="T146" s="185"/>
      <c r="U146" s="185"/>
      <c r="V146" s="185"/>
    </row>
    <row r="147" ht="14.25" customHeight="1">
      <c r="A147" s="178"/>
      <c r="B147" s="12">
        <v>1755526.0</v>
      </c>
      <c r="C147" s="13">
        <v>45953.91799768519</v>
      </c>
      <c r="D147" s="179" t="s">
        <v>81</v>
      </c>
      <c r="E147" s="180" t="s">
        <v>1228</v>
      </c>
      <c r="F147" s="181"/>
      <c r="G147" s="179" t="s">
        <v>4071</v>
      </c>
      <c r="H147" s="190"/>
      <c r="I147" s="190"/>
      <c r="J147" s="187" t="s">
        <v>2735</v>
      </c>
      <c r="K147" s="187" t="s">
        <v>2018</v>
      </c>
      <c r="L147" s="184" t="str">
        <f>IFERROR(__xludf.DUMMYFUNCTION("ifna(IF(and(D147=""Saída"",J147=""Sangria""),if(sum(QUERY(IMPORTRANGE(""https://docs.google.com/spreadsheets/d/1ykfbEpHEAAZVCgujsGjRFJRCTULkzlWa8UjdyLzkDBM"",""BD M Sangrias!a:i""),""select Col6 where Col7 = 'Depositada' and Col9 = '""&amp;K147&amp;""' and Col6 ="&amp;" ""&amp;M147&amp;"" and Col4 = date '""&amp;YEAR(C147)&amp;""-""&amp;MONTH(C147)&amp;""-""&amp;DAY(C147)&amp;""'""))&gt;0,""Depositada"",if(sum(QUERY(IMPORTRANGE(""https://docs.google.com/spreadsheets/d/1ykfbEpHEAAZVCgujsGjRFJRCTULkzlWa8UjdyLzkDBM"",""BD M Sangrias!a:i""),""select Col6 whe"&amp;"re Col7 = 'Caixa Atendimento' and Col9 = '""&amp;K147&amp;""' and Col6 = ""&amp;M147&amp;"" and Col4 = date '""&amp;YEAR(C147)&amp;""-""&amp;MONTH(C147)&amp;""-""&amp;DAY(C147)&amp;""'""))&gt;0,""Caixa Atendimento"",""Caixa Sangria"")),""""),""Caixa Sangria"")"),"#REF!")</f>
        <v>#REF!</v>
      </c>
      <c r="M147" s="185">
        <f>IFERROR(__xludf.DUMMYFUNCTION("ifna(VALUE(REGEXEXTRACT(E147,""[0-9.]+[,]+[0-9]+"")))"),950.0)</f>
        <v>950</v>
      </c>
      <c r="N147" s="185"/>
      <c r="O147" s="185"/>
      <c r="P147" s="185"/>
      <c r="Q147" s="185"/>
      <c r="R147" s="185"/>
      <c r="S147" s="185"/>
      <c r="T147" s="185"/>
      <c r="U147" s="185"/>
      <c r="V147" s="185"/>
    </row>
    <row r="148" ht="14.25" customHeight="1">
      <c r="A148" s="178"/>
      <c r="B148" s="12">
        <v>1756869.0</v>
      </c>
      <c r="C148" s="13">
        <v>45954.77738425926</v>
      </c>
      <c r="D148" s="179" t="s">
        <v>81</v>
      </c>
      <c r="E148" s="180" t="s">
        <v>6685</v>
      </c>
      <c r="F148" s="181"/>
      <c r="G148" s="179" t="s">
        <v>5535</v>
      </c>
      <c r="H148" s="190"/>
      <c r="I148" s="190"/>
      <c r="J148" s="187" t="s">
        <v>2438</v>
      </c>
      <c r="K148" s="187"/>
      <c r="L148" s="184" t="str">
        <f>IFERROR(__xludf.DUMMYFUNCTION("ifna(IF(and(D148=""Saída"",J148=""Sangria""),if(sum(QUERY(IMPORTRANGE(""https://docs.google.com/spreadsheets/d/1ykfbEpHEAAZVCgujsGjRFJRCTULkzlWa8UjdyLzkDBM"",""BD M Sangrias!a:i""),""select Col6 where Col7 = 'Depositada' and Col9 = '""&amp;K148&amp;""' and Col6 ="&amp;" ""&amp;M148&amp;"" and Col4 = date '""&amp;YEAR(C148)&amp;""-""&amp;MONTH(C148)&amp;""-""&amp;DAY(C148)&amp;""'""))&gt;0,""Depositada"",if(sum(QUERY(IMPORTRANGE(""https://docs.google.com/spreadsheets/d/1ykfbEpHEAAZVCgujsGjRFJRCTULkzlWa8UjdyLzkDBM"",""BD M Sangrias!a:i""),""select Col6 whe"&amp;"re Col7 = 'Caixa Atendimento' and Col9 = '""&amp;K148&amp;""' and Col6 = ""&amp;M148&amp;"" and Col4 = date '""&amp;YEAR(C148)&amp;""-""&amp;MONTH(C148)&amp;""-""&amp;DAY(C148)&amp;""'""))&gt;0,""Caixa Atendimento"",""Caixa Sangria"")),""""),""Caixa Sangria"")"),"")</f>
        <v/>
      </c>
      <c r="M148" s="185">
        <f>IFERROR(__xludf.DUMMYFUNCTION("ifna(VALUE(REGEXEXTRACT(E148,""[0-9.]+[,]+[0-9]+"")))"),87.93)</f>
        <v>87.93</v>
      </c>
      <c r="N148" s="185"/>
      <c r="O148" s="185"/>
      <c r="P148" s="185"/>
      <c r="Q148" s="185"/>
      <c r="R148" s="185"/>
      <c r="S148" s="185"/>
      <c r="T148" s="185"/>
      <c r="U148" s="185"/>
      <c r="V148" s="185"/>
    </row>
    <row r="149" ht="14.25" customHeight="1">
      <c r="A149" s="178"/>
      <c r="B149" s="12">
        <v>1757709.0</v>
      </c>
      <c r="C149" s="13">
        <v>45954.961747685185</v>
      </c>
      <c r="D149" s="179" t="s">
        <v>81</v>
      </c>
      <c r="E149" s="180" t="s">
        <v>6687</v>
      </c>
      <c r="F149" s="181"/>
      <c r="G149" s="179" t="s">
        <v>211</v>
      </c>
      <c r="H149" s="190"/>
      <c r="I149" s="190"/>
      <c r="J149" s="187" t="s">
        <v>3151</v>
      </c>
      <c r="K149" s="187"/>
      <c r="L149" s="184" t="str">
        <f>IFERROR(__xludf.DUMMYFUNCTION("ifna(IF(and(D149=""Saída"",J149=""Sangria""),if(sum(QUERY(IMPORTRANGE(""https://docs.google.com/spreadsheets/d/1ykfbEpHEAAZVCgujsGjRFJRCTULkzlWa8UjdyLzkDBM"",""BD M Sangrias!a:i""),""select Col6 where Col7 = 'Depositada' and Col9 = '""&amp;K149&amp;""' and Col6 ="&amp;" ""&amp;M149&amp;"" and Col4 = date '""&amp;YEAR(C149)&amp;""-""&amp;MONTH(C149)&amp;""-""&amp;DAY(C149)&amp;""'""))&gt;0,""Depositada"",if(sum(QUERY(IMPORTRANGE(""https://docs.google.com/spreadsheets/d/1ykfbEpHEAAZVCgujsGjRFJRCTULkzlWa8UjdyLzkDBM"",""BD M Sangrias!a:i""),""select Col6 whe"&amp;"re Col7 = 'Caixa Atendimento' and Col9 = '""&amp;K149&amp;""' and Col6 = ""&amp;M149&amp;"" and Col4 = date '""&amp;YEAR(C149)&amp;""-""&amp;MONTH(C149)&amp;""-""&amp;DAY(C149)&amp;""'""))&gt;0,""Caixa Atendimento"",""Caixa Sangria"")),""""),""Caixa Sangria"")"),"")</f>
        <v/>
      </c>
      <c r="M149" s="185">
        <f>IFERROR(__xludf.DUMMYFUNCTION("ifna(VALUE(REGEXEXTRACT(E149,""[0-9.]+[,]+[0-9]+"")))"),244.84)</f>
        <v>244.84</v>
      </c>
      <c r="N149" s="185"/>
      <c r="O149" s="185"/>
      <c r="P149" s="185"/>
      <c r="Q149" s="185"/>
      <c r="R149" s="185"/>
      <c r="S149" s="185"/>
      <c r="T149" s="185"/>
      <c r="U149" s="185"/>
      <c r="V149" s="185"/>
    </row>
    <row r="150" ht="14.25" customHeight="1">
      <c r="A150" s="178"/>
      <c r="B150" s="12">
        <v>1757712.0</v>
      </c>
      <c r="C150" s="13">
        <v>45954.962233796294</v>
      </c>
      <c r="D150" s="179" t="s">
        <v>81</v>
      </c>
      <c r="E150" s="180" t="s">
        <v>1228</v>
      </c>
      <c r="F150" s="181"/>
      <c r="G150" s="179" t="s">
        <v>3587</v>
      </c>
      <c r="H150" s="190"/>
      <c r="I150" s="190"/>
      <c r="J150" s="187" t="s">
        <v>2735</v>
      </c>
      <c r="K150" s="187" t="s">
        <v>2018</v>
      </c>
      <c r="L150" s="184" t="str">
        <f>IFERROR(__xludf.DUMMYFUNCTION("ifna(IF(and(D150=""Saída"",J150=""Sangria""),if(sum(QUERY(IMPORTRANGE(""https://docs.google.com/spreadsheets/d/1ykfbEpHEAAZVCgujsGjRFJRCTULkzlWa8UjdyLzkDBM"",""BD M Sangrias!a:i""),""select Col6 where Col7 = 'Depositada' and Col9 = '""&amp;K150&amp;""' and Col6 ="&amp;" ""&amp;M150&amp;"" and Col4 = date '""&amp;YEAR(C150)&amp;""-""&amp;MONTH(C150)&amp;""-""&amp;DAY(C150)&amp;""'""))&gt;0,""Depositada"",if(sum(QUERY(IMPORTRANGE(""https://docs.google.com/spreadsheets/d/1ykfbEpHEAAZVCgujsGjRFJRCTULkzlWa8UjdyLzkDBM"",""BD M Sangrias!a:i""),""select Col6 whe"&amp;"re Col7 = 'Caixa Atendimento' and Col9 = '""&amp;K150&amp;""' and Col6 = ""&amp;M150&amp;"" and Col4 = date '""&amp;YEAR(C150)&amp;""-""&amp;MONTH(C150)&amp;""-""&amp;DAY(C150)&amp;""'""))&gt;0,""Caixa Atendimento"",""Caixa Sangria"")),""""),""Caixa Sangria"")"),"#REF!")</f>
        <v>#REF!</v>
      </c>
      <c r="M150" s="185">
        <f>IFERROR(__xludf.DUMMYFUNCTION("ifna(VALUE(REGEXEXTRACT(E150,""[0-9.]+[,]+[0-9]+"")))"),950.0)</f>
        <v>950</v>
      </c>
      <c r="N150" s="185"/>
      <c r="O150" s="185"/>
      <c r="P150" s="185"/>
      <c r="Q150" s="185"/>
      <c r="R150" s="185"/>
      <c r="S150" s="185"/>
      <c r="T150" s="185"/>
      <c r="U150" s="185"/>
      <c r="V150" s="185"/>
    </row>
    <row r="151" ht="14.25" customHeight="1">
      <c r="A151" s="178"/>
      <c r="B151" s="12">
        <v>1757723.0</v>
      </c>
      <c r="C151" s="13">
        <v>45954.964224537034</v>
      </c>
      <c r="D151" s="179" t="s">
        <v>81</v>
      </c>
      <c r="E151" s="180" t="s">
        <v>6692</v>
      </c>
      <c r="F151" s="181"/>
      <c r="G151" s="179" t="s">
        <v>6693</v>
      </c>
      <c r="H151" s="190"/>
      <c r="I151" s="190"/>
      <c r="J151" s="187" t="s">
        <v>3151</v>
      </c>
      <c r="K151" s="187"/>
      <c r="L151" s="184" t="str">
        <f>IFERROR(__xludf.DUMMYFUNCTION("ifna(IF(and(D151=""Saída"",J151=""Sangria""),if(sum(QUERY(IMPORTRANGE(""https://docs.google.com/spreadsheets/d/1ykfbEpHEAAZVCgujsGjRFJRCTULkzlWa8UjdyLzkDBM"",""BD M Sangrias!a:i""),""select Col6 where Col7 = 'Depositada' and Col9 = '""&amp;K151&amp;""' and Col6 ="&amp;" ""&amp;M151&amp;"" and Col4 = date '""&amp;YEAR(C151)&amp;""-""&amp;MONTH(C151)&amp;""-""&amp;DAY(C151)&amp;""'""))&gt;0,""Depositada"",if(sum(QUERY(IMPORTRANGE(""https://docs.google.com/spreadsheets/d/1ykfbEpHEAAZVCgujsGjRFJRCTULkzlWa8UjdyLzkDBM"",""BD M Sangrias!a:i""),""select Col6 whe"&amp;"re Col7 = 'Caixa Atendimento' and Col9 = '""&amp;K151&amp;""' and Col6 = ""&amp;M151&amp;"" and Col4 = date '""&amp;YEAR(C151)&amp;""-""&amp;MONTH(C151)&amp;""-""&amp;DAY(C151)&amp;""'""))&gt;0,""Caixa Atendimento"",""Caixa Sangria"")),""""),""Caixa Sangria"")"),"")</f>
        <v/>
      </c>
      <c r="M151" s="185">
        <f>IFERROR(__xludf.DUMMYFUNCTION("ifna(VALUE(REGEXEXTRACT(E151,""[0-9.]+[,]+[0-9]+"")))"),59.99)</f>
        <v>59.99</v>
      </c>
      <c r="N151" s="185"/>
      <c r="O151" s="185"/>
      <c r="P151" s="185"/>
      <c r="Q151" s="185"/>
      <c r="R151" s="185"/>
      <c r="S151" s="185"/>
      <c r="T151" s="185"/>
      <c r="U151" s="185"/>
      <c r="V151" s="185"/>
    </row>
    <row r="152" ht="14.25" customHeight="1">
      <c r="A152" s="178"/>
      <c r="B152" s="12">
        <v>1757725.0</v>
      </c>
      <c r="C152" s="13">
        <v>45954.96443287037</v>
      </c>
      <c r="D152" s="179" t="s">
        <v>81</v>
      </c>
      <c r="E152" s="180" t="s">
        <v>6695</v>
      </c>
      <c r="F152" s="188"/>
      <c r="G152" s="179" t="s">
        <v>6696</v>
      </c>
      <c r="H152" s="190"/>
      <c r="I152" s="190"/>
      <c r="J152" s="187" t="s">
        <v>3151</v>
      </c>
      <c r="K152" s="187"/>
      <c r="L152" s="184" t="str">
        <f>IFERROR(__xludf.DUMMYFUNCTION("ifna(IF(and(D152=""Saída"",J152=""Sangria""),if(sum(QUERY(IMPORTRANGE(""https://docs.google.com/spreadsheets/d/1ykfbEpHEAAZVCgujsGjRFJRCTULkzlWa8UjdyLzkDBM"",""BD M Sangrias!a:i""),""select Col6 where Col7 = 'Depositada' and Col9 = '""&amp;K152&amp;""' and Col6 ="&amp;" ""&amp;M152&amp;"" and Col4 = date '""&amp;YEAR(C152)&amp;""-""&amp;MONTH(C152)&amp;""-""&amp;DAY(C152)&amp;""'""))&gt;0,""Depositada"",if(sum(QUERY(IMPORTRANGE(""https://docs.google.com/spreadsheets/d/1ykfbEpHEAAZVCgujsGjRFJRCTULkzlWa8UjdyLzkDBM"",""BD M Sangrias!a:i""),""select Col6 whe"&amp;"re Col7 = 'Caixa Atendimento' and Col9 = '""&amp;K152&amp;""' and Col6 = ""&amp;M152&amp;"" and Col4 = date '""&amp;YEAR(C152)&amp;""-""&amp;MONTH(C152)&amp;""-""&amp;DAY(C152)&amp;""'""))&gt;0,""Caixa Atendimento"",""Caixa Sangria"")),""""),""Caixa Sangria"")"),"")</f>
        <v/>
      </c>
      <c r="M152" s="185">
        <f>IFERROR(__xludf.DUMMYFUNCTION("ifna(VALUE(REGEXEXTRACT(E152,""[0-9.]+[,]+[0-9]+"")))"),14.9)</f>
        <v>14.9</v>
      </c>
      <c r="N152" s="185"/>
      <c r="O152" s="185"/>
      <c r="P152" s="185"/>
      <c r="Q152" s="185"/>
      <c r="R152" s="185"/>
      <c r="S152" s="185"/>
      <c r="T152" s="185"/>
      <c r="U152" s="185"/>
      <c r="V152" s="185"/>
    </row>
    <row r="153" ht="14.25" customHeight="1">
      <c r="A153" s="178"/>
      <c r="B153" s="12"/>
      <c r="C153" s="13"/>
      <c r="D153" s="179"/>
      <c r="E153" s="180"/>
      <c r="F153" s="181"/>
      <c r="G153" s="179"/>
      <c r="H153" s="190"/>
      <c r="I153" s="190"/>
      <c r="J153" s="187"/>
      <c r="K153" s="187"/>
      <c r="L153" s="184" t="str">
        <f>IFERROR(__xludf.DUMMYFUNCTION("ifna(IF(and(D153=""Saída"",J153=""Sangria""),if(sum(QUERY(IMPORTRANGE(""https://docs.google.com/spreadsheets/d/1ykfbEpHEAAZVCgujsGjRFJRCTULkzlWa8UjdyLzkDBM"",""BD M Sangrias!a:i""),""select Col6 where Col7 = 'Depositada' and Col9 = '""&amp;K153&amp;""' and Col6 ="&amp;" ""&amp;M153&amp;"" and Col4 = date '""&amp;YEAR(C153)&amp;""-""&amp;MONTH(C153)&amp;""-""&amp;DAY(C153)&amp;""'""))&gt;0,""Depositada"",if(sum(QUERY(IMPORTRANGE(""https://docs.google.com/spreadsheets/d/1ykfbEpHEAAZVCgujsGjRFJRCTULkzlWa8UjdyLzkDBM"",""BD M Sangrias!a:i""),""select Col6 whe"&amp;"re Col7 = 'Caixa Atendimento' and Col9 = '""&amp;K153&amp;""' and Col6 = ""&amp;M153&amp;"" and Col4 = date '""&amp;YEAR(C153)&amp;""-""&amp;MONTH(C153)&amp;""-""&amp;DAY(C153)&amp;""'""))&gt;0,""Caixa Atendimento"",""Caixa Sangria"")),""""),""Caixa Sangria"")"),"")</f>
        <v/>
      </c>
      <c r="M153" s="185" t="str">
        <f>IFERROR(__xludf.DUMMYFUNCTION("ifna(VALUE(REGEXEXTRACT(E153,""[0-9.]+[,]+[0-9]+"")))"),"")</f>
        <v/>
      </c>
      <c r="N153" s="185"/>
      <c r="O153" s="185"/>
      <c r="P153" s="185"/>
      <c r="Q153" s="185"/>
      <c r="R153" s="185"/>
      <c r="S153" s="185"/>
      <c r="T153" s="185"/>
      <c r="U153" s="185"/>
      <c r="V153" s="185"/>
    </row>
    <row r="154" ht="14.25" customHeight="1">
      <c r="A154" s="178"/>
      <c r="B154" s="12"/>
      <c r="C154" s="13"/>
      <c r="D154" s="179"/>
      <c r="E154" s="180"/>
      <c r="F154" s="181"/>
      <c r="G154" s="179"/>
      <c r="H154" s="190"/>
      <c r="I154" s="190"/>
      <c r="J154" s="187"/>
      <c r="K154" s="187"/>
      <c r="L154" s="184" t="str">
        <f>IFERROR(__xludf.DUMMYFUNCTION("ifna(IF(and(D154=""Saída"",J154=""Sangria""),if(sum(QUERY(IMPORTRANGE(""https://docs.google.com/spreadsheets/d/1ykfbEpHEAAZVCgujsGjRFJRCTULkzlWa8UjdyLzkDBM"",""BD M Sangrias!a:i""),""select Col6 where Col7 = 'Depositada' and Col9 = '""&amp;K154&amp;""' and Col6 ="&amp;" ""&amp;M154&amp;"" and Col4 = date '""&amp;YEAR(C154)&amp;""-""&amp;MONTH(C154)&amp;""-""&amp;DAY(C154)&amp;""'""))&gt;0,""Depositada"",if(sum(QUERY(IMPORTRANGE(""https://docs.google.com/spreadsheets/d/1ykfbEpHEAAZVCgujsGjRFJRCTULkzlWa8UjdyLzkDBM"",""BD M Sangrias!a:i""),""select Col6 whe"&amp;"re Col7 = 'Caixa Atendimento' and Col9 = '""&amp;K154&amp;""' and Col6 = ""&amp;M154&amp;"" and Col4 = date '""&amp;YEAR(C154)&amp;""-""&amp;MONTH(C154)&amp;""-""&amp;DAY(C154)&amp;""'""))&gt;0,""Caixa Atendimento"",""Caixa Sangria"")),""""),""Caixa Sangria"")"),"")</f>
        <v/>
      </c>
      <c r="M154" s="185" t="str">
        <f>IFERROR(__xludf.DUMMYFUNCTION("ifna(VALUE(REGEXEXTRACT(E154,""[0-9.]+[,]+[0-9]+"")))"),"")</f>
        <v/>
      </c>
      <c r="N154" s="185"/>
      <c r="O154" s="185"/>
      <c r="P154" s="185"/>
      <c r="Q154" s="185"/>
      <c r="R154" s="185"/>
      <c r="S154" s="185"/>
      <c r="T154" s="185"/>
      <c r="U154" s="185"/>
      <c r="V154" s="185"/>
    </row>
    <row r="155" ht="14.25" customHeight="1">
      <c r="A155" s="178"/>
      <c r="B155" s="12"/>
      <c r="C155" s="13"/>
      <c r="D155" s="179"/>
      <c r="E155" s="180"/>
      <c r="F155" s="181"/>
      <c r="G155" s="179"/>
      <c r="H155" s="190"/>
      <c r="I155" s="190"/>
      <c r="J155" s="187"/>
      <c r="K155" s="187"/>
      <c r="L155" s="184" t="str">
        <f>IFERROR(__xludf.DUMMYFUNCTION("ifna(IF(and(D155=""Saída"",J155=""Sangria""),if(sum(QUERY(IMPORTRANGE(""https://docs.google.com/spreadsheets/d/1ykfbEpHEAAZVCgujsGjRFJRCTULkzlWa8UjdyLzkDBM"",""BD M Sangrias!a:i""),""select Col6 where Col7 = 'Depositada' and Col9 = '""&amp;K155&amp;""' and Col6 ="&amp;" ""&amp;M155&amp;"" and Col4 = date '""&amp;YEAR(C155)&amp;""-""&amp;MONTH(C155)&amp;""-""&amp;DAY(C155)&amp;""'""))&gt;0,""Depositada"",if(sum(QUERY(IMPORTRANGE(""https://docs.google.com/spreadsheets/d/1ykfbEpHEAAZVCgujsGjRFJRCTULkzlWa8UjdyLzkDBM"",""BD M Sangrias!a:i""),""select Col6 whe"&amp;"re Col7 = 'Caixa Atendimento' and Col9 = '""&amp;K155&amp;""' and Col6 = ""&amp;M155&amp;"" and Col4 = date '""&amp;YEAR(C155)&amp;""-""&amp;MONTH(C155)&amp;""-""&amp;DAY(C155)&amp;""'""))&gt;0,""Caixa Atendimento"",""Caixa Sangria"")),""""),""Caixa Sangria"")"),"")</f>
        <v/>
      </c>
      <c r="M155" s="185" t="str">
        <f>IFERROR(__xludf.DUMMYFUNCTION("ifna(VALUE(REGEXEXTRACT(E155,""[0-9.]+[,]+[0-9]+"")))"),"")</f>
        <v/>
      </c>
      <c r="N155" s="185"/>
      <c r="O155" s="185"/>
      <c r="P155" s="185"/>
      <c r="Q155" s="185"/>
      <c r="R155" s="185"/>
      <c r="S155" s="185"/>
      <c r="T155" s="185"/>
      <c r="U155" s="185"/>
      <c r="V155" s="185"/>
    </row>
    <row r="156" ht="14.25" customHeight="1">
      <c r="A156" s="178"/>
      <c r="B156" s="12"/>
      <c r="C156" s="13"/>
      <c r="D156" s="179"/>
      <c r="E156" s="180"/>
      <c r="F156" s="188"/>
      <c r="G156" s="179"/>
      <c r="H156" s="190"/>
      <c r="I156" s="190"/>
      <c r="J156" s="187"/>
      <c r="K156" s="187"/>
      <c r="L156" s="184" t="str">
        <f>IFERROR(__xludf.DUMMYFUNCTION("ifna(IF(and(D156=""Saída"",J156=""Sangria""),if(sum(QUERY(IMPORTRANGE(""https://docs.google.com/spreadsheets/d/1ykfbEpHEAAZVCgujsGjRFJRCTULkzlWa8UjdyLzkDBM"",""BD M Sangrias!a:i""),""select Col6 where Col7 = 'Depositada' and Col9 = '""&amp;K156&amp;""' and Col6 ="&amp;" ""&amp;M156&amp;"" and Col4 = date '""&amp;YEAR(C156)&amp;""-""&amp;MONTH(C156)&amp;""-""&amp;DAY(C156)&amp;""'""))&gt;0,""Depositada"",if(sum(QUERY(IMPORTRANGE(""https://docs.google.com/spreadsheets/d/1ykfbEpHEAAZVCgujsGjRFJRCTULkzlWa8UjdyLzkDBM"",""BD M Sangrias!a:i""),""select Col6 whe"&amp;"re Col7 = 'Caixa Atendimento' and Col9 = '""&amp;K156&amp;""' and Col6 = ""&amp;M156&amp;"" and Col4 = date '""&amp;YEAR(C156)&amp;""-""&amp;MONTH(C156)&amp;""-""&amp;DAY(C156)&amp;""'""))&gt;0,""Caixa Atendimento"",""Caixa Sangria"")),""""),""Caixa Sangria"")"),"")</f>
        <v/>
      </c>
      <c r="M156" s="185" t="str">
        <f>IFERROR(__xludf.DUMMYFUNCTION("ifna(VALUE(REGEXEXTRACT(E156,""[0-9.]+[,]+[0-9]+"")))"),"")</f>
        <v/>
      </c>
      <c r="N156" s="185"/>
      <c r="O156" s="185"/>
      <c r="P156" s="185"/>
      <c r="Q156" s="185"/>
      <c r="R156" s="185"/>
      <c r="S156" s="185"/>
      <c r="T156" s="185"/>
      <c r="U156" s="185"/>
      <c r="V156" s="185"/>
    </row>
    <row r="157" ht="14.25" customHeight="1">
      <c r="A157" s="178"/>
      <c r="B157" s="12"/>
      <c r="C157" s="13"/>
      <c r="D157" s="179"/>
      <c r="E157" s="180"/>
      <c r="F157" s="181"/>
      <c r="G157" s="179"/>
      <c r="H157" s="190"/>
      <c r="I157" s="190"/>
      <c r="J157" s="187"/>
      <c r="K157" s="187"/>
      <c r="L157" s="184" t="str">
        <f>IFERROR(__xludf.DUMMYFUNCTION("ifna(IF(and(D157=""Saída"",J157=""Sangria""),if(sum(QUERY(IMPORTRANGE(""https://docs.google.com/spreadsheets/d/1ykfbEpHEAAZVCgujsGjRFJRCTULkzlWa8UjdyLzkDBM"",""BD M Sangrias!a:i""),""select Col6 where Col7 = 'Depositada' and Col9 = '""&amp;K157&amp;""' and Col6 ="&amp;" ""&amp;M157&amp;"" and Col4 = date '""&amp;YEAR(C157)&amp;""-""&amp;MONTH(C157)&amp;""-""&amp;DAY(C157)&amp;""'""))&gt;0,""Depositada"",if(sum(QUERY(IMPORTRANGE(""https://docs.google.com/spreadsheets/d/1ykfbEpHEAAZVCgujsGjRFJRCTULkzlWa8UjdyLzkDBM"",""BD M Sangrias!a:i""),""select Col6 whe"&amp;"re Col7 = 'Caixa Atendimento' and Col9 = '""&amp;K157&amp;""' and Col6 = ""&amp;M157&amp;"" and Col4 = date '""&amp;YEAR(C157)&amp;""-""&amp;MONTH(C157)&amp;""-""&amp;DAY(C157)&amp;""'""))&gt;0,""Caixa Atendimento"",""Caixa Sangria"")),""""),""Caixa Sangria"")"),"")</f>
        <v/>
      </c>
      <c r="M157" s="185" t="str">
        <f>IFERROR(__xludf.DUMMYFUNCTION("ifna(VALUE(REGEXEXTRACT(E157,""[0-9.]+[,]+[0-9]+"")))"),"")</f>
        <v/>
      </c>
      <c r="N157" s="185"/>
      <c r="O157" s="185"/>
      <c r="P157" s="185"/>
      <c r="Q157" s="185"/>
      <c r="R157" s="185"/>
      <c r="S157" s="185"/>
      <c r="T157" s="185"/>
      <c r="U157" s="185"/>
      <c r="V157" s="185"/>
    </row>
    <row r="158" ht="14.25" customHeight="1">
      <c r="A158" s="178"/>
      <c r="B158" s="12"/>
      <c r="C158" s="13"/>
      <c r="D158" s="179"/>
      <c r="E158" s="180"/>
      <c r="F158" s="181"/>
      <c r="G158" s="179"/>
      <c r="H158" s="190"/>
      <c r="I158" s="190"/>
      <c r="J158" s="187"/>
      <c r="K158" s="187"/>
      <c r="L158" s="184" t="str">
        <f>IFERROR(__xludf.DUMMYFUNCTION("ifna(IF(and(D158=""Saída"",J158=""Sangria""),if(sum(QUERY(IMPORTRANGE(""https://docs.google.com/spreadsheets/d/1ykfbEpHEAAZVCgujsGjRFJRCTULkzlWa8UjdyLzkDBM"",""BD M Sangrias!a:i""),""select Col6 where Col7 = 'Depositada' and Col9 = '""&amp;K158&amp;""' and Col6 ="&amp;" ""&amp;M158&amp;"" and Col4 = date '""&amp;YEAR(C158)&amp;""-""&amp;MONTH(C158)&amp;""-""&amp;DAY(C158)&amp;""'""))&gt;0,""Depositada"",if(sum(QUERY(IMPORTRANGE(""https://docs.google.com/spreadsheets/d/1ykfbEpHEAAZVCgujsGjRFJRCTULkzlWa8UjdyLzkDBM"",""BD M Sangrias!a:i""),""select Col6 whe"&amp;"re Col7 = 'Caixa Atendimento' and Col9 = '""&amp;K158&amp;""' and Col6 = ""&amp;M158&amp;"" and Col4 = date '""&amp;YEAR(C158)&amp;""-""&amp;MONTH(C158)&amp;""-""&amp;DAY(C158)&amp;""'""))&gt;0,""Caixa Atendimento"",""Caixa Sangria"")),""""),""Caixa Sangria"")"),"")</f>
        <v/>
      </c>
      <c r="M158" s="185" t="str">
        <f>IFERROR(__xludf.DUMMYFUNCTION("ifna(VALUE(REGEXEXTRACT(E158,""[0-9.]+[,]+[0-9]+"")))"),"")</f>
        <v/>
      </c>
      <c r="N158" s="185"/>
      <c r="O158" s="185"/>
      <c r="P158" s="185"/>
      <c r="Q158" s="185"/>
      <c r="R158" s="185"/>
      <c r="S158" s="185"/>
      <c r="T158" s="185"/>
      <c r="U158" s="185"/>
      <c r="V158" s="185"/>
    </row>
    <row r="159" ht="14.25" customHeight="1">
      <c r="A159" s="178"/>
      <c r="B159" s="12"/>
      <c r="C159" s="13"/>
      <c r="D159" s="179"/>
      <c r="E159" s="180"/>
      <c r="F159" s="181"/>
      <c r="G159" s="179"/>
      <c r="H159" s="190"/>
      <c r="I159" s="190"/>
      <c r="J159" s="187"/>
      <c r="K159" s="187"/>
      <c r="L159" s="184" t="str">
        <f>IFERROR(__xludf.DUMMYFUNCTION("ifna(IF(and(D159=""Saída"",J159=""Sangria""),if(sum(QUERY(IMPORTRANGE(""https://docs.google.com/spreadsheets/d/1ykfbEpHEAAZVCgujsGjRFJRCTULkzlWa8UjdyLzkDBM"",""BD M Sangrias!a:i""),""select Col6 where Col7 = 'Depositada' and Col9 = '""&amp;K159&amp;""' and Col6 ="&amp;" ""&amp;M159&amp;"" and Col4 = date '""&amp;YEAR(C159)&amp;""-""&amp;MONTH(C159)&amp;""-""&amp;DAY(C159)&amp;""'""))&gt;0,""Depositada"",if(sum(QUERY(IMPORTRANGE(""https://docs.google.com/spreadsheets/d/1ykfbEpHEAAZVCgujsGjRFJRCTULkzlWa8UjdyLzkDBM"",""BD M Sangrias!a:i""),""select Col6 whe"&amp;"re Col7 = 'Caixa Atendimento' and Col9 = '""&amp;K159&amp;""' and Col6 = ""&amp;M159&amp;"" and Col4 = date '""&amp;YEAR(C159)&amp;""-""&amp;MONTH(C159)&amp;""-""&amp;DAY(C159)&amp;""'""))&gt;0,""Caixa Atendimento"",""Caixa Sangria"")),""""),""Caixa Sangria"")"),"")</f>
        <v/>
      </c>
      <c r="M159" s="185" t="str">
        <f>IFERROR(__xludf.DUMMYFUNCTION("ifna(VALUE(REGEXEXTRACT(E159,""[0-9.]+[,]+[0-9]+"")))"),"")</f>
        <v/>
      </c>
      <c r="N159" s="185"/>
      <c r="O159" s="185"/>
      <c r="P159" s="185"/>
      <c r="Q159" s="185"/>
      <c r="R159" s="185"/>
      <c r="S159" s="185"/>
      <c r="T159" s="185"/>
      <c r="U159" s="185"/>
      <c r="V159" s="185"/>
    </row>
    <row r="160" ht="14.25" customHeight="1">
      <c r="A160" s="178"/>
      <c r="B160" s="12"/>
      <c r="C160" s="13"/>
      <c r="D160" s="179"/>
      <c r="E160" s="180"/>
      <c r="F160" s="181"/>
      <c r="G160" s="179"/>
      <c r="H160" s="190"/>
      <c r="I160" s="190"/>
      <c r="J160" s="187"/>
      <c r="K160" s="187"/>
      <c r="L160" s="184" t="str">
        <f>IFERROR(__xludf.DUMMYFUNCTION("ifna(IF(and(D160=""Saída"",J160=""Sangria""),if(sum(QUERY(IMPORTRANGE(""https://docs.google.com/spreadsheets/d/1ykfbEpHEAAZVCgujsGjRFJRCTULkzlWa8UjdyLzkDBM"",""BD M Sangrias!a:i""),""select Col6 where Col7 = 'Depositada' and Col9 = '""&amp;K160&amp;""' and Col6 ="&amp;" ""&amp;M160&amp;"" and Col4 = date '""&amp;YEAR(C160)&amp;""-""&amp;MONTH(C160)&amp;""-""&amp;DAY(C160)&amp;""'""))&gt;0,""Depositada"",if(sum(QUERY(IMPORTRANGE(""https://docs.google.com/spreadsheets/d/1ykfbEpHEAAZVCgujsGjRFJRCTULkzlWa8UjdyLzkDBM"",""BD M Sangrias!a:i""),""select Col6 whe"&amp;"re Col7 = 'Caixa Atendimento' and Col9 = '""&amp;K160&amp;""' and Col6 = ""&amp;M160&amp;"" and Col4 = date '""&amp;YEAR(C160)&amp;""-""&amp;MONTH(C160)&amp;""-""&amp;DAY(C160)&amp;""'""))&gt;0,""Caixa Atendimento"",""Caixa Sangria"")),""""),""Caixa Sangria"")"),"")</f>
        <v/>
      </c>
      <c r="M160" s="185" t="str">
        <f>IFERROR(__xludf.DUMMYFUNCTION("ifna(VALUE(REGEXEXTRACT(E160,""[0-9.]+[,]+[0-9]+"")))"),"")</f>
        <v/>
      </c>
      <c r="N160" s="185"/>
      <c r="O160" s="185"/>
      <c r="P160" s="185"/>
      <c r="Q160" s="185"/>
      <c r="R160" s="185"/>
      <c r="S160" s="185"/>
      <c r="T160" s="185"/>
      <c r="U160" s="185"/>
      <c r="V160" s="185"/>
    </row>
    <row r="161" ht="14.25" customHeight="1">
      <c r="A161" s="178"/>
      <c r="B161" s="12"/>
      <c r="C161" s="13"/>
      <c r="D161" s="179"/>
      <c r="E161" s="180"/>
      <c r="F161" s="181"/>
      <c r="G161" s="179"/>
      <c r="H161" s="190"/>
      <c r="I161" s="190"/>
      <c r="J161" s="187"/>
      <c r="K161" s="187"/>
      <c r="L161" s="184" t="str">
        <f>IFERROR(__xludf.DUMMYFUNCTION("ifna(IF(and(D161=""Saída"",J161=""Sangria""),if(sum(QUERY(IMPORTRANGE(""https://docs.google.com/spreadsheets/d/1ykfbEpHEAAZVCgujsGjRFJRCTULkzlWa8UjdyLzkDBM"",""BD M Sangrias!a:i""),""select Col6 where Col7 = 'Depositada' and Col9 = '""&amp;K161&amp;""' and Col6 ="&amp;" ""&amp;M161&amp;"" and Col4 = date '""&amp;YEAR(C161)&amp;""-""&amp;MONTH(C161)&amp;""-""&amp;DAY(C161)&amp;""'""))&gt;0,""Depositada"",if(sum(QUERY(IMPORTRANGE(""https://docs.google.com/spreadsheets/d/1ykfbEpHEAAZVCgujsGjRFJRCTULkzlWa8UjdyLzkDBM"",""BD M Sangrias!a:i""),""select Col6 whe"&amp;"re Col7 = 'Caixa Atendimento' and Col9 = '""&amp;K161&amp;""' and Col6 = ""&amp;M161&amp;"" and Col4 = date '""&amp;YEAR(C161)&amp;""-""&amp;MONTH(C161)&amp;""-""&amp;DAY(C161)&amp;""'""))&gt;0,""Caixa Atendimento"",""Caixa Sangria"")),""""),""Caixa Sangria"")"),"")</f>
        <v/>
      </c>
      <c r="M161" s="185" t="str">
        <f>IFERROR(__xludf.DUMMYFUNCTION("ifna(VALUE(REGEXEXTRACT(E161,""[0-9.]+[,]+[0-9]+"")))"),"")</f>
        <v/>
      </c>
      <c r="N161" s="185"/>
      <c r="O161" s="185"/>
      <c r="P161" s="185"/>
      <c r="Q161" s="185"/>
      <c r="R161" s="185"/>
      <c r="S161" s="185"/>
      <c r="T161" s="185"/>
      <c r="U161" s="185"/>
      <c r="V161" s="185"/>
    </row>
    <row r="162" ht="14.25" customHeight="1">
      <c r="A162" s="178"/>
      <c r="B162" s="12"/>
      <c r="C162" s="13"/>
      <c r="D162" s="179"/>
      <c r="E162" s="180"/>
      <c r="F162" s="181"/>
      <c r="G162" s="179"/>
      <c r="H162" s="190"/>
      <c r="I162" s="190"/>
      <c r="J162" s="187"/>
      <c r="K162" s="187"/>
      <c r="L162" s="184" t="str">
        <f>IFERROR(__xludf.DUMMYFUNCTION("ifna(IF(and(D162=""Saída"",J162=""Sangria""),if(sum(QUERY(IMPORTRANGE(""https://docs.google.com/spreadsheets/d/1ykfbEpHEAAZVCgujsGjRFJRCTULkzlWa8UjdyLzkDBM"",""BD M Sangrias!a:i""),""select Col6 where Col7 = 'Depositada' and Col9 = '""&amp;K162&amp;""' and Col6 ="&amp;" ""&amp;M162&amp;"" and Col4 = date '""&amp;YEAR(C162)&amp;""-""&amp;MONTH(C162)&amp;""-""&amp;DAY(C162)&amp;""'""))&gt;0,""Depositada"",if(sum(QUERY(IMPORTRANGE(""https://docs.google.com/spreadsheets/d/1ykfbEpHEAAZVCgujsGjRFJRCTULkzlWa8UjdyLzkDBM"",""BD M Sangrias!a:i""),""select Col6 whe"&amp;"re Col7 = 'Caixa Atendimento' and Col9 = '""&amp;K162&amp;""' and Col6 = ""&amp;M162&amp;"" and Col4 = date '""&amp;YEAR(C162)&amp;""-""&amp;MONTH(C162)&amp;""-""&amp;DAY(C162)&amp;""'""))&gt;0,""Caixa Atendimento"",""Caixa Sangria"")),""""),""Caixa Sangria"")"),"")</f>
        <v/>
      </c>
      <c r="M162" s="185" t="str">
        <f>IFERROR(__xludf.DUMMYFUNCTION("ifna(VALUE(REGEXEXTRACT(E162,""[0-9.]+[,]+[0-9]+"")))"),"")</f>
        <v/>
      </c>
      <c r="N162" s="185"/>
      <c r="O162" s="185"/>
      <c r="P162" s="185"/>
      <c r="Q162" s="185"/>
      <c r="R162" s="185"/>
      <c r="S162" s="185"/>
      <c r="T162" s="185"/>
      <c r="U162" s="185"/>
      <c r="V162" s="185"/>
    </row>
    <row r="163" ht="14.25" customHeight="1">
      <c r="A163" s="178"/>
      <c r="B163" s="12"/>
      <c r="C163" s="13"/>
      <c r="D163" s="179"/>
      <c r="E163" s="180"/>
      <c r="F163" s="188"/>
      <c r="G163" s="179"/>
      <c r="H163" s="190"/>
      <c r="I163" s="190"/>
      <c r="J163" s="187"/>
      <c r="K163" s="187"/>
      <c r="L163" s="184" t="str">
        <f>IFERROR(__xludf.DUMMYFUNCTION("ifna(IF(and(D163=""Saída"",J163=""Sangria""),if(sum(QUERY(IMPORTRANGE(""https://docs.google.com/spreadsheets/d/1ykfbEpHEAAZVCgujsGjRFJRCTULkzlWa8UjdyLzkDBM"",""BD M Sangrias!a:i""),""select Col6 where Col7 = 'Depositada' and Col9 = '""&amp;K163&amp;""' and Col6 ="&amp;" ""&amp;M163&amp;"" and Col4 = date '""&amp;YEAR(C163)&amp;""-""&amp;MONTH(C163)&amp;""-""&amp;DAY(C163)&amp;""'""))&gt;0,""Depositada"",if(sum(QUERY(IMPORTRANGE(""https://docs.google.com/spreadsheets/d/1ykfbEpHEAAZVCgujsGjRFJRCTULkzlWa8UjdyLzkDBM"",""BD M Sangrias!a:i""),""select Col6 whe"&amp;"re Col7 = 'Caixa Atendimento' and Col9 = '""&amp;K163&amp;""' and Col6 = ""&amp;M163&amp;"" and Col4 = date '""&amp;YEAR(C163)&amp;""-""&amp;MONTH(C163)&amp;""-""&amp;DAY(C163)&amp;""'""))&gt;0,""Caixa Atendimento"",""Caixa Sangria"")),""""),""Caixa Sangria"")"),"")</f>
        <v/>
      </c>
      <c r="M163" s="185" t="str">
        <f>IFERROR(__xludf.DUMMYFUNCTION("ifna(VALUE(REGEXEXTRACT(E163,""[0-9.]+[,]+[0-9]+"")))"),"")</f>
        <v/>
      </c>
      <c r="N163" s="185"/>
      <c r="O163" s="185"/>
      <c r="P163" s="185"/>
      <c r="Q163" s="185"/>
      <c r="R163" s="185"/>
      <c r="S163" s="185"/>
      <c r="T163" s="185"/>
      <c r="U163" s="185"/>
      <c r="V163" s="185"/>
    </row>
    <row r="164" ht="14.25" customHeight="1">
      <c r="A164" s="178"/>
      <c r="B164" s="12"/>
      <c r="C164" s="13"/>
      <c r="D164" s="179"/>
      <c r="E164" s="180"/>
      <c r="F164" s="181"/>
      <c r="G164" s="179"/>
      <c r="H164" s="190"/>
      <c r="I164" s="190"/>
      <c r="J164" s="187"/>
      <c r="K164" s="187"/>
      <c r="L164" s="184" t="str">
        <f>IFERROR(__xludf.DUMMYFUNCTION("ifna(IF(and(D164=""Saída"",J164=""Sangria""),if(sum(QUERY(IMPORTRANGE(""https://docs.google.com/spreadsheets/d/1ykfbEpHEAAZVCgujsGjRFJRCTULkzlWa8UjdyLzkDBM"",""BD M Sangrias!a:i""),""select Col6 where Col7 = 'Depositada' and Col9 = '""&amp;K164&amp;""' and Col6 ="&amp;" ""&amp;M164&amp;"" and Col4 = date '""&amp;YEAR(C164)&amp;""-""&amp;MONTH(C164)&amp;""-""&amp;DAY(C164)&amp;""'""))&gt;0,""Depositada"",if(sum(QUERY(IMPORTRANGE(""https://docs.google.com/spreadsheets/d/1ykfbEpHEAAZVCgujsGjRFJRCTULkzlWa8UjdyLzkDBM"",""BD M Sangrias!a:i""),""select Col6 whe"&amp;"re Col7 = 'Caixa Atendimento' and Col9 = '""&amp;K164&amp;""' and Col6 = ""&amp;M164&amp;"" and Col4 = date '""&amp;YEAR(C164)&amp;""-""&amp;MONTH(C164)&amp;""-""&amp;DAY(C164)&amp;""'""))&gt;0,""Caixa Atendimento"",""Caixa Sangria"")),""""),""Caixa Sangria"")"),"")</f>
        <v/>
      </c>
      <c r="M164" s="185" t="str">
        <f>IFERROR(__xludf.DUMMYFUNCTION("ifna(VALUE(REGEXEXTRACT(E164,""[0-9.]+[,]+[0-9]+"")))"),"")</f>
        <v/>
      </c>
      <c r="N164" s="185"/>
      <c r="O164" s="185"/>
      <c r="P164" s="185"/>
      <c r="Q164" s="185"/>
      <c r="R164" s="185"/>
      <c r="S164" s="185"/>
      <c r="T164" s="185"/>
      <c r="U164" s="185"/>
      <c r="V164" s="185"/>
    </row>
    <row r="165" ht="14.25" customHeight="1">
      <c r="A165" s="178"/>
      <c r="B165" s="12"/>
      <c r="C165" s="13"/>
      <c r="D165" s="179"/>
      <c r="E165" s="180"/>
      <c r="F165" s="188"/>
      <c r="G165" s="179"/>
      <c r="H165" s="190"/>
      <c r="I165" s="190"/>
      <c r="J165" s="187"/>
      <c r="K165" s="187"/>
      <c r="L165" s="184" t="str">
        <f>IFERROR(__xludf.DUMMYFUNCTION("ifna(IF(and(D165=""Saída"",J165=""Sangria""),if(sum(QUERY(IMPORTRANGE(""https://docs.google.com/spreadsheets/d/1ykfbEpHEAAZVCgujsGjRFJRCTULkzlWa8UjdyLzkDBM"",""BD M Sangrias!a:i""),""select Col6 where Col7 = 'Depositada' and Col9 = '""&amp;K165&amp;""' and Col6 ="&amp;" ""&amp;M165&amp;"" and Col4 = date '""&amp;YEAR(C165)&amp;""-""&amp;MONTH(C165)&amp;""-""&amp;DAY(C165)&amp;""'""))&gt;0,""Depositada"",if(sum(QUERY(IMPORTRANGE(""https://docs.google.com/spreadsheets/d/1ykfbEpHEAAZVCgujsGjRFJRCTULkzlWa8UjdyLzkDBM"",""BD M Sangrias!a:i""),""select Col6 whe"&amp;"re Col7 = 'Caixa Atendimento' and Col9 = '""&amp;K165&amp;""' and Col6 = ""&amp;M165&amp;"" and Col4 = date '""&amp;YEAR(C165)&amp;""-""&amp;MONTH(C165)&amp;""-""&amp;DAY(C165)&amp;""'""))&gt;0,""Caixa Atendimento"",""Caixa Sangria"")),""""),""Caixa Sangria"")"),"")</f>
        <v/>
      </c>
      <c r="M165" s="185" t="str">
        <f>IFERROR(__xludf.DUMMYFUNCTION("ifna(VALUE(REGEXEXTRACT(E165,""[0-9.]+[,]+[0-9]+"")))"),"")</f>
        <v/>
      </c>
      <c r="N165" s="185"/>
      <c r="O165" s="185"/>
      <c r="P165" s="185"/>
      <c r="Q165" s="185"/>
      <c r="R165" s="185"/>
      <c r="S165" s="185"/>
      <c r="T165" s="185"/>
      <c r="U165" s="185"/>
      <c r="V165" s="185"/>
    </row>
    <row r="166" ht="14.25" customHeight="1">
      <c r="A166" s="178"/>
      <c r="B166" s="12"/>
      <c r="C166" s="13"/>
      <c r="D166" s="179"/>
      <c r="E166" s="180"/>
      <c r="F166" s="188"/>
      <c r="G166" s="179"/>
      <c r="H166" s="190"/>
      <c r="I166" s="190"/>
      <c r="J166" s="187"/>
      <c r="K166" s="187"/>
      <c r="L166" s="184" t="str">
        <f>IFERROR(__xludf.DUMMYFUNCTION("ifna(IF(and(D166=""Saída"",J166=""Sangria""),if(sum(QUERY(IMPORTRANGE(""https://docs.google.com/spreadsheets/d/1ykfbEpHEAAZVCgujsGjRFJRCTULkzlWa8UjdyLzkDBM"",""BD M Sangrias!a:i""),""select Col6 where Col7 = 'Depositada' and Col9 = '""&amp;K166&amp;""' and Col6 ="&amp;" ""&amp;M166&amp;"" and Col4 = date '""&amp;YEAR(C166)&amp;""-""&amp;MONTH(C166)&amp;""-""&amp;DAY(C166)&amp;""'""))&gt;0,""Depositada"",if(sum(QUERY(IMPORTRANGE(""https://docs.google.com/spreadsheets/d/1ykfbEpHEAAZVCgujsGjRFJRCTULkzlWa8UjdyLzkDBM"",""BD M Sangrias!a:i""),""select Col6 whe"&amp;"re Col7 = 'Caixa Atendimento' and Col9 = '""&amp;K166&amp;""' and Col6 = ""&amp;M166&amp;"" and Col4 = date '""&amp;YEAR(C166)&amp;""-""&amp;MONTH(C166)&amp;""-""&amp;DAY(C166)&amp;""'""))&gt;0,""Caixa Atendimento"",""Caixa Sangria"")),""""),""Caixa Sangria"")"),"")</f>
        <v/>
      </c>
      <c r="M166" s="185" t="str">
        <f>IFERROR(__xludf.DUMMYFUNCTION("ifna(VALUE(REGEXEXTRACT(E166,""[0-9.]+[,]+[0-9]+"")))"),"")</f>
        <v/>
      </c>
      <c r="N166" s="185"/>
      <c r="O166" s="185"/>
      <c r="P166" s="185"/>
      <c r="Q166" s="185"/>
      <c r="R166" s="185"/>
      <c r="S166" s="185"/>
      <c r="T166" s="185"/>
      <c r="U166" s="185"/>
      <c r="V166" s="185"/>
    </row>
    <row r="167" ht="14.25" customHeight="1">
      <c r="A167" s="178"/>
      <c r="B167" s="12"/>
      <c r="C167" s="13"/>
      <c r="D167" s="179"/>
      <c r="E167" s="180"/>
      <c r="F167" s="181"/>
      <c r="G167" s="179"/>
      <c r="H167" s="190"/>
      <c r="I167" s="190"/>
      <c r="J167" s="187"/>
      <c r="K167" s="187"/>
      <c r="L167" s="184" t="str">
        <f>IFERROR(__xludf.DUMMYFUNCTION("ifna(IF(and(D167=""Saída"",J167=""Sangria""),if(sum(QUERY(IMPORTRANGE(""https://docs.google.com/spreadsheets/d/1ykfbEpHEAAZVCgujsGjRFJRCTULkzlWa8UjdyLzkDBM"",""BD M Sangrias!a:i""),""select Col6 where Col7 = 'Depositada' and Col9 = '""&amp;K167&amp;""' and Col6 ="&amp;" ""&amp;M167&amp;"" and Col4 = date '""&amp;YEAR(C167)&amp;""-""&amp;MONTH(C167)&amp;""-""&amp;DAY(C167)&amp;""'""))&gt;0,""Depositada"",if(sum(QUERY(IMPORTRANGE(""https://docs.google.com/spreadsheets/d/1ykfbEpHEAAZVCgujsGjRFJRCTULkzlWa8UjdyLzkDBM"",""BD M Sangrias!a:i""),""select Col6 whe"&amp;"re Col7 = 'Caixa Atendimento' and Col9 = '""&amp;K167&amp;""' and Col6 = ""&amp;M167&amp;"" and Col4 = date '""&amp;YEAR(C167)&amp;""-""&amp;MONTH(C167)&amp;""-""&amp;DAY(C167)&amp;""'""))&gt;0,""Caixa Atendimento"",""Caixa Sangria"")),""""),""Caixa Sangria"")"),"")</f>
        <v/>
      </c>
      <c r="M167" s="185" t="str">
        <f>IFERROR(__xludf.DUMMYFUNCTION("ifna(VALUE(REGEXEXTRACT(E167,""[0-9.]+[,]+[0-9]+"")))"),"")</f>
        <v/>
      </c>
      <c r="N167" s="185"/>
      <c r="O167" s="185"/>
      <c r="P167" s="185"/>
      <c r="Q167" s="185"/>
      <c r="R167" s="185"/>
      <c r="S167" s="185"/>
      <c r="T167" s="185"/>
      <c r="U167" s="185"/>
      <c r="V167" s="185"/>
    </row>
    <row r="168" ht="14.25" customHeight="1">
      <c r="A168" s="178"/>
      <c r="B168" s="12"/>
      <c r="C168" s="13"/>
      <c r="D168" s="179"/>
      <c r="E168" s="180"/>
      <c r="F168" s="181"/>
      <c r="G168" s="179"/>
      <c r="H168" s="190"/>
      <c r="I168" s="190"/>
      <c r="J168" s="187"/>
      <c r="K168" s="187"/>
      <c r="L168" s="184" t="str">
        <f>IFERROR(__xludf.DUMMYFUNCTION("ifna(IF(and(D168=""Saída"",J168=""Sangria""),if(sum(QUERY(IMPORTRANGE(""https://docs.google.com/spreadsheets/d/1ykfbEpHEAAZVCgujsGjRFJRCTULkzlWa8UjdyLzkDBM"",""BD M Sangrias!a:i""),""select Col6 where Col7 = 'Depositada' and Col9 = '""&amp;K168&amp;""' and Col6 ="&amp;" ""&amp;M168&amp;"" and Col4 = date '""&amp;YEAR(C168)&amp;""-""&amp;MONTH(C168)&amp;""-""&amp;DAY(C168)&amp;""'""))&gt;0,""Depositada"",if(sum(QUERY(IMPORTRANGE(""https://docs.google.com/spreadsheets/d/1ykfbEpHEAAZVCgujsGjRFJRCTULkzlWa8UjdyLzkDBM"",""BD M Sangrias!a:i""),""select Col6 whe"&amp;"re Col7 = 'Caixa Atendimento' and Col9 = '""&amp;K168&amp;""' and Col6 = ""&amp;M168&amp;"" and Col4 = date '""&amp;YEAR(C168)&amp;""-""&amp;MONTH(C168)&amp;""-""&amp;DAY(C168)&amp;""'""))&gt;0,""Caixa Atendimento"",""Caixa Sangria"")),""""),""Caixa Sangria"")"),"")</f>
        <v/>
      </c>
      <c r="M168" s="185" t="str">
        <f>IFERROR(__xludf.DUMMYFUNCTION("ifna(VALUE(REGEXEXTRACT(E168,""[0-9.]+[,]+[0-9]+"")))"),"")</f>
        <v/>
      </c>
      <c r="N168" s="185"/>
      <c r="O168" s="185"/>
      <c r="P168" s="185"/>
      <c r="Q168" s="185"/>
      <c r="R168" s="185"/>
      <c r="S168" s="185"/>
      <c r="T168" s="185"/>
      <c r="U168" s="185"/>
      <c r="V168" s="185"/>
    </row>
    <row r="169" ht="14.25" customHeight="1">
      <c r="A169" s="178"/>
      <c r="B169" s="12"/>
      <c r="C169" s="13"/>
      <c r="D169" s="179"/>
      <c r="E169" s="180"/>
      <c r="F169" s="181"/>
      <c r="G169" s="179"/>
      <c r="H169" s="190"/>
      <c r="I169" s="190"/>
      <c r="J169" s="187"/>
      <c r="K169" s="187"/>
      <c r="L169" s="184" t="str">
        <f>IFERROR(__xludf.DUMMYFUNCTION("ifna(IF(and(D169=""Saída"",J169=""Sangria""),if(sum(QUERY(IMPORTRANGE(""https://docs.google.com/spreadsheets/d/1ykfbEpHEAAZVCgujsGjRFJRCTULkzlWa8UjdyLzkDBM"",""BD M Sangrias!a:i""),""select Col6 where Col7 = 'Depositada' and Col9 = '""&amp;K169&amp;""' and Col6 ="&amp;" ""&amp;M169&amp;"" and Col4 = date '""&amp;YEAR(C169)&amp;""-""&amp;MONTH(C169)&amp;""-""&amp;DAY(C169)&amp;""'""))&gt;0,""Depositada"",if(sum(QUERY(IMPORTRANGE(""https://docs.google.com/spreadsheets/d/1ykfbEpHEAAZVCgujsGjRFJRCTULkzlWa8UjdyLzkDBM"",""BD M Sangrias!a:i""),""select Col6 whe"&amp;"re Col7 = 'Caixa Atendimento' and Col9 = '""&amp;K169&amp;""' and Col6 = ""&amp;M169&amp;"" and Col4 = date '""&amp;YEAR(C169)&amp;""-""&amp;MONTH(C169)&amp;""-""&amp;DAY(C169)&amp;""'""))&gt;0,""Caixa Atendimento"",""Caixa Sangria"")),""""),""Caixa Sangria"")"),"")</f>
        <v/>
      </c>
      <c r="M169" s="185" t="str">
        <f>IFERROR(__xludf.DUMMYFUNCTION("ifna(VALUE(REGEXEXTRACT(E169,""[0-9.]+[,]+[0-9]+"")))"),"")</f>
        <v/>
      </c>
      <c r="N169" s="185"/>
      <c r="O169" s="185"/>
      <c r="P169" s="185"/>
      <c r="Q169" s="185"/>
      <c r="R169" s="185"/>
      <c r="S169" s="185"/>
      <c r="T169" s="185"/>
      <c r="U169" s="185"/>
      <c r="V169" s="185"/>
    </row>
    <row r="170" ht="14.25" customHeight="1">
      <c r="A170" s="178"/>
      <c r="B170" s="12"/>
      <c r="C170" s="13"/>
      <c r="D170" s="179"/>
      <c r="E170" s="180"/>
      <c r="F170" s="181"/>
      <c r="G170" s="179"/>
      <c r="H170" s="190"/>
      <c r="I170" s="190"/>
      <c r="J170" s="187"/>
      <c r="K170" s="187"/>
      <c r="L170" s="184" t="str">
        <f>IFERROR(__xludf.DUMMYFUNCTION("ifna(IF(and(D170=""Saída"",J170=""Sangria""),if(sum(QUERY(IMPORTRANGE(""https://docs.google.com/spreadsheets/d/1ykfbEpHEAAZVCgujsGjRFJRCTULkzlWa8UjdyLzkDBM"",""BD M Sangrias!a:i""),""select Col6 where Col7 = 'Depositada' and Col9 = '""&amp;K170&amp;""' and Col6 ="&amp;" ""&amp;M170&amp;"" and Col4 = date '""&amp;YEAR(C170)&amp;""-""&amp;MONTH(C170)&amp;""-""&amp;DAY(C170)&amp;""'""))&gt;0,""Depositada"",if(sum(QUERY(IMPORTRANGE(""https://docs.google.com/spreadsheets/d/1ykfbEpHEAAZVCgujsGjRFJRCTULkzlWa8UjdyLzkDBM"",""BD M Sangrias!a:i""),""select Col6 whe"&amp;"re Col7 = 'Caixa Atendimento' and Col9 = '""&amp;K170&amp;""' and Col6 = ""&amp;M170&amp;"" and Col4 = date '""&amp;YEAR(C170)&amp;""-""&amp;MONTH(C170)&amp;""-""&amp;DAY(C170)&amp;""'""))&gt;0,""Caixa Atendimento"",""Caixa Sangria"")),""""),""Caixa Sangria"")"),"")</f>
        <v/>
      </c>
      <c r="M170" s="185" t="str">
        <f>IFERROR(__xludf.DUMMYFUNCTION("ifna(VALUE(REGEXEXTRACT(E170,""[0-9.]+[,]+[0-9]+"")))"),"")</f>
        <v/>
      </c>
      <c r="N170" s="185"/>
      <c r="O170" s="185"/>
      <c r="P170" s="185"/>
      <c r="Q170" s="185"/>
      <c r="R170" s="185"/>
      <c r="S170" s="185"/>
      <c r="T170" s="185"/>
      <c r="U170" s="185"/>
      <c r="V170" s="185"/>
    </row>
    <row r="171" ht="14.25" customHeight="1">
      <c r="A171" s="178"/>
      <c r="B171" s="12"/>
      <c r="C171" s="13"/>
      <c r="D171" s="179"/>
      <c r="E171" s="180"/>
      <c r="F171" s="181"/>
      <c r="G171" s="179"/>
      <c r="H171" s="190"/>
      <c r="I171" s="190"/>
      <c r="J171" s="187"/>
      <c r="K171" s="187"/>
      <c r="L171" s="184" t="str">
        <f>IFERROR(__xludf.DUMMYFUNCTION("ifna(IF(and(D171=""Saída"",J171=""Sangria""),if(sum(QUERY(IMPORTRANGE(""https://docs.google.com/spreadsheets/d/1ykfbEpHEAAZVCgujsGjRFJRCTULkzlWa8UjdyLzkDBM"",""BD M Sangrias!a:i""),""select Col6 where Col7 = 'Depositada' and Col9 = '""&amp;K171&amp;""' and Col6 ="&amp;" ""&amp;M171&amp;"" and Col4 = date '""&amp;YEAR(C171)&amp;""-""&amp;MONTH(C171)&amp;""-""&amp;DAY(C171)&amp;""'""))&gt;0,""Depositada"",if(sum(QUERY(IMPORTRANGE(""https://docs.google.com/spreadsheets/d/1ykfbEpHEAAZVCgujsGjRFJRCTULkzlWa8UjdyLzkDBM"",""BD M Sangrias!a:i""),""select Col6 whe"&amp;"re Col7 = 'Caixa Atendimento' and Col9 = '""&amp;K171&amp;""' and Col6 = ""&amp;M171&amp;"" and Col4 = date '""&amp;YEAR(C171)&amp;""-""&amp;MONTH(C171)&amp;""-""&amp;DAY(C171)&amp;""'""))&gt;0,""Caixa Atendimento"",""Caixa Sangria"")),""""),""Caixa Sangria"")"),"")</f>
        <v/>
      </c>
      <c r="M171" s="185" t="str">
        <f>IFERROR(__xludf.DUMMYFUNCTION("ifna(VALUE(REGEXEXTRACT(E171,""[0-9.]+[,]+[0-9]+"")))"),"")</f>
        <v/>
      </c>
      <c r="N171" s="185"/>
      <c r="O171" s="185"/>
      <c r="P171" s="185"/>
      <c r="Q171" s="185"/>
      <c r="R171" s="185"/>
      <c r="S171" s="185"/>
      <c r="T171" s="185"/>
      <c r="U171" s="185"/>
      <c r="V171" s="185"/>
    </row>
    <row r="172" ht="14.25" customHeight="1">
      <c r="A172" s="178"/>
      <c r="B172" s="12"/>
      <c r="C172" s="13"/>
      <c r="D172" s="179"/>
      <c r="E172" s="180"/>
      <c r="F172" s="181"/>
      <c r="G172" s="179"/>
      <c r="H172" s="190"/>
      <c r="I172" s="190"/>
      <c r="J172" s="187"/>
      <c r="K172" s="187"/>
      <c r="L172" s="184" t="str">
        <f>IFERROR(__xludf.DUMMYFUNCTION("ifna(IF(and(D172=""Saída"",J172=""Sangria""),if(sum(QUERY(IMPORTRANGE(""https://docs.google.com/spreadsheets/d/1ykfbEpHEAAZVCgujsGjRFJRCTULkzlWa8UjdyLzkDBM"",""BD M Sangrias!a:i""),""select Col6 where Col7 = 'Depositada' and Col9 = '""&amp;K172&amp;""' and Col6 ="&amp;" ""&amp;M172&amp;"" and Col4 = date '""&amp;YEAR(C172)&amp;""-""&amp;MONTH(C172)&amp;""-""&amp;DAY(C172)&amp;""'""))&gt;0,""Depositada"",if(sum(QUERY(IMPORTRANGE(""https://docs.google.com/spreadsheets/d/1ykfbEpHEAAZVCgujsGjRFJRCTULkzlWa8UjdyLzkDBM"",""BD M Sangrias!a:i""),""select Col6 whe"&amp;"re Col7 = 'Caixa Atendimento' and Col9 = '""&amp;K172&amp;""' and Col6 = ""&amp;M172&amp;"" and Col4 = date '""&amp;YEAR(C172)&amp;""-""&amp;MONTH(C172)&amp;""-""&amp;DAY(C172)&amp;""'""))&gt;0,""Caixa Atendimento"",""Caixa Sangria"")),""""),""Caixa Sangria"")"),"")</f>
        <v/>
      </c>
      <c r="M172" s="185" t="str">
        <f>IFERROR(__xludf.DUMMYFUNCTION("ifna(VALUE(REGEXEXTRACT(E172,""[0-9.]+[,]+[0-9]+"")))"),"")</f>
        <v/>
      </c>
      <c r="N172" s="185"/>
      <c r="O172" s="185"/>
      <c r="P172" s="185"/>
      <c r="Q172" s="185"/>
      <c r="R172" s="185"/>
      <c r="S172" s="185"/>
      <c r="T172" s="185"/>
      <c r="U172" s="185"/>
      <c r="V172" s="185"/>
    </row>
    <row r="173" ht="14.25" customHeight="1">
      <c r="A173" s="178"/>
      <c r="B173" s="12"/>
      <c r="C173" s="13"/>
      <c r="D173" s="179"/>
      <c r="E173" s="180"/>
      <c r="F173" s="181"/>
      <c r="G173" s="179"/>
      <c r="H173" s="190"/>
      <c r="I173" s="190"/>
      <c r="J173" s="187"/>
      <c r="K173" s="187"/>
      <c r="L173" s="184" t="str">
        <f>IFERROR(__xludf.DUMMYFUNCTION("ifna(IF(and(D173=""Saída"",J173=""Sangria""),if(sum(QUERY(IMPORTRANGE(""https://docs.google.com/spreadsheets/d/1ykfbEpHEAAZVCgujsGjRFJRCTULkzlWa8UjdyLzkDBM"",""BD M Sangrias!a:i""),""select Col6 where Col7 = 'Depositada' and Col9 = '""&amp;K173&amp;""' and Col6 ="&amp;" ""&amp;M173&amp;"" and Col4 = date '""&amp;YEAR(C173)&amp;""-""&amp;MONTH(C173)&amp;""-""&amp;DAY(C173)&amp;""'""))&gt;0,""Depositada"",if(sum(QUERY(IMPORTRANGE(""https://docs.google.com/spreadsheets/d/1ykfbEpHEAAZVCgujsGjRFJRCTULkzlWa8UjdyLzkDBM"",""BD M Sangrias!a:i""),""select Col6 whe"&amp;"re Col7 = 'Caixa Atendimento' and Col9 = '""&amp;K173&amp;""' and Col6 = ""&amp;M173&amp;"" and Col4 = date '""&amp;YEAR(C173)&amp;""-""&amp;MONTH(C173)&amp;""-""&amp;DAY(C173)&amp;""'""))&gt;0,""Caixa Atendimento"",""Caixa Sangria"")),""""),""Caixa Sangria"")"),"")</f>
        <v/>
      </c>
      <c r="M173" s="185" t="str">
        <f>IFERROR(__xludf.DUMMYFUNCTION("ifna(VALUE(REGEXEXTRACT(E173,""[0-9.]+[,]+[0-9]+"")))"),"")</f>
        <v/>
      </c>
      <c r="N173" s="185"/>
      <c r="O173" s="185"/>
      <c r="P173" s="185"/>
      <c r="Q173" s="185"/>
      <c r="R173" s="185"/>
      <c r="S173" s="185"/>
      <c r="T173" s="185"/>
      <c r="U173" s="185"/>
      <c r="V173" s="185"/>
    </row>
    <row r="174" ht="14.25" customHeight="1">
      <c r="A174" s="178"/>
      <c r="B174" s="12"/>
      <c r="C174" s="13"/>
      <c r="D174" s="179"/>
      <c r="E174" s="180"/>
      <c r="F174" s="181"/>
      <c r="G174" s="179"/>
      <c r="H174" s="190"/>
      <c r="I174" s="190"/>
      <c r="J174" s="187"/>
      <c r="K174" s="187"/>
      <c r="L174" s="184" t="str">
        <f>IFERROR(__xludf.DUMMYFUNCTION("ifna(IF(and(D174=""Saída"",J174=""Sangria""),if(sum(QUERY(IMPORTRANGE(""https://docs.google.com/spreadsheets/d/1ykfbEpHEAAZVCgujsGjRFJRCTULkzlWa8UjdyLzkDBM"",""BD M Sangrias!a:i""),""select Col6 where Col7 = 'Depositada' and Col9 = '""&amp;K174&amp;""' and Col6 ="&amp;" ""&amp;M174&amp;"" and Col4 = date '""&amp;YEAR(C174)&amp;""-""&amp;MONTH(C174)&amp;""-""&amp;DAY(C174)&amp;""'""))&gt;0,""Depositada"",if(sum(QUERY(IMPORTRANGE(""https://docs.google.com/spreadsheets/d/1ykfbEpHEAAZVCgujsGjRFJRCTULkzlWa8UjdyLzkDBM"",""BD M Sangrias!a:i""),""select Col6 whe"&amp;"re Col7 = 'Caixa Atendimento' and Col9 = '""&amp;K174&amp;""' and Col6 = ""&amp;M174&amp;"" and Col4 = date '""&amp;YEAR(C174)&amp;""-""&amp;MONTH(C174)&amp;""-""&amp;DAY(C174)&amp;""'""))&gt;0,""Caixa Atendimento"",""Caixa Sangria"")),""""),""Caixa Sangria"")"),"")</f>
        <v/>
      </c>
      <c r="M174" s="185" t="str">
        <f>IFERROR(__xludf.DUMMYFUNCTION("ifna(VALUE(REGEXEXTRACT(E174,""[0-9.]+[,]+[0-9]+"")))"),"")</f>
        <v/>
      </c>
      <c r="N174" s="185"/>
      <c r="O174" s="185"/>
      <c r="P174" s="185"/>
      <c r="Q174" s="185"/>
      <c r="R174" s="185"/>
      <c r="S174" s="185"/>
      <c r="T174" s="185"/>
      <c r="U174" s="185"/>
      <c r="V174" s="185"/>
    </row>
    <row r="175" ht="14.25" customHeight="1">
      <c r="A175" s="178"/>
      <c r="B175" s="12"/>
      <c r="C175" s="13"/>
      <c r="D175" s="179"/>
      <c r="E175" s="180"/>
      <c r="F175" s="181"/>
      <c r="G175" s="179"/>
      <c r="H175" s="190"/>
      <c r="I175" s="190"/>
      <c r="J175" s="187"/>
      <c r="K175" s="187"/>
      <c r="L175" s="184" t="str">
        <f>IFERROR(__xludf.DUMMYFUNCTION("ifna(IF(and(D175=""Saída"",J175=""Sangria""),if(sum(QUERY(IMPORTRANGE(""https://docs.google.com/spreadsheets/d/1ykfbEpHEAAZVCgujsGjRFJRCTULkzlWa8UjdyLzkDBM"",""BD M Sangrias!a:i""),""select Col6 where Col7 = 'Depositada' and Col9 = '""&amp;K175&amp;""' and Col6 ="&amp;" ""&amp;M175&amp;"" and Col4 = date '""&amp;YEAR(C175)&amp;""-""&amp;MONTH(C175)&amp;""-""&amp;DAY(C175)&amp;""'""))&gt;0,""Depositada"",if(sum(QUERY(IMPORTRANGE(""https://docs.google.com/spreadsheets/d/1ykfbEpHEAAZVCgujsGjRFJRCTULkzlWa8UjdyLzkDBM"",""BD M Sangrias!a:i""),""select Col6 whe"&amp;"re Col7 = 'Caixa Atendimento' and Col9 = '""&amp;K175&amp;""' and Col6 = ""&amp;M175&amp;"" and Col4 = date '""&amp;YEAR(C175)&amp;""-""&amp;MONTH(C175)&amp;""-""&amp;DAY(C175)&amp;""'""))&gt;0,""Caixa Atendimento"",""Caixa Sangria"")),""""),""Caixa Sangria"")"),"")</f>
        <v/>
      </c>
      <c r="M175" s="185" t="str">
        <f>IFERROR(__xludf.DUMMYFUNCTION("ifna(VALUE(REGEXEXTRACT(E175,""[0-9.]+[,]+[0-9]+"")))"),"")</f>
        <v/>
      </c>
      <c r="N175" s="185"/>
      <c r="O175" s="185"/>
      <c r="P175" s="185"/>
      <c r="Q175" s="185"/>
      <c r="R175" s="185"/>
      <c r="S175" s="185"/>
      <c r="T175" s="185"/>
      <c r="U175" s="185"/>
      <c r="V175" s="185"/>
    </row>
    <row r="176" ht="14.25" customHeight="1">
      <c r="A176" s="178"/>
      <c r="B176" s="12"/>
      <c r="C176" s="13"/>
      <c r="D176" s="179"/>
      <c r="E176" s="180"/>
      <c r="F176" s="188"/>
      <c r="G176" s="179"/>
      <c r="H176" s="190"/>
      <c r="I176" s="190"/>
      <c r="J176" s="187"/>
      <c r="K176" s="187"/>
      <c r="L176" s="184" t="str">
        <f>IFERROR(__xludf.DUMMYFUNCTION("ifna(IF(and(D176=""Saída"",J176=""Sangria""),if(sum(QUERY(IMPORTRANGE(""https://docs.google.com/spreadsheets/d/1ykfbEpHEAAZVCgujsGjRFJRCTULkzlWa8UjdyLzkDBM"",""BD M Sangrias!a:i""),""select Col6 where Col7 = 'Depositada' and Col9 = '""&amp;K176&amp;""' and Col6 ="&amp;" ""&amp;M176&amp;"" and Col4 = date '""&amp;YEAR(C176)&amp;""-""&amp;MONTH(C176)&amp;""-""&amp;DAY(C176)&amp;""'""))&gt;0,""Depositada"",if(sum(QUERY(IMPORTRANGE(""https://docs.google.com/spreadsheets/d/1ykfbEpHEAAZVCgujsGjRFJRCTULkzlWa8UjdyLzkDBM"",""BD M Sangrias!a:i""),""select Col6 whe"&amp;"re Col7 = 'Caixa Atendimento' and Col9 = '""&amp;K176&amp;""' and Col6 = ""&amp;M176&amp;"" and Col4 = date '""&amp;YEAR(C176)&amp;""-""&amp;MONTH(C176)&amp;""-""&amp;DAY(C176)&amp;""'""))&gt;0,""Caixa Atendimento"",""Caixa Sangria"")),""""),""Caixa Sangria"")"),"")</f>
        <v/>
      </c>
      <c r="M176" s="185" t="str">
        <f>IFERROR(__xludf.DUMMYFUNCTION("ifna(VALUE(REGEXEXTRACT(E176,""[0-9.]+[,]+[0-9]+"")))"),"")</f>
        <v/>
      </c>
      <c r="N176" s="185"/>
      <c r="O176" s="185"/>
      <c r="P176" s="185"/>
      <c r="Q176" s="185"/>
      <c r="R176" s="185"/>
      <c r="S176" s="185"/>
      <c r="T176" s="185"/>
      <c r="U176" s="185"/>
      <c r="V176" s="185"/>
    </row>
    <row r="177" ht="14.25" customHeight="1">
      <c r="A177" s="178"/>
      <c r="B177" s="12"/>
      <c r="C177" s="13"/>
      <c r="D177" s="179"/>
      <c r="E177" s="180"/>
      <c r="F177" s="181"/>
      <c r="G177" s="179"/>
      <c r="H177" s="190"/>
      <c r="I177" s="190"/>
      <c r="K177" s="187"/>
      <c r="L177" s="184" t="str">
        <f>IFERROR(__xludf.DUMMYFUNCTION("ifna(IF(and(D177=""Saída"",J177=""Sangria""),if(sum(QUERY(IMPORTRANGE(""https://docs.google.com/spreadsheets/d/1ykfbEpHEAAZVCgujsGjRFJRCTULkzlWa8UjdyLzkDBM"",""BD M Sangrias!a:i""),""select Col6 where Col7 = 'Depositada' and Col9 = '""&amp;K177&amp;""' and Col6 ="&amp;" ""&amp;M177&amp;"" and Col4 = date '""&amp;YEAR(C177)&amp;""-""&amp;MONTH(C177)&amp;""-""&amp;DAY(C177)&amp;""'""))&gt;0,""Depositada"",if(sum(QUERY(IMPORTRANGE(""https://docs.google.com/spreadsheets/d/1ykfbEpHEAAZVCgujsGjRFJRCTULkzlWa8UjdyLzkDBM"",""BD M Sangrias!a:i""),""select Col6 whe"&amp;"re Col7 = 'Caixa Atendimento' and Col9 = '""&amp;K177&amp;""' and Col6 = ""&amp;M177&amp;"" and Col4 = date '""&amp;YEAR(C177)&amp;""-""&amp;MONTH(C177)&amp;""-""&amp;DAY(C177)&amp;""'""))&gt;0,""Caixa Atendimento"",""Caixa Sangria"")),""""),""Caixa Sangria"")"),"")</f>
        <v/>
      </c>
      <c r="M177" s="185" t="str">
        <f>IFERROR(__xludf.DUMMYFUNCTION("ifna(VALUE(REGEXEXTRACT(E177,""[0-9.]+[,]+[0-9]+"")))"),"")</f>
        <v/>
      </c>
      <c r="N177" s="185"/>
      <c r="O177" s="185"/>
      <c r="P177" s="185"/>
      <c r="Q177" s="185"/>
      <c r="R177" s="185"/>
      <c r="S177" s="185"/>
      <c r="T177" s="185"/>
      <c r="U177" s="185"/>
      <c r="V177" s="185"/>
    </row>
    <row r="178" ht="14.25" customHeight="1">
      <c r="A178" s="178"/>
      <c r="B178" s="12"/>
      <c r="C178" s="13"/>
      <c r="D178" s="179"/>
      <c r="E178" s="180"/>
      <c r="F178" s="181"/>
      <c r="G178" s="179"/>
      <c r="H178" s="190"/>
      <c r="I178" s="190"/>
      <c r="J178" s="187"/>
      <c r="K178" s="187"/>
      <c r="L178" s="184" t="str">
        <f>IFERROR(__xludf.DUMMYFUNCTION("ifna(IF(and(D178=""Saída"",J178=""Sangria""),if(sum(QUERY(IMPORTRANGE(""https://docs.google.com/spreadsheets/d/1ykfbEpHEAAZVCgujsGjRFJRCTULkzlWa8UjdyLzkDBM"",""BD M Sangrias!a:i""),""select Col6 where Col7 = 'Depositada' and Col9 = '""&amp;K178&amp;""' and Col6 ="&amp;" ""&amp;M178&amp;"" and Col4 = date '""&amp;YEAR(C178)&amp;""-""&amp;MONTH(C178)&amp;""-""&amp;DAY(C178)&amp;""'""))&gt;0,""Depositada"",if(sum(QUERY(IMPORTRANGE(""https://docs.google.com/spreadsheets/d/1ykfbEpHEAAZVCgujsGjRFJRCTULkzlWa8UjdyLzkDBM"",""BD M Sangrias!a:i""),""select Col6 whe"&amp;"re Col7 = 'Caixa Atendimento' and Col9 = '""&amp;K178&amp;""' and Col6 = ""&amp;M178&amp;"" and Col4 = date '""&amp;YEAR(C178)&amp;""-""&amp;MONTH(C178)&amp;""-""&amp;DAY(C178)&amp;""'""))&gt;0,""Caixa Atendimento"",""Caixa Sangria"")),""""),""Caixa Sangria"")"),"")</f>
        <v/>
      </c>
      <c r="M178" s="185" t="str">
        <f>IFERROR(__xludf.DUMMYFUNCTION("ifna(VALUE(REGEXEXTRACT(E178,""[0-9.]+[,]+[0-9]+"")))"),"")</f>
        <v/>
      </c>
      <c r="N178" s="185"/>
      <c r="O178" s="185"/>
      <c r="P178" s="185"/>
      <c r="Q178" s="185"/>
      <c r="R178" s="185"/>
      <c r="S178" s="185"/>
      <c r="T178" s="185"/>
      <c r="U178" s="185"/>
      <c r="V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184" t="str">
        <f>IFERROR(__xludf.DUMMYFUNCTION("ifna(IF(and(D179=""Saída"",J179=""Sangria""),if(sum(QUERY(IMPORTRANGE(""https://docs.google.com/spreadsheets/d/1ykfbEpHEAAZVCgujsGjRFJRCTULkzlWa8UjdyLzkDBM"",""BD M Sangrias!a:i""),""select Col6 where Col7 = 'Depositada' and Col9 = '""&amp;K179&amp;""' and Col6 ="&amp;" ""&amp;M179&amp;"" and Col4 = date '""&amp;YEAR(C179)&amp;""-""&amp;MONTH(C179)&amp;""-""&amp;DAY(C179)&amp;""'""))&gt;0,""Depositada"",if(sum(QUERY(IMPORTRANGE(""https://docs.google.com/spreadsheets/d/1ykfbEpHEAAZVCgujsGjRFJRCTULkzlWa8UjdyLzkDBM"",""BD M Sangrias!a:i""),""select Col6 whe"&amp;"re Col7 = 'Caixa Atendimento' and Col9 = '""&amp;K179&amp;""' and Col6 = ""&amp;M179&amp;"" and Col4 = date '""&amp;YEAR(C179)&amp;""-""&amp;MONTH(C179)&amp;""-""&amp;DAY(C179)&amp;""'""))&gt;0,""Caixa Atendimento"",""Caixa Sangria"")),""""),""Caixa Sangria"")"),"")</f>
        <v/>
      </c>
      <c r="M179" s="185" t="str">
        <f>IFERROR(__xludf.DUMMYFUNCTION("ifna(VALUE(REGEXEXTRACT(E179,""[0-9.]+[,]+[0-9]+"")))"),"")</f>
        <v/>
      </c>
      <c r="N179" s="185"/>
      <c r="O179" s="185"/>
      <c r="P179" s="185"/>
      <c r="Q179" s="185"/>
      <c r="R179" s="185"/>
      <c r="S179" s="185"/>
      <c r="T179" s="185"/>
      <c r="U179" s="185"/>
      <c r="V179" s="185"/>
    </row>
    <row r="180" ht="14.25" customHeight="1">
      <c r="A180" s="178"/>
      <c r="B180" s="12"/>
      <c r="C180" s="13"/>
      <c r="D180" s="179"/>
      <c r="E180" s="180"/>
      <c r="F180" s="188"/>
      <c r="G180" s="179"/>
      <c r="H180" s="190"/>
      <c r="I180" s="190"/>
      <c r="K180" s="187"/>
      <c r="L180" s="184" t="str">
        <f>IFERROR(__xludf.DUMMYFUNCTION("ifna(IF(and(D180=""Saída"",J180=""Sangria""),if(sum(QUERY(IMPORTRANGE(""https://docs.google.com/spreadsheets/d/1ykfbEpHEAAZVCgujsGjRFJRCTULkzlWa8UjdyLzkDBM"",""BD M Sangrias!a:i""),""select Col6 where Col7 = 'Depositada' and Col9 = '""&amp;K180&amp;""' and Col6 ="&amp;" ""&amp;M180&amp;"" and Col4 = date '""&amp;YEAR(C180)&amp;""-""&amp;MONTH(C180)&amp;""-""&amp;DAY(C180)&amp;""'""))&gt;0,""Depositada"",if(sum(QUERY(IMPORTRANGE(""https://docs.google.com/spreadsheets/d/1ykfbEpHEAAZVCgujsGjRFJRCTULkzlWa8UjdyLzkDBM"",""BD M Sangrias!a:i""),""select Col6 whe"&amp;"re Col7 = 'Caixa Atendimento' and Col9 = '""&amp;K180&amp;""' and Col6 = ""&amp;M180&amp;"" and Col4 = date '""&amp;YEAR(C180)&amp;""-""&amp;MONTH(C180)&amp;""-""&amp;DAY(C180)&amp;""'""))&gt;0,""Caixa Atendimento"",""Caixa Sangria"")),""""),""Caixa Sangria"")"),"")</f>
        <v/>
      </c>
      <c r="M180" s="185" t="str">
        <f>IFERROR(__xludf.DUMMYFUNCTION("ifna(VALUE(REGEXEXTRACT(E180,""[0-9.]+[,]+[0-9]+"")))"),"")</f>
        <v/>
      </c>
      <c r="N180" s="185"/>
      <c r="O180" s="185"/>
      <c r="P180" s="185"/>
      <c r="Q180" s="185"/>
      <c r="R180" s="185"/>
      <c r="S180" s="185"/>
      <c r="T180" s="185"/>
      <c r="U180" s="185"/>
      <c r="V180" s="185"/>
    </row>
    <row r="181" ht="14.25" customHeight="1">
      <c r="A181" s="178"/>
      <c r="B181" s="12"/>
      <c r="C181" s="13"/>
      <c r="D181" s="179"/>
      <c r="E181" s="180"/>
      <c r="F181" s="181"/>
      <c r="G181" s="179"/>
      <c r="H181" s="190"/>
      <c r="I181" s="190"/>
      <c r="J181" s="187"/>
      <c r="K181" s="187"/>
      <c r="L181" s="184" t="str">
        <f>IFERROR(__xludf.DUMMYFUNCTION("ifna(IF(and(D181=""Saída"",J181=""Sangria""),if(sum(QUERY(IMPORTRANGE(""https://docs.google.com/spreadsheets/d/1ykfbEpHEAAZVCgujsGjRFJRCTULkzlWa8UjdyLzkDBM"",""BD M Sangrias!a:i""),""select Col6 where Col7 = 'Depositada' and Col9 = '""&amp;K181&amp;""' and Col6 ="&amp;" ""&amp;M181&amp;"" and Col4 = date '""&amp;YEAR(C181)&amp;""-""&amp;MONTH(C181)&amp;""-""&amp;DAY(C181)&amp;""'""))&gt;0,""Depositada"",if(sum(QUERY(IMPORTRANGE(""https://docs.google.com/spreadsheets/d/1ykfbEpHEAAZVCgujsGjRFJRCTULkzlWa8UjdyLzkDBM"",""BD M Sangrias!a:i""),""select Col6 whe"&amp;"re Col7 = 'Caixa Atendimento' and Col9 = '""&amp;K181&amp;""' and Col6 = ""&amp;M181&amp;"" and Col4 = date '""&amp;YEAR(C181)&amp;""-""&amp;MONTH(C181)&amp;""-""&amp;DAY(C181)&amp;""'""))&gt;0,""Caixa Atendimento"",""Caixa Sangria"")),""""),""Caixa Sangria"")"),"")</f>
        <v/>
      </c>
      <c r="M181" s="185" t="str">
        <f>IFERROR(__xludf.DUMMYFUNCTION("ifna(VALUE(REGEXEXTRACT(E181,""[0-9.]+[,]+[0-9]+"")))"),"")</f>
        <v/>
      </c>
      <c r="N181" s="185"/>
      <c r="O181" s="185"/>
      <c r="P181" s="185"/>
      <c r="Q181" s="185"/>
      <c r="R181" s="185"/>
      <c r="S181" s="185"/>
      <c r="T181" s="185"/>
      <c r="U181" s="185"/>
      <c r="V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184" t="str">
        <f>IFERROR(__xludf.DUMMYFUNCTION("ifna(IF(and(D182=""Saída"",J182=""Sangria""),if(sum(QUERY(IMPORTRANGE(""https://docs.google.com/spreadsheets/d/1ykfbEpHEAAZVCgujsGjRFJRCTULkzlWa8UjdyLzkDBM"",""BD M Sangrias!a:i""),""select Col6 where Col7 = 'Depositada' and Col9 = '""&amp;K182&amp;""' and Col6 ="&amp;" ""&amp;M182&amp;"" and Col4 = date '""&amp;YEAR(C182)&amp;""-""&amp;MONTH(C182)&amp;""-""&amp;DAY(C182)&amp;""'""))&gt;0,""Depositada"",if(sum(QUERY(IMPORTRANGE(""https://docs.google.com/spreadsheets/d/1ykfbEpHEAAZVCgujsGjRFJRCTULkzlWa8UjdyLzkDBM"",""BD M Sangrias!a:i""),""select Col6 whe"&amp;"re Col7 = 'Caixa Atendimento' and Col9 = '""&amp;K182&amp;""' and Col6 = ""&amp;M182&amp;"" and Col4 = date '""&amp;YEAR(C182)&amp;""-""&amp;MONTH(C182)&amp;""-""&amp;DAY(C182)&amp;""'""))&gt;0,""Caixa Atendimento"",""Caixa Sangria"")),""""),""Caixa Sangria"")"),"")</f>
        <v/>
      </c>
      <c r="M182" s="185" t="str">
        <f>IFERROR(__xludf.DUMMYFUNCTION("ifna(VALUE(REGEXEXTRACT(E182,""[0-9.]+[,]+[0-9]+"")))"),"")</f>
        <v/>
      </c>
      <c r="N182" s="185"/>
      <c r="O182" s="185"/>
      <c r="P182" s="185"/>
      <c r="Q182" s="185"/>
      <c r="R182" s="185"/>
      <c r="S182" s="185"/>
      <c r="T182" s="185"/>
      <c r="U182" s="185"/>
      <c r="V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184" t="str">
        <f>IFERROR(__xludf.DUMMYFUNCTION("ifna(IF(and(D183=""Saída"",J183=""Sangria""),if(sum(QUERY(IMPORTRANGE(""https://docs.google.com/spreadsheets/d/1ykfbEpHEAAZVCgujsGjRFJRCTULkzlWa8UjdyLzkDBM"",""BD M Sangrias!a:i""),""select Col6 where Col7 = 'Depositada' and Col9 = '""&amp;K183&amp;""' and Col6 ="&amp;" ""&amp;M183&amp;"" and Col4 = date '""&amp;YEAR(C183)&amp;""-""&amp;MONTH(C183)&amp;""-""&amp;DAY(C183)&amp;""'""))&gt;0,""Depositada"",if(sum(QUERY(IMPORTRANGE(""https://docs.google.com/spreadsheets/d/1ykfbEpHEAAZVCgujsGjRFJRCTULkzlWa8UjdyLzkDBM"",""BD M Sangrias!a:i""),""select Col6 whe"&amp;"re Col7 = 'Caixa Atendimento' and Col9 = '""&amp;K183&amp;""' and Col6 = ""&amp;M183&amp;"" and Col4 = date '""&amp;YEAR(C183)&amp;""-""&amp;MONTH(C183)&amp;""-""&amp;DAY(C183)&amp;""'""))&gt;0,""Caixa Atendimento"",""Caixa Sangria"")),""""),""Caixa Sangria"")"),"")</f>
        <v/>
      </c>
      <c r="M183" s="185" t="str">
        <f>IFERROR(__xludf.DUMMYFUNCTION("ifna(VALUE(REGEXEXTRACT(E183,""[0-9.]+[,]+[0-9]+"")))"),"")</f>
        <v/>
      </c>
      <c r="N183" s="185"/>
      <c r="O183" s="185"/>
      <c r="P183" s="185"/>
      <c r="Q183" s="185"/>
      <c r="R183" s="185"/>
      <c r="S183" s="185"/>
      <c r="T183" s="185"/>
      <c r="U183" s="185"/>
      <c r="V183" s="185"/>
    </row>
    <row r="184" ht="14.25" customHeight="1">
      <c r="A184" s="178"/>
      <c r="B184" s="12"/>
      <c r="C184" s="13"/>
      <c r="D184" s="179"/>
      <c r="E184" s="180"/>
      <c r="F184" s="188"/>
      <c r="G184" s="179"/>
      <c r="H184" s="190"/>
      <c r="I184" s="190"/>
      <c r="J184" s="187"/>
      <c r="K184" s="187"/>
      <c r="L184" s="184" t="str">
        <f>IFERROR(__xludf.DUMMYFUNCTION("ifna(IF(and(D184=""Saída"",J184=""Sangria""),if(sum(QUERY(IMPORTRANGE(""https://docs.google.com/spreadsheets/d/1ykfbEpHEAAZVCgujsGjRFJRCTULkzlWa8UjdyLzkDBM"",""BD M Sangrias!a:i""),""select Col6 where Col7 = 'Depositada' and Col9 = '""&amp;K184&amp;""' and Col6 ="&amp;" ""&amp;M184&amp;"" and Col4 = date '""&amp;YEAR(C184)&amp;""-""&amp;MONTH(C184)&amp;""-""&amp;DAY(C184)&amp;""'""))&gt;0,""Depositada"",if(sum(QUERY(IMPORTRANGE(""https://docs.google.com/spreadsheets/d/1ykfbEpHEAAZVCgujsGjRFJRCTULkzlWa8UjdyLzkDBM"",""BD M Sangrias!a:i""),""select Col6 whe"&amp;"re Col7 = 'Caixa Atendimento' and Col9 = '""&amp;K184&amp;""' and Col6 = ""&amp;M184&amp;"" and Col4 = date '""&amp;YEAR(C184)&amp;""-""&amp;MONTH(C184)&amp;""-""&amp;DAY(C184)&amp;""'""))&gt;0,""Caixa Atendimento"",""Caixa Sangria"")),""""),""Caixa Sangria"")"),"")</f>
        <v/>
      </c>
      <c r="M184" s="185" t="str">
        <f>IFERROR(__xludf.DUMMYFUNCTION("ifna(VALUE(REGEXEXTRACT(E184,""[0-9.]+[,]+[0-9]+"")))"),"")</f>
        <v/>
      </c>
      <c r="N184" s="185"/>
      <c r="O184" s="185"/>
      <c r="P184" s="185"/>
      <c r="Q184" s="185"/>
      <c r="R184" s="185"/>
      <c r="S184" s="185"/>
      <c r="T184" s="185"/>
      <c r="U184" s="185"/>
      <c r="V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184" t="str">
        <f>IFERROR(__xludf.DUMMYFUNCTION("ifna(IF(and(D185=""Saída"",J185=""Sangria""),if(sum(QUERY(IMPORTRANGE(""https://docs.google.com/spreadsheets/d/1ykfbEpHEAAZVCgujsGjRFJRCTULkzlWa8UjdyLzkDBM"",""BD M Sangrias!a:i""),""select Col6 where Col7 = 'Depositada' and Col9 = '""&amp;K185&amp;""' and Col6 ="&amp;" ""&amp;M185&amp;"" and Col4 = date '""&amp;YEAR(C185)&amp;""-""&amp;MONTH(C185)&amp;""-""&amp;DAY(C185)&amp;""'""))&gt;0,""Depositada"",if(sum(QUERY(IMPORTRANGE(""https://docs.google.com/spreadsheets/d/1ykfbEpHEAAZVCgujsGjRFJRCTULkzlWa8UjdyLzkDBM"",""BD M Sangrias!a:i""),""select Col6 whe"&amp;"re Col7 = 'Caixa Atendimento' and Col9 = '""&amp;K185&amp;""' and Col6 = ""&amp;M185&amp;"" and Col4 = date '""&amp;YEAR(C185)&amp;""-""&amp;MONTH(C185)&amp;""-""&amp;DAY(C185)&amp;""'""))&gt;0,""Caixa Atendimento"",""Caixa Sangria"")),""""),""Caixa Sangria"")"),"")</f>
        <v/>
      </c>
      <c r="M185" s="185" t="str">
        <f>IFERROR(__xludf.DUMMYFUNCTION("ifna(VALUE(REGEXEXTRACT(E185,""[0-9.]+[,]+[0-9]+"")))"),"")</f>
        <v/>
      </c>
      <c r="N185" s="185"/>
      <c r="O185" s="185"/>
      <c r="P185" s="185"/>
      <c r="Q185" s="185"/>
      <c r="R185" s="185"/>
      <c r="S185" s="185"/>
      <c r="T185" s="185"/>
      <c r="U185" s="185"/>
      <c r="V185" s="185"/>
    </row>
    <row r="186" ht="14.25" customHeight="1">
      <c r="A186" s="178"/>
      <c r="B186" s="12"/>
      <c r="C186" s="13"/>
      <c r="D186" s="179"/>
      <c r="E186" s="180"/>
      <c r="F186" s="188"/>
      <c r="G186" s="179"/>
      <c r="H186" s="190"/>
      <c r="I186" s="190"/>
      <c r="J186" s="187"/>
      <c r="K186" s="187"/>
      <c r="L186" s="184" t="str">
        <f>IFERROR(__xludf.DUMMYFUNCTION("ifna(IF(and(D186=""Saída"",J186=""Sangria""),if(sum(QUERY(IMPORTRANGE(""https://docs.google.com/spreadsheets/d/1ykfbEpHEAAZVCgujsGjRFJRCTULkzlWa8UjdyLzkDBM"",""BD M Sangrias!a:i""),""select Col6 where Col7 = 'Depositada' and Col9 = '""&amp;K186&amp;""' and Col6 ="&amp;" ""&amp;M186&amp;"" and Col4 = date '""&amp;YEAR(C186)&amp;""-""&amp;MONTH(C186)&amp;""-""&amp;DAY(C186)&amp;""'""))&gt;0,""Depositada"",if(sum(QUERY(IMPORTRANGE(""https://docs.google.com/spreadsheets/d/1ykfbEpHEAAZVCgujsGjRFJRCTULkzlWa8UjdyLzkDBM"",""BD M Sangrias!a:i""),""select Col6 whe"&amp;"re Col7 = 'Caixa Atendimento' and Col9 = '""&amp;K186&amp;""' and Col6 = ""&amp;M186&amp;"" and Col4 = date '""&amp;YEAR(C186)&amp;""-""&amp;MONTH(C186)&amp;""-""&amp;DAY(C186)&amp;""'""))&gt;0,""Caixa Atendimento"",""Caixa Sangria"")),""""),""Caixa Sangria"")"),"")</f>
        <v/>
      </c>
      <c r="M186" s="185" t="str">
        <f>IFERROR(__xludf.DUMMYFUNCTION("ifna(VALUE(REGEXEXTRACT(E186,""[0-9.]+[,]+[0-9]+"")))"),"")</f>
        <v/>
      </c>
      <c r="N186" s="185"/>
      <c r="O186" s="185"/>
      <c r="P186" s="185"/>
      <c r="Q186" s="185"/>
      <c r="R186" s="185"/>
      <c r="S186" s="185"/>
      <c r="T186" s="185"/>
      <c r="U186" s="185"/>
      <c r="V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184" t="str">
        <f>IFERROR(__xludf.DUMMYFUNCTION("ifna(IF(and(D187=""Saída"",J187=""Sangria""),if(sum(QUERY(IMPORTRANGE(""https://docs.google.com/spreadsheets/d/1ykfbEpHEAAZVCgujsGjRFJRCTULkzlWa8UjdyLzkDBM"",""BD M Sangrias!a:i""),""select Col6 where Col7 = 'Depositada' and Col9 = '""&amp;K187&amp;""' and Col6 ="&amp;" ""&amp;M187&amp;"" and Col4 = date '""&amp;YEAR(C187)&amp;""-""&amp;MONTH(C187)&amp;""-""&amp;DAY(C187)&amp;""'""))&gt;0,""Depositada"",if(sum(QUERY(IMPORTRANGE(""https://docs.google.com/spreadsheets/d/1ykfbEpHEAAZVCgujsGjRFJRCTULkzlWa8UjdyLzkDBM"",""BD M Sangrias!a:i""),""select Col6 whe"&amp;"re Col7 = 'Caixa Atendimento' and Col9 = '""&amp;K187&amp;""' and Col6 = ""&amp;M187&amp;"" and Col4 = date '""&amp;YEAR(C187)&amp;""-""&amp;MONTH(C187)&amp;""-""&amp;DAY(C187)&amp;""'""))&gt;0,""Caixa Atendimento"",""Caixa Sangria"")),""""),""Caixa Sangria"")"),"")</f>
        <v/>
      </c>
      <c r="M187" s="185" t="str">
        <f>IFERROR(__xludf.DUMMYFUNCTION("ifna(VALUE(REGEXEXTRACT(E187,""[0-9.]+[,]+[0-9]+"")))"),"")</f>
        <v/>
      </c>
      <c r="N187" s="185"/>
      <c r="O187" s="185"/>
      <c r="P187" s="185"/>
      <c r="Q187" s="185"/>
      <c r="R187" s="185"/>
      <c r="S187" s="185"/>
      <c r="T187" s="185"/>
      <c r="U187" s="185"/>
      <c r="V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184" t="str">
        <f>IFERROR(__xludf.DUMMYFUNCTION("ifna(IF(and(D188=""Saída"",J188=""Sangria""),if(sum(QUERY(IMPORTRANGE(""https://docs.google.com/spreadsheets/d/1ykfbEpHEAAZVCgujsGjRFJRCTULkzlWa8UjdyLzkDBM"",""BD M Sangrias!a:i""),""select Col6 where Col7 = 'Depositada' and Col9 = '""&amp;K188&amp;""' and Col6 ="&amp;" ""&amp;M188&amp;"" and Col4 = date '""&amp;YEAR(C188)&amp;""-""&amp;MONTH(C188)&amp;""-""&amp;DAY(C188)&amp;""'""))&gt;0,""Depositada"",if(sum(QUERY(IMPORTRANGE(""https://docs.google.com/spreadsheets/d/1ykfbEpHEAAZVCgujsGjRFJRCTULkzlWa8UjdyLzkDBM"",""BD M Sangrias!a:i""),""select Col6 whe"&amp;"re Col7 = 'Caixa Atendimento' and Col9 = '""&amp;K188&amp;""' and Col6 = ""&amp;M188&amp;"" and Col4 = date '""&amp;YEAR(C188)&amp;""-""&amp;MONTH(C188)&amp;""-""&amp;DAY(C188)&amp;""'""))&gt;0,""Caixa Atendimento"",""Caixa Sangria"")),""""),""Caixa Sangria"")"),"")</f>
        <v/>
      </c>
      <c r="M188" s="185" t="str">
        <f>IFERROR(__xludf.DUMMYFUNCTION("ifna(VALUE(REGEXEXTRACT(E188,""[0-9.]+[,]+[0-9]+"")))"),"")</f>
        <v/>
      </c>
      <c r="N188" s="185"/>
      <c r="O188" s="185"/>
      <c r="P188" s="185"/>
      <c r="Q188" s="185"/>
      <c r="R188" s="185"/>
      <c r="S188" s="185"/>
      <c r="T188" s="185"/>
      <c r="U188" s="185"/>
      <c r="V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184" t="str">
        <f>IFERROR(__xludf.DUMMYFUNCTION("ifna(IF(and(D189=""Saída"",J189=""Sangria""),if(sum(QUERY(IMPORTRANGE(""https://docs.google.com/spreadsheets/d/1ykfbEpHEAAZVCgujsGjRFJRCTULkzlWa8UjdyLzkDBM"",""BD M Sangrias!a:i""),""select Col6 where Col7 = 'Depositada' and Col9 = '""&amp;K189&amp;""' and Col6 ="&amp;" ""&amp;M189&amp;"" and Col4 = date '""&amp;YEAR(C189)&amp;""-""&amp;MONTH(C189)&amp;""-""&amp;DAY(C189)&amp;""'""))&gt;0,""Depositada"",if(sum(QUERY(IMPORTRANGE(""https://docs.google.com/spreadsheets/d/1ykfbEpHEAAZVCgujsGjRFJRCTULkzlWa8UjdyLzkDBM"",""BD M Sangrias!a:i""),""select Col6 whe"&amp;"re Col7 = 'Caixa Atendimento' and Col9 = '""&amp;K189&amp;""' and Col6 = ""&amp;M189&amp;"" and Col4 = date '""&amp;YEAR(C189)&amp;""-""&amp;MONTH(C189)&amp;""-""&amp;DAY(C189)&amp;""'""))&gt;0,""Caixa Atendimento"",""Caixa Sangria"")),""""),""Caixa Sangria"")"),"")</f>
        <v/>
      </c>
      <c r="M189" s="185" t="str">
        <f>IFERROR(__xludf.DUMMYFUNCTION("ifna(VALUE(REGEXEXTRACT(E189,""[0-9.]+[,]+[0-9]+"")))"),"")</f>
        <v/>
      </c>
      <c r="N189" s="185"/>
      <c r="O189" s="185"/>
      <c r="P189" s="185"/>
      <c r="Q189" s="185"/>
      <c r="R189" s="185"/>
      <c r="S189" s="185"/>
      <c r="T189" s="185"/>
      <c r="U189" s="185"/>
      <c r="V189" s="185"/>
    </row>
    <row r="190" ht="14.25" customHeight="1">
      <c r="A190" s="178"/>
      <c r="B190" s="12"/>
      <c r="C190" s="13"/>
      <c r="D190" s="179"/>
      <c r="E190" s="180"/>
      <c r="F190" s="181"/>
      <c r="G190" s="179"/>
      <c r="H190" s="190"/>
      <c r="I190" s="190"/>
      <c r="J190" s="187"/>
      <c r="K190" s="187"/>
      <c r="L190" s="184" t="str">
        <f>IFERROR(__xludf.DUMMYFUNCTION("ifna(IF(and(D190=""Saída"",J190=""Sangria""),if(sum(QUERY(IMPORTRANGE(""https://docs.google.com/spreadsheets/d/1ykfbEpHEAAZVCgujsGjRFJRCTULkzlWa8UjdyLzkDBM"",""BD M Sangrias!a:i""),""select Col6 where Col7 = 'Depositada' and Col9 = '""&amp;K190&amp;""' and Col6 ="&amp;" ""&amp;M190&amp;"" and Col4 = date '""&amp;YEAR(C190)&amp;""-""&amp;MONTH(C190)&amp;""-""&amp;DAY(C190)&amp;""'""))&gt;0,""Depositada"",if(sum(QUERY(IMPORTRANGE(""https://docs.google.com/spreadsheets/d/1ykfbEpHEAAZVCgujsGjRFJRCTULkzlWa8UjdyLzkDBM"",""BD M Sangrias!a:i""),""select Col6 whe"&amp;"re Col7 = 'Caixa Atendimento' and Col9 = '""&amp;K190&amp;""' and Col6 = ""&amp;M190&amp;"" and Col4 = date '""&amp;YEAR(C190)&amp;""-""&amp;MONTH(C190)&amp;""-""&amp;DAY(C190)&amp;""'""))&gt;0,""Caixa Atendimento"",""Caixa Sangria"")),""""),""Caixa Sangria"")"),"")</f>
        <v/>
      </c>
      <c r="M190" s="185" t="str">
        <f>IFERROR(__xludf.DUMMYFUNCTION("ifna(VALUE(REGEXEXTRACT(E190,""[0-9.]+[,]+[0-9]+"")))"),"")</f>
        <v/>
      </c>
      <c r="N190" s="185"/>
      <c r="O190" s="185"/>
      <c r="P190" s="185"/>
      <c r="Q190" s="185"/>
      <c r="R190" s="185"/>
      <c r="S190" s="185"/>
      <c r="T190" s="185"/>
      <c r="U190" s="185"/>
      <c r="V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233"/>
      <c r="K191" s="187"/>
      <c r="L191" s="184" t="str">
        <f>IFERROR(__xludf.DUMMYFUNCTION("ifna(IF(and(D191=""Saída"",J191=""Sangria""),if(sum(QUERY(IMPORTRANGE(""https://docs.google.com/spreadsheets/d/1ykfbEpHEAAZVCgujsGjRFJRCTULkzlWa8UjdyLzkDBM"",""BD M Sangrias!a:i""),""select Col6 where Col7 = 'Depositada' and Col9 = '""&amp;K191&amp;""' and Col6 ="&amp;" ""&amp;M191&amp;"" and Col4 = date '""&amp;YEAR(C191)&amp;""-""&amp;MONTH(C191)&amp;""-""&amp;DAY(C191)&amp;""'""))&gt;0,""Depositada"",if(sum(QUERY(IMPORTRANGE(""https://docs.google.com/spreadsheets/d/1ykfbEpHEAAZVCgujsGjRFJRCTULkzlWa8UjdyLzkDBM"",""BD M Sangrias!a:i""),""select Col6 whe"&amp;"re Col7 = 'Caixa Atendimento' and Col9 = '""&amp;K191&amp;""' and Col6 = ""&amp;M191&amp;"" and Col4 = date '""&amp;YEAR(C191)&amp;""-""&amp;MONTH(C191)&amp;""-""&amp;DAY(C191)&amp;""'""))&gt;0,""Caixa Atendimento"",""Caixa Sangria"")),""""),""Caixa Sangria"")"),"")</f>
        <v/>
      </c>
      <c r="M191" s="185" t="str">
        <f>IFERROR(__xludf.DUMMYFUNCTION("ifna(VALUE(REGEXEXTRACT(E191,""[0-9.]+[,]+[0-9]+"")))"),"")</f>
        <v/>
      </c>
      <c r="N191" s="185"/>
      <c r="O191" s="185"/>
      <c r="P191" s="185"/>
      <c r="Q191" s="185"/>
      <c r="R191" s="185"/>
      <c r="S191" s="185"/>
      <c r="T191" s="185"/>
      <c r="U191" s="185"/>
      <c r="V191" s="185"/>
    </row>
    <row r="192" ht="14.25" customHeight="1">
      <c r="A192" s="178"/>
      <c r="B192" s="12"/>
      <c r="C192" s="13"/>
      <c r="D192" s="179"/>
      <c r="E192" s="180"/>
      <c r="F192" s="188"/>
      <c r="G192" s="179"/>
      <c r="H192" s="190"/>
      <c r="I192" s="190"/>
      <c r="J192" s="187"/>
      <c r="K192" s="187"/>
      <c r="L192" s="184" t="str">
        <f>IFERROR(__xludf.DUMMYFUNCTION("ifna(IF(and(D192=""Saída"",J192=""Sangria""),if(sum(QUERY(IMPORTRANGE(""https://docs.google.com/spreadsheets/d/1ykfbEpHEAAZVCgujsGjRFJRCTULkzlWa8UjdyLzkDBM"",""BD M Sangrias!a:i""),""select Col6 where Col7 = 'Depositada' and Col9 = '""&amp;K192&amp;""' and Col6 ="&amp;" ""&amp;M192&amp;"" and Col4 = date '""&amp;YEAR(C192)&amp;""-""&amp;MONTH(C192)&amp;""-""&amp;DAY(C192)&amp;""'""))&gt;0,""Depositada"",if(sum(QUERY(IMPORTRANGE(""https://docs.google.com/spreadsheets/d/1ykfbEpHEAAZVCgujsGjRFJRCTULkzlWa8UjdyLzkDBM"",""BD M Sangrias!a:i""),""select Col6 whe"&amp;"re Col7 = 'Caixa Atendimento' and Col9 = '""&amp;K192&amp;""' and Col6 = ""&amp;M192&amp;"" and Col4 = date '""&amp;YEAR(C192)&amp;""-""&amp;MONTH(C192)&amp;""-""&amp;DAY(C192)&amp;""'""))&gt;0,""Caixa Atendimento"",""Caixa Sangria"")),""""),""Caixa Sangria"")"),"")</f>
        <v/>
      </c>
      <c r="M192" s="185" t="str">
        <f>IFERROR(__xludf.DUMMYFUNCTION("ifna(VALUE(REGEXEXTRACT(E192,""[0-9.]+[,]+[0-9]+"")))"),"")</f>
        <v/>
      </c>
      <c r="N192" s="185"/>
      <c r="O192" s="185"/>
      <c r="P192" s="185"/>
      <c r="Q192" s="185"/>
      <c r="R192" s="185"/>
      <c r="S192" s="185"/>
      <c r="T192" s="185"/>
      <c r="U192" s="185"/>
      <c r="V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184" t="str">
        <f>IFERROR(__xludf.DUMMYFUNCTION("ifna(IF(and(D193=""Saída"",J193=""Sangria""),if(sum(QUERY(IMPORTRANGE(""https://docs.google.com/spreadsheets/d/1ykfbEpHEAAZVCgujsGjRFJRCTULkzlWa8UjdyLzkDBM"",""BD M Sangrias!a:i""),""select Col6 where Col7 = 'Depositada' and Col9 = '""&amp;K193&amp;""' and Col6 ="&amp;" ""&amp;M193&amp;"" and Col4 = date '""&amp;YEAR(C193)&amp;""-""&amp;MONTH(C193)&amp;""-""&amp;DAY(C193)&amp;""'""))&gt;0,""Depositada"",if(sum(QUERY(IMPORTRANGE(""https://docs.google.com/spreadsheets/d/1ykfbEpHEAAZVCgujsGjRFJRCTULkzlWa8UjdyLzkDBM"",""BD M Sangrias!a:i""),""select Col6 whe"&amp;"re Col7 = 'Caixa Atendimento' and Col9 = '""&amp;K193&amp;""' and Col6 = ""&amp;M193&amp;"" and Col4 = date '""&amp;YEAR(C193)&amp;""-""&amp;MONTH(C193)&amp;""-""&amp;DAY(C193)&amp;""'""))&gt;0,""Caixa Atendimento"",""Caixa Sangria"")),""""),""Caixa Sangria"")"),"")</f>
        <v/>
      </c>
      <c r="M193" s="185" t="str">
        <f>IFERROR(__xludf.DUMMYFUNCTION("ifna(VALUE(REGEXEXTRACT(E193,""[0-9.]+[,]+[0-9]+"")))"),"")</f>
        <v/>
      </c>
      <c r="N193" s="185"/>
      <c r="O193" s="185"/>
      <c r="P193" s="185"/>
      <c r="Q193" s="185"/>
      <c r="R193" s="185"/>
      <c r="S193" s="185"/>
      <c r="T193" s="185"/>
      <c r="U193" s="185"/>
      <c r="V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184" t="str">
        <f>IFERROR(__xludf.DUMMYFUNCTION("ifna(IF(and(D194=""Saída"",J194=""Sangria""),if(sum(QUERY(IMPORTRANGE(""https://docs.google.com/spreadsheets/d/1ykfbEpHEAAZVCgujsGjRFJRCTULkzlWa8UjdyLzkDBM"",""BD M Sangrias!a:i""),""select Col6 where Col7 = 'Depositada' and Col9 = '""&amp;K194&amp;""' and Col6 ="&amp;" ""&amp;M194&amp;"" and Col4 = date '""&amp;YEAR(C194)&amp;""-""&amp;MONTH(C194)&amp;""-""&amp;DAY(C194)&amp;""'""))&gt;0,""Depositada"",if(sum(QUERY(IMPORTRANGE(""https://docs.google.com/spreadsheets/d/1ykfbEpHEAAZVCgujsGjRFJRCTULkzlWa8UjdyLzkDBM"",""BD M Sangrias!a:i""),""select Col6 whe"&amp;"re Col7 = 'Caixa Atendimento' and Col9 = '""&amp;K194&amp;""' and Col6 = ""&amp;M194&amp;"" and Col4 = date '""&amp;YEAR(C194)&amp;""-""&amp;MONTH(C194)&amp;""-""&amp;DAY(C194)&amp;""'""))&gt;0,""Caixa Atendimento"",""Caixa Sangria"")),""""),""Caixa Sangria"")"),"")</f>
        <v/>
      </c>
      <c r="M194" s="185" t="str">
        <f>IFERROR(__xludf.DUMMYFUNCTION("ifna(VALUE(REGEXEXTRACT(E194,""[0-9.]+[,]+[0-9]+"")))"),"")</f>
        <v/>
      </c>
      <c r="N194" s="185"/>
      <c r="O194" s="185"/>
      <c r="P194" s="185"/>
      <c r="Q194" s="185"/>
      <c r="R194" s="185"/>
      <c r="S194" s="185"/>
      <c r="T194" s="185"/>
      <c r="U194" s="185"/>
      <c r="V194" s="185"/>
    </row>
    <row r="195" ht="14.25" customHeight="1">
      <c r="A195" s="178"/>
      <c r="B195" s="12"/>
      <c r="C195" s="13"/>
      <c r="D195" s="179"/>
      <c r="E195" s="180"/>
      <c r="F195" s="188"/>
      <c r="G195" s="179"/>
      <c r="H195" s="190"/>
      <c r="I195" s="190"/>
      <c r="J195" s="187"/>
      <c r="K195" s="187"/>
      <c r="L195" s="184" t="str">
        <f>IFERROR(__xludf.DUMMYFUNCTION("ifna(IF(and(D195=""Saída"",J195=""Sangria""),if(sum(QUERY(IMPORTRANGE(""https://docs.google.com/spreadsheets/d/1ykfbEpHEAAZVCgujsGjRFJRCTULkzlWa8UjdyLzkDBM"",""BD M Sangrias!a:i""),""select Col6 where Col7 = 'Depositada' and Col9 = '""&amp;K195&amp;""' and Col6 ="&amp;" ""&amp;M195&amp;"" and Col4 = date '""&amp;YEAR(C195)&amp;""-""&amp;MONTH(C195)&amp;""-""&amp;DAY(C195)&amp;""'""))&gt;0,""Depositada"",if(sum(QUERY(IMPORTRANGE(""https://docs.google.com/spreadsheets/d/1ykfbEpHEAAZVCgujsGjRFJRCTULkzlWa8UjdyLzkDBM"",""BD M Sangrias!a:i""),""select Col6 whe"&amp;"re Col7 = 'Caixa Atendimento' and Col9 = '""&amp;K195&amp;""' and Col6 = ""&amp;M195&amp;"" and Col4 = date '""&amp;YEAR(C195)&amp;""-""&amp;MONTH(C195)&amp;""-""&amp;DAY(C195)&amp;""'""))&gt;0,""Caixa Atendimento"",""Caixa Sangria"")),""""),""Caixa Sangria"")"),"")</f>
        <v/>
      </c>
      <c r="M195" s="185" t="str">
        <f>IFERROR(__xludf.DUMMYFUNCTION("ifna(VALUE(REGEXEXTRACT(E195,""[0-9.]+[,]+[0-9]+"")))"),"")</f>
        <v/>
      </c>
      <c r="N195" s="185"/>
      <c r="O195" s="185"/>
      <c r="P195" s="185"/>
      <c r="Q195" s="185"/>
      <c r="R195" s="185"/>
      <c r="S195" s="185"/>
      <c r="T195" s="185"/>
      <c r="U195" s="185"/>
      <c r="V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K196" s="187"/>
      <c r="L196" s="184" t="str">
        <f>IFERROR(__xludf.DUMMYFUNCTION("ifna(IF(and(D196=""Saída"",J196=""Sangria""),if(sum(QUERY(IMPORTRANGE(""https://docs.google.com/spreadsheets/d/1ykfbEpHEAAZVCgujsGjRFJRCTULkzlWa8UjdyLzkDBM"",""BD M Sangrias!a:i""),""select Col6 where Col7 = 'Depositada' and Col9 = '""&amp;K196&amp;""' and Col6 ="&amp;" ""&amp;M196&amp;"" and Col4 = date '""&amp;YEAR(C196)&amp;""-""&amp;MONTH(C196)&amp;""-""&amp;DAY(C196)&amp;""'""))&gt;0,""Depositada"",if(sum(QUERY(IMPORTRANGE(""https://docs.google.com/spreadsheets/d/1ykfbEpHEAAZVCgujsGjRFJRCTULkzlWa8UjdyLzkDBM"",""BD M Sangrias!a:i""),""select Col6 whe"&amp;"re Col7 = 'Caixa Atendimento' and Col9 = '""&amp;K196&amp;""' and Col6 = ""&amp;M196&amp;"" and Col4 = date '""&amp;YEAR(C196)&amp;""-""&amp;MONTH(C196)&amp;""-""&amp;DAY(C196)&amp;""'""))&gt;0,""Caixa Atendimento"",""Caixa Sangria"")),""""),""Caixa Sangria"")"),"")</f>
        <v/>
      </c>
      <c r="M196" s="185" t="str">
        <f>IFERROR(__xludf.DUMMYFUNCTION("ifna(VALUE(REGEXEXTRACT(E196,""[0-9.]+[,]+[0-9]+"")))"),"")</f>
        <v/>
      </c>
      <c r="N196" s="185"/>
      <c r="O196" s="185"/>
      <c r="P196" s="185"/>
      <c r="Q196" s="185"/>
      <c r="R196" s="185"/>
      <c r="S196" s="185"/>
      <c r="T196" s="185"/>
      <c r="U196" s="185"/>
      <c r="V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184" t="str">
        <f>IFERROR(__xludf.DUMMYFUNCTION("ifna(IF(and(D197=""Saída"",J197=""Sangria""),if(sum(QUERY(IMPORTRANGE(""https://docs.google.com/spreadsheets/d/1ykfbEpHEAAZVCgujsGjRFJRCTULkzlWa8UjdyLzkDBM"",""BD M Sangrias!a:i""),""select Col6 where Col7 = 'Depositada' and Col9 = '""&amp;K197&amp;""' and Col6 ="&amp;" ""&amp;M197&amp;"" and Col4 = date '""&amp;YEAR(C197)&amp;""-""&amp;MONTH(C197)&amp;""-""&amp;DAY(C197)&amp;""'""))&gt;0,""Depositada"",if(sum(QUERY(IMPORTRANGE(""https://docs.google.com/spreadsheets/d/1ykfbEpHEAAZVCgujsGjRFJRCTULkzlWa8UjdyLzkDBM"",""BD M Sangrias!a:i""),""select Col6 whe"&amp;"re Col7 = 'Caixa Atendimento' and Col9 = '""&amp;K197&amp;""' and Col6 = ""&amp;M197&amp;"" and Col4 = date '""&amp;YEAR(C197)&amp;""-""&amp;MONTH(C197)&amp;""-""&amp;DAY(C197)&amp;""'""))&gt;0,""Caixa Atendimento"",""Caixa Sangria"")),""""),""Caixa Sangria"")"),"")</f>
        <v/>
      </c>
      <c r="M197" s="185" t="str">
        <f>IFERROR(__xludf.DUMMYFUNCTION("ifna(VALUE(REGEXEXTRACT(E197,""[0-9.]+[,]+[0-9]+"")))"),"")</f>
        <v/>
      </c>
      <c r="N197" s="185"/>
      <c r="O197" s="185"/>
      <c r="P197" s="185"/>
      <c r="Q197" s="185"/>
      <c r="R197" s="185"/>
      <c r="S197" s="185"/>
      <c r="T197" s="185"/>
      <c r="U197" s="185"/>
      <c r="V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184" t="str">
        <f>IFERROR(__xludf.DUMMYFUNCTION("ifna(IF(and(D198=""Saída"",J198=""Sangria""),if(sum(QUERY(IMPORTRANGE(""https://docs.google.com/spreadsheets/d/1ykfbEpHEAAZVCgujsGjRFJRCTULkzlWa8UjdyLzkDBM"",""BD M Sangrias!a:i""),""select Col6 where Col7 = 'Depositada' and Col9 = '""&amp;K198&amp;""' and Col6 ="&amp;" ""&amp;M198&amp;"" and Col4 = date '""&amp;YEAR(C198)&amp;""-""&amp;MONTH(C198)&amp;""-""&amp;DAY(C198)&amp;""'""))&gt;0,""Depositada"",if(sum(QUERY(IMPORTRANGE(""https://docs.google.com/spreadsheets/d/1ykfbEpHEAAZVCgujsGjRFJRCTULkzlWa8UjdyLzkDBM"",""BD M Sangrias!a:i""),""select Col6 whe"&amp;"re Col7 = 'Caixa Atendimento' and Col9 = '""&amp;K198&amp;""' and Col6 = ""&amp;M198&amp;"" and Col4 = date '""&amp;YEAR(C198)&amp;""-""&amp;MONTH(C198)&amp;""-""&amp;DAY(C198)&amp;""'""))&gt;0,""Caixa Atendimento"",""Caixa Sangria"")),""""),""Caixa Sangria"")"),"")</f>
        <v/>
      </c>
      <c r="M198" s="185" t="str">
        <f>IFERROR(__xludf.DUMMYFUNCTION("ifna(VALUE(REGEXEXTRACT(E198,""[0-9.]+[,]+[0-9]+"")))"),"")</f>
        <v/>
      </c>
      <c r="N198" s="185"/>
      <c r="O198" s="185"/>
      <c r="P198" s="185"/>
      <c r="Q198" s="185"/>
      <c r="R198" s="185"/>
      <c r="S198" s="185"/>
      <c r="T198" s="185"/>
      <c r="U198" s="185"/>
      <c r="V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184" t="str">
        <f>IFERROR(__xludf.DUMMYFUNCTION("ifna(IF(and(D199=""Saída"",J199=""Sangria""),if(sum(QUERY(IMPORTRANGE(""https://docs.google.com/spreadsheets/d/1ykfbEpHEAAZVCgujsGjRFJRCTULkzlWa8UjdyLzkDBM"",""BD M Sangrias!a:i""),""select Col6 where Col7 = 'Depositada' and Col9 = '""&amp;K199&amp;""' and Col6 ="&amp;" ""&amp;M199&amp;"" and Col4 = date '""&amp;YEAR(C199)&amp;""-""&amp;MONTH(C199)&amp;""-""&amp;DAY(C199)&amp;""'""))&gt;0,""Depositada"",if(sum(QUERY(IMPORTRANGE(""https://docs.google.com/spreadsheets/d/1ykfbEpHEAAZVCgujsGjRFJRCTULkzlWa8UjdyLzkDBM"",""BD M Sangrias!a:i""),""select Col6 whe"&amp;"re Col7 = 'Caixa Atendimento' and Col9 = '""&amp;K199&amp;""' and Col6 = ""&amp;M199&amp;"" and Col4 = date '""&amp;YEAR(C199)&amp;""-""&amp;MONTH(C199)&amp;""-""&amp;DAY(C199)&amp;""'""))&gt;0,""Caixa Atendimento"",""Caixa Sangria"")),""""),""Caixa Sangria"")"),"")</f>
        <v/>
      </c>
      <c r="M199" s="185" t="str">
        <f>IFERROR(__xludf.DUMMYFUNCTION("ifna(VALUE(REGEXEXTRACT(E199,""[0-9.]+[,]+[0-9]+"")))"),"")</f>
        <v/>
      </c>
      <c r="N199" s="185"/>
      <c r="O199" s="185"/>
      <c r="P199" s="185"/>
      <c r="Q199" s="185"/>
      <c r="R199" s="185"/>
      <c r="S199" s="185"/>
      <c r="T199" s="185"/>
      <c r="U199" s="185"/>
      <c r="V199" s="185"/>
    </row>
    <row r="200" ht="14.25" customHeight="1">
      <c r="A200" s="178"/>
      <c r="B200" s="12"/>
      <c r="C200" s="13"/>
      <c r="D200" s="179"/>
      <c r="E200" s="180"/>
      <c r="F200" s="181"/>
      <c r="G200" s="179"/>
      <c r="H200" s="190"/>
      <c r="I200" s="190"/>
      <c r="J200" s="187"/>
      <c r="K200" s="187"/>
      <c r="L200" s="184" t="str">
        <f>IFERROR(__xludf.DUMMYFUNCTION("ifna(IF(and(D200=""Saída"",J200=""Sangria""),if(sum(QUERY(IMPORTRANGE(""https://docs.google.com/spreadsheets/d/1ykfbEpHEAAZVCgujsGjRFJRCTULkzlWa8UjdyLzkDBM"",""BD M Sangrias!a:i""),""select Col6 where Col7 = 'Depositada' and Col9 = '""&amp;K200&amp;""' and Col6 ="&amp;" ""&amp;M200&amp;"" and Col4 = date '""&amp;YEAR(C200)&amp;""-""&amp;MONTH(C200)&amp;""-""&amp;DAY(C200)&amp;""'""))&gt;0,""Depositada"",if(sum(QUERY(IMPORTRANGE(""https://docs.google.com/spreadsheets/d/1ykfbEpHEAAZVCgujsGjRFJRCTULkzlWa8UjdyLzkDBM"",""BD M Sangrias!a:i""),""select Col6 whe"&amp;"re Col7 = 'Caixa Atendimento' and Col9 = '""&amp;K200&amp;""' and Col6 = ""&amp;M200&amp;"" and Col4 = date '""&amp;YEAR(C200)&amp;""-""&amp;MONTH(C200)&amp;""-""&amp;DAY(C200)&amp;""'""))&gt;0,""Caixa Atendimento"",""Caixa Sangria"")),""""),""Caixa Sangria"")"),"")</f>
        <v/>
      </c>
      <c r="M200" s="185" t="str">
        <f>IFERROR(__xludf.DUMMYFUNCTION("ifna(VALUE(REGEXEXTRACT(E200,""[0-9.]+[,]+[0-9]+"")))"),"")</f>
        <v/>
      </c>
      <c r="N200" s="185"/>
      <c r="O200" s="185"/>
      <c r="P200" s="185"/>
      <c r="Q200" s="185"/>
      <c r="R200" s="185"/>
      <c r="S200" s="185"/>
      <c r="T200" s="185"/>
      <c r="U200" s="185"/>
      <c r="V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184" t="str">
        <f>IFERROR(__xludf.DUMMYFUNCTION("ifna(IF(and(D201=""Saída"",J201=""Sangria""),if(sum(QUERY(IMPORTRANGE(""https://docs.google.com/spreadsheets/d/1ykfbEpHEAAZVCgujsGjRFJRCTULkzlWa8UjdyLzkDBM"",""BD M Sangrias!a:i""),""select Col6 where Col7 = 'Depositada' and Col9 = '""&amp;K201&amp;""' and Col6 ="&amp;" ""&amp;M201&amp;"" and Col4 = date '""&amp;YEAR(C201)&amp;""-""&amp;MONTH(C201)&amp;""-""&amp;DAY(C201)&amp;""'""))&gt;0,""Depositada"",if(sum(QUERY(IMPORTRANGE(""https://docs.google.com/spreadsheets/d/1ykfbEpHEAAZVCgujsGjRFJRCTULkzlWa8UjdyLzkDBM"",""BD M Sangrias!a:i""),""select Col6 whe"&amp;"re Col7 = 'Caixa Atendimento' and Col9 = '""&amp;K201&amp;""' and Col6 = ""&amp;M201&amp;"" and Col4 = date '""&amp;YEAR(C201)&amp;""-""&amp;MONTH(C201)&amp;""-""&amp;DAY(C201)&amp;""'""))&gt;0,""Caixa Atendimento"",""Caixa Sangria"")),""""),""Caixa Sangria"")"),"")</f>
        <v/>
      </c>
      <c r="M201" s="185" t="str">
        <f>IFERROR(__xludf.DUMMYFUNCTION("ifna(VALUE(REGEXEXTRACT(E201,""[0-9.]+[,]+[0-9]+"")))"),"")</f>
        <v/>
      </c>
      <c r="N201" s="185"/>
      <c r="O201" s="185"/>
      <c r="P201" s="185"/>
      <c r="Q201" s="185"/>
      <c r="R201" s="185"/>
      <c r="S201" s="185"/>
      <c r="T201" s="185"/>
      <c r="U201" s="185"/>
      <c r="V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184" t="str">
        <f>IFERROR(__xludf.DUMMYFUNCTION("ifna(IF(and(D202=""Saída"",J202=""Sangria""),if(sum(QUERY(IMPORTRANGE(""https://docs.google.com/spreadsheets/d/1ykfbEpHEAAZVCgujsGjRFJRCTULkzlWa8UjdyLzkDBM"",""BD M Sangrias!a:i""),""select Col6 where Col7 = 'Depositada' and Col9 = '""&amp;K202&amp;""' and Col6 ="&amp;" ""&amp;M202&amp;"" and Col4 = date '""&amp;YEAR(C202)&amp;""-""&amp;MONTH(C202)&amp;""-""&amp;DAY(C202)&amp;""'""))&gt;0,""Depositada"",if(sum(QUERY(IMPORTRANGE(""https://docs.google.com/spreadsheets/d/1ykfbEpHEAAZVCgujsGjRFJRCTULkzlWa8UjdyLzkDBM"",""BD M Sangrias!a:i""),""select Col6 whe"&amp;"re Col7 = 'Caixa Atendimento' and Col9 = '""&amp;K202&amp;""' and Col6 = ""&amp;M202&amp;"" and Col4 = date '""&amp;YEAR(C202)&amp;""-""&amp;MONTH(C202)&amp;""-""&amp;DAY(C202)&amp;""'""))&gt;0,""Caixa Atendimento"",""Caixa Sangria"")),""""),""Caixa Sangria"")"),"")</f>
        <v/>
      </c>
      <c r="M202" s="185" t="str">
        <f>IFERROR(__xludf.DUMMYFUNCTION("ifna(VALUE(REGEXEXTRACT(E202,""[0-9.]+[,]+[0-9]+"")))"),"")</f>
        <v/>
      </c>
      <c r="N202" s="185"/>
      <c r="O202" s="185"/>
      <c r="P202" s="185"/>
      <c r="Q202" s="185"/>
      <c r="R202" s="185"/>
      <c r="S202" s="185"/>
      <c r="T202" s="185"/>
      <c r="U202" s="185"/>
      <c r="V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184" t="str">
        <f>IFERROR(__xludf.DUMMYFUNCTION("ifna(IF(and(D203=""Saída"",J203=""Sangria""),if(sum(QUERY(IMPORTRANGE(""https://docs.google.com/spreadsheets/d/1ykfbEpHEAAZVCgujsGjRFJRCTULkzlWa8UjdyLzkDBM"",""BD M Sangrias!a:i""),""select Col6 where Col7 = 'Depositada' and Col9 = '""&amp;K203&amp;""' and Col6 ="&amp;" ""&amp;M203&amp;"" and Col4 = date '""&amp;YEAR(C203)&amp;""-""&amp;MONTH(C203)&amp;""-""&amp;DAY(C203)&amp;""'""))&gt;0,""Depositada"",if(sum(QUERY(IMPORTRANGE(""https://docs.google.com/spreadsheets/d/1ykfbEpHEAAZVCgujsGjRFJRCTULkzlWa8UjdyLzkDBM"",""BD M Sangrias!a:i""),""select Col6 whe"&amp;"re Col7 = 'Caixa Atendimento' and Col9 = '""&amp;K203&amp;""' and Col6 = ""&amp;M203&amp;"" and Col4 = date '""&amp;YEAR(C203)&amp;""-""&amp;MONTH(C203)&amp;""-""&amp;DAY(C203)&amp;""'""))&gt;0,""Caixa Atendimento"",""Caixa Sangria"")),""""),""Caixa Sangria"")"),"")</f>
        <v/>
      </c>
      <c r="M203" s="185" t="str">
        <f>IFERROR(__xludf.DUMMYFUNCTION("ifna(VALUE(REGEXEXTRACT(E203,""[0-9.]+[,]+[0-9]+"")))"),"")</f>
        <v/>
      </c>
      <c r="N203" s="185"/>
      <c r="O203" s="185"/>
      <c r="P203" s="185"/>
      <c r="Q203" s="185"/>
      <c r="R203" s="185"/>
      <c r="S203" s="185"/>
      <c r="T203" s="185"/>
      <c r="U203" s="185"/>
      <c r="V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184" t="str">
        <f>IFERROR(__xludf.DUMMYFUNCTION("ifna(IF(and(D204=""Saída"",J204=""Sangria""),if(sum(QUERY(IMPORTRANGE(""https://docs.google.com/spreadsheets/d/1ykfbEpHEAAZVCgujsGjRFJRCTULkzlWa8UjdyLzkDBM"",""BD M Sangrias!a:i""),""select Col6 where Col7 = 'Depositada' and Col9 = '""&amp;K204&amp;""' and Col6 ="&amp;" ""&amp;M204&amp;"" and Col4 = date '""&amp;YEAR(C204)&amp;""-""&amp;MONTH(C204)&amp;""-""&amp;DAY(C204)&amp;""'""))&gt;0,""Depositada"",if(sum(QUERY(IMPORTRANGE(""https://docs.google.com/spreadsheets/d/1ykfbEpHEAAZVCgujsGjRFJRCTULkzlWa8UjdyLzkDBM"",""BD M Sangrias!a:i""),""select Col6 whe"&amp;"re Col7 = 'Caixa Atendimento' and Col9 = '""&amp;K204&amp;""' and Col6 = ""&amp;M204&amp;"" and Col4 = date '""&amp;YEAR(C204)&amp;""-""&amp;MONTH(C204)&amp;""-""&amp;DAY(C204)&amp;""'""))&gt;0,""Caixa Atendimento"",""Caixa Sangria"")),""""),""Caixa Sangria"")"),"")</f>
        <v/>
      </c>
      <c r="M204" s="185" t="str">
        <f>IFERROR(__xludf.DUMMYFUNCTION("ifna(VALUE(REGEXEXTRACT(E204,""[0-9.]+[,]+[0-9]+"")))"),"")</f>
        <v/>
      </c>
      <c r="N204" s="185"/>
      <c r="O204" s="185"/>
      <c r="P204" s="185"/>
      <c r="Q204" s="185"/>
      <c r="R204" s="185"/>
      <c r="S204" s="185"/>
      <c r="T204" s="185"/>
      <c r="U204" s="185"/>
      <c r="V204" s="185"/>
    </row>
    <row r="205" ht="14.25" customHeight="1">
      <c r="A205" s="178"/>
      <c r="B205" s="12"/>
      <c r="C205" s="13"/>
      <c r="D205" s="179"/>
      <c r="E205" s="180"/>
      <c r="F205" s="188"/>
      <c r="G205" s="179"/>
      <c r="H205" s="190"/>
      <c r="I205" s="190"/>
      <c r="J205" s="187"/>
      <c r="K205" s="187"/>
      <c r="L205" s="184" t="str">
        <f>IFERROR(__xludf.DUMMYFUNCTION("ifna(IF(and(D205=""Saída"",J205=""Sangria""),if(sum(QUERY(IMPORTRANGE(""https://docs.google.com/spreadsheets/d/1ykfbEpHEAAZVCgujsGjRFJRCTULkzlWa8UjdyLzkDBM"",""BD M Sangrias!a:i""),""select Col6 where Col7 = 'Depositada' and Col9 = '""&amp;K205&amp;""' and Col6 ="&amp;" ""&amp;M205&amp;"" and Col4 = date '""&amp;YEAR(C205)&amp;""-""&amp;MONTH(C205)&amp;""-""&amp;DAY(C205)&amp;""'""))&gt;0,""Depositada"",if(sum(QUERY(IMPORTRANGE(""https://docs.google.com/spreadsheets/d/1ykfbEpHEAAZVCgujsGjRFJRCTULkzlWa8UjdyLzkDBM"",""BD M Sangrias!a:i""),""select Col6 whe"&amp;"re Col7 = 'Caixa Atendimento' and Col9 = '""&amp;K205&amp;""' and Col6 = ""&amp;M205&amp;"" and Col4 = date '""&amp;YEAR(C205)&amp;""-""&amp;MONTH(C205)&amp;""-""&amp;DAY(C205)&amp;""'""))&gt;0,""Caixa Atendimento"",""Caixa Sangria"")),""""),""Caixa Sangria"")"),"")</f>
        <v/>
      </c>
      <c r="M205" s="185" t="str">
        <f>IFERROR(__xludf.DUMMYFUNCTION("ifna(VALUE(REGEXEXTRACT(E205,""[0-9.]+[,]+[0-9]+"")))"),"")</f>
        <v/>
      </c>
      <c r="N205" s="185"/>
      <c r="O205" s="185"/>
      <c r="P205" s="185"/>
      <c r="Q205" s="185"/>
      <c r="R205" s="185"/>
      <c r="S205" s="185"/>
      <c r="T205" s="185"/>
      <c r="U205" s="185"/>
      <c r="V205" s="185"/>
    </row>
    <row r="206" ht="14.25" customHeight="1">
      <c r="A206" s="178"/>
      <c r="B206" s="12"/>
      <c r="C206" s="13"/>
      <c r="D206" s="179"/>
      <c r="E206" s="180"/>
      <c r="F206" s="181"/>
      <c r="G206" s="179"/>
      <c r="H206" s="190"/>
      <c r="I206" s="190"/>
      <c r="J206" s="187"/>
      <c r="K206" s="187"/>
      <c r="L206" s="184" t="str">
        <f>IFERROR(__xludf.DUMMYFUNCTION("ifna(IF(and(D206=""Saída"",J206=""Sangria""),if(sum(QUERY(IMPORTRANGE(""https://docs.google.com/spreadsheets/d/1ykfbEpHEAAZVCgujsGjRFJRCTULkzlWa8UjdyLzkDBM"",""BD M Sangrias!a:i""),""select Col6 where Col7 = 'Depositada' and Col9 = '""&amp;K206&amp;""' and Col6 ="&amp;" ""&amp;M206&amp;"" and Col4 = date '""&amp;YEAR(C206)&amp;""-""&amp;MONTH(C206)&amp;""-""&amp;DAY(C206)&amp;""'""))&gt;0,""Depositada"",if(sum(QUERY(IMPORTRANGE(""https://docs.google.com/spreadsheets/d/1ykfbEpHEAAZVCgujsGjRFJRCTULkzlWa8UjdyLzkDBM"",""BD M Sangrias!a:i""),""select Col6 whe"&amp;"re Col7 = 'Caixa Atendimento' and Col9 = '""&amp;K206&amp;""' and Col6 = ""&amp;M206&amp;"" and Col4 = date '""&amp;YEAR(C206)&amp;""-""&amp;MONTH(C206)&amp;""-""&amp;DAY(C206)&amp;""'""))&gt;0,""Caixa Atendimento"",""Caixa Sangria"")),""""),""Caixa Sangria"")"),"")</f>
        <v/>
      </c>
      <c r="M206" s="185" t="str">
        <f>IFERROR(__xludf.DUMMYFUNCTION("ifna(VALUE(REGEXEXTRACT(E206,""[0-9.]+[,]+[0-9]+"")))"),"")</f>
        <v/>
      </c>
      <c r="N206" s="185"/>
      <c r="O206" s="185"/>
      <c r="P206" s="185"/>
      <c r="Q206" s="185"/>
      <c r="R206" s="185"/>
      <c r="S206" s="185"/>
      <c r="T206" s="185"/>
      <c r="U206" s="185"/>
      <c r="V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184" t="str">
        <f>IFERROR(__xludf.DUMMYFUNCTION("ifna(IF(and(D207=""Saída"",J207=""Sangria""),if(sum(QUERY(IMPORTRANGE(""https://docs.google.com/spreadsheets/d/1ykfbEpHEAAZVCgujsGjRFJRCTULkzlWa8UjdyLzkDBM"",""BD M Sangrias!a:i""),""select Col6 where Col7 = 'Depositada' and Col9 = '""&amp;K207&amp;""' and Col6 ="&amp;" ""&amp;M207&amp;"" and Col4 = date '""&amp;YEAR(C207)&amp;""-""&amp;MONTH(C207)&amp;""-""&amp;DAY(C207)&amp;""'""))&gt;0,""Depositada"",if(sum(QUERY(IMPORTRANGE(""https://docs.google.com/spreadsheets/d/1ykfbEpHEAAZVCgujsGjRFJRCTULkzlWa8UjdyLzkDBM"",""BD M Sangrias!a:i""),""select Col6 whe"&amp;"re Col7 = 'Caixa Atendimento' and Col9 = '""&amp;K207&amp;""' and Col6 = ""&amp;M207&amp;"" and Col4 = date '""&amp;YEAR(C207)&amp;""-""&amp;MONTH(C207)&amp;""-""&amp;DAY(C207)&amp;""'""))&gt;0,""Caixa Atendimento"",""Caixa Sangria"")),""""),""Caixa Sangria"")"),"")</f>
        <v/>
      </c>
      <c r="M207" s="185" t="str">
        <f>IFERROR(__xludf.DUMMYFUNCTION("ifna(VALUE(REGEXEXTRACT(E207,""[0-9.]+[,]+[0-9]+"")))"),"")</f>
        <v/>
      </c>
      <c r="N207" s="185"/>
      <c r="O207" s="185"/>
      <c r="P207" s="185"/>
      <c r="Q207" s="185"/>
      <c r="R207" s="185"/>
      <c r="S207" s="185"/>
      <c r="T207" s="185"/>
      <c r="U207" s="185"/>
      <c r="V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184" t="str">
        <f>IFERROR(__xludf.DUMMYFUNCTION("ifna(IF(and(D208=""Saída"",J208=""Sangria""),if(sum(QUERY(IMPORTRANGE(""https://docs.google.com/spreadsheets/d/1ykfbEpHEAAZVCgujsGjRFJRCTULkzlWa8UjdyLzkDBM"",""BD M Sangrias!a:i""),""select Col6 where Col7 = 'Depositada' and Col9 = '""&amp;K208&amp;""' and Col6 ="&amp;" ""&amp;M208&amp;"" and Col4 = date '""&amp;YEAR(C208)&amp;""-""&amp;MONTH(C208)&amp;""-""&amp;DAY(C208)&amp;""'""))&gt;0,""Depositada"",if(sum(QUERY(IMPORTRANGE(""https://docs.google.com/spreadsheets/d/1ykfbEpHEAAZVCgujsGjRFJRCTULkzlWa8UjdyLzkDBM"",""BD M Sangrias!a:i""),""select Col6 whe"&amp;"re Col7 = 'Caixa Atendimento' and Col9 = '""&amp;K208&amp;""' and Col6 = ""&amp;M208&amp;"" and Col4 = date '""&amp;YEAR(C208)&amp;""-""&amp;MONTH(C208)&amp;""-""&amp;DAY(C208)&amp;""'""))&gt;0,""Caixa Atendimento"",""Caixa Sangria"")),""""),""Caixa Sangria"")"),"")</f>
        <v/>
      </c>
      <c r="M208" s="185" t="str">
        <f>IFERROR(__xludf.DUMMYFUNCTION("ifna(VALUE(REGEXEXTRACT(E208,""[0-9.]+[,]+[0-9]+"")))"),"")</f>
        <v/>
      </c>
      <c r="N208" s="185"/>
      <c r="O208" s="185"/>
      <c r="P208" s="185"/>
      <c r="Q208" s="185"/>
      <c r="R208" s="185"/>
      <c r="S208" s="185"/>
      <c r="T208" s="185"/>
      <c r="U208" s="185"/>
      <c r="V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184" t="str">
        <f>IFERROR(__xludf.DUMMYFUNCTION("ifna(IF(and(D209=""Saída"",J209=""Sangria""),if(sum(QUERY(IMPORTRANGE(""https://docs.google.com/spreadsheets/d/1ykfbEpHEAAZVCgujsGjRFJRCTULkzlWa8UjdyLzkDBM"",""BD M Sangrias!a:i""),""select Col6 where Col7 = 'Depositada' and Col9 = '""&amp;K209&amp;""' and Col6 ="&amp;" ""&amp;M209&amp;"" and Col4 = date '""&amp;YEAR(C209)&amp;""-""&amp;MONTH(C209)&amp;""-""&amp;DAY(C209)&amp;""'""))&gt;0,""Depositada"",if(sum(QUERY(IMPORTRANGE(""https://docs.google.com/spreadsheets/d/1ykfbEpHEAAZVCgujsGjRFJRCTULkzlWa8UjdyLzkDBM"",""BD M Sangrias!a:i""),""select Col6 whe"&amp;"re Col7 = 'Caixa Atendimento' and Col9 = '""&amp;K209&amp;""' and Col6 = ""&amp;M209&amp;"" and Col4 = date '""&amp;YEAR(C209)&amp;""-""&amp;MONTH(C209)&amp;""-""&amp;DAY(C209)&amp;""'""))&gt;0,""Caixa Atendimento"",""Caixa Sangria"")),""""),""Caixa Sangria"")"),"")</f>
        <v/>
      </c>
      <c r="M209" s="185" t="str">
        <f>IFERROR(__xludf.DUMMYFUNCTION("ifna(VALUE(REGEXEXTRACT(E209,""[0-9.]+[,]+[0-9]+"")))"),"")</f>
        <v/>
      </c>
      <c r="N209" s="185"/>
      <c r="O209" s="185"/>
      <c r="P209" s="185"/>
      <c r="Q209" s="185"/>
      <c r="R209" s="185"/>
      <c r="S209" s="185"/>
      <c r="T209" s="185"/>
      <c r="U209" s="185"/>
      <c r="V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184" t="str">
        <f>IFERROR(__xludf.DUMMYFUNCTION("ifna(IF(and(D210=""Saída"",J210=""Sangria""),if(sum(QUERY(IMPORTRANGE(""https://docs.google.com/spreadsheets/d/1ykfbEpHEAAZVCgujsGjRFJRCTULkzlWa8UjdyLzkDBM"",""BD M Sangrias!a:i""),""select Col6 where Col7 = 'Depositada' and Col9 = '""&amp;K210&amp;""' and Col6 ="&amp;" ""&amp;M210&amp;"" and Col4 = date '""&amp;YEAR(C210)&amp;""-""&amp;MONTH(C210)&amp;""-""&amp;DAY(C210)&amp;""'""))&gt;0,""Depositada"",if(sum(QUERY(IMPORTRANGE(""https://docs.google.com/spreadsheets/d/1ykfbEpHEAAZVCgujsGjRFJRCTULkzlWa8UjdyLzkDBM"",""BD M Sangrias!a:i""),""select Col6 whe"&amp;"re Col7 = 'Caixa Atendimento' and Col9 = '""&amp;K210&amp;""' and Col6 = ""&amp;M210&amp;"" and Col4 = date '""&amp;YEAR(C210)&amp;""-""&amp;MONTH(C210)&amp;""-""&amp;DAY(C210)&amp;""'""))&gt;0,""Caixa Atendimento"",""Caixa Sangria"")),""""),""Caixa Sangria"")"),"")</f>
        <v/>
      </c>
      <c r="M210" s="185" t="str">
        <f>IFERROR(__xludf.DUMMYFUNCTION("ifna(VALUE(REGEXEXTRACT(E210,""[0-9.]+[,]+[0-9]+"")))"),"")</f>
        <v/>
      </c>
      <c r="N210" s="185"/>
      <c r="O210" s="185"/>
      <c r="P210" s="185"/>
      <c r="Q210" s="185"/>
      <c r="R210" s="185"/>
      <c r="S210" s="185"/>
      <c r="T210" s="185"/>
      <c r="U210" s="185"/>
      <c r="V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184" t="str">
        <f>IFERROR(__xludf.DUMMYFUNCTION("ifna(IF(and(D211=""Saída"",J211=""Sangria""),if(sum(QUERY(IMPORTRANGE(""https://docs.google.com/spreadsheets/d/1ykfbEpHEAAZVCgujsGjRFJRCTULkzlWa8UjdyLzkDBM"",""BD M Sangrias!a:i""),""select Col6 where Col7 = 'Depositada' and Col9 = '""&amp;K211&amp;""' and Col6 ="&amp;" ""&amp;M211&amp;"" and Col4 = date '""&amp;YEAR(C211)&amp;""-""&amp;MONTH(C211)&amp;""-""&amp;DAY(C211)&amp;""'""))&gt;0,""Depositada"",if(sum(QUERY(IMPORTRANGE(""https://docs.google.com/spreadsheets/d/1ykfbEpHEAAZVCgujsGjRFJRCTULkzlWa8UjdyLzkDBM"",""BD M Sangrias!a:i""),""select Col6 whe"&amp;"re Col7 = 'Caixa Atendimento' and Col9 = '""&amp;K211&amp;""' and Col6 = ""&amp;M211&amp;"" and Col4 = date '""&amp;YEAR(C211)&amp;""-""&amp;MONTH(C211)&amp;""-""&amp;DAY(C211)&amp;""'""))&gt;0,""Caixa Atendimento"",""Caixa Sangria"")),""""),""Caixa Sangria"")"),"")</f>
        <v/>
      </c>
      <c r="M211" s="185" t="str">
        <f>IFERROR(__xludf.DUMMYFUNCTION("ifna(VALUE(REGEXEXTRACT(E211,""[0-9.]+[,]+[0-9]+"")))"),"")</f>
        <v/>
      </c>
      <c r="N211" s="185"/>
      <c r="O211" s="185"/>
      <c r="P211" s="185"/>
      <c r="Q211" s="185"/>
      <c r="R211" s="185"/>
      <c r="S211" s="185"/>
      <c r="T211" s="185"/>
      <c r="U211" s="185"/>
      <c r="V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184" t="str">
        <f>IFERROR(__xludf.DUMMYFUNCTION("ifna(IF(and(D212=""Saída"",J212=""Sangria""),if(sum(QUERY(IMPORTRANGE(""https://docs.google.com/spreadsheets/d/1ykfbEpHEAAZVCgujsGjRFJRCTULkzlWa8UjdyLzkDBM"",""BD M Sangrias!a:i""),""select Col6 where Col7 = 'Depositada' and Col9 = '""&amp;K212&amp;""' and Col6 ="&amp;" ""&amp;M212&amp;"" and Col4 = date '""&amp;YEAR(C212)&amp;""-""&amp;MONTH(C212)&amp;""-""&amp;DAY(C212)&amp;""'""))&gt;0,""Depositada"",if(sum(QUERY(IMPORTRANGE(""https://docs.google.com/spreadsheets/d/1ykfbEpHEAAZVCgujsGjRFJRCTULkzlWa8UjdyLzkDBM"",""BD M Sangrias!a:i""),""select Col6 whe"&amp;"re Col7 = 'Caixa Atendimento' and Col9 = '""&amp;K212&amp;""' and Col6 = ""&amp;M212&amp;"" and Col4 = date '""&amp;YEAR(C212)&amp;""-""&amp;MONTH(C212)&amp;""-""&amp;DAY(C212)&amp;""'""))&gt;0,""Caixa Atendimento"",""Caixa Sangria"")),""""),""Caixa Sangria"")"),"")</f>
        <v/>
      </c>
      <c r="M212" s="185" t="str">
        <f>IFERROR(__xludf.DUMMYFUNCTION("ifna(VALUE(REGEXEXTRACT(E212,""[0-9.]+[,]+[0-9]+"")))"),"")</f>
        <v/>
      </c>
      <c r="N212" s="185"/>
      <c r="O212" s="185"/>
      <c r="P212" s="185"/>
      <c r="Q212" s="185"/>
      <c r="R212" s="185"/>
      <c r="S212" s="185"/>
      <c r="T212" s="185"/>
      <c r="U212" s="185"/>
      <c r="V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184" t="str">
        <f>IFERROR(__xludf.DUMMYFUNCTION("ifna(IF(and(D213=""Saída"",J213=""Sangria""),if(sum(QUERY(IMPORTRANGE(""https://docs.google.com/spreadsheets/d/1ykfbEpHEAAZVCgujsGjRFJRCTULkzlWa8UjdyLzkDBM"",""BD M Sangrias!a:i""),""select Col6 where Col7 = 'Depositada' and Col9 = '""&amp;K213&amp;""' and Col6 ="&amp;" ""&amp;M213&amp;"" and Col4 = date '""&amp;YEAR(C213)&amp;""-""&amp;MONTH(C213)&amp;""-""&amp;DAY(C213)&amp;""'""))&gt;0,""Depositada"",if(sum(QUERY(IMPORTRANGE(""https://docs.google.com/spreadsheets/d/1ykfbEpHEAAZVCgujsGjRFJRCTULkzlWa8UjdyLzkDBM"",""BD M Sangrias!a:i""),""select Col6 whe"&amp;"re Col7 = 'Caixa Atendimento' and Col9 = '""&amp;K213&amp;""' and Col6 = ""&amp;M213&amp;"" and Col4 = date '""&amp;YEAR(C213)&amp;""-""&amp;MONTH(C213)&amp;""-""&amp;DAY(C213)&amp;""'""))&gt;0,""Caixa Atendimento"",""Caixa Sangria"")),""""),""Caixa Sangria"")"),"")</f>
        <v/>
      </c>
      <c r="M213" s="185" t="str">
        <f>IFERROR(__xludf.DUMMYFUNCTION("ifna(VALUE(REGEXEXTRACT(E213,""[0-9.]+[,]+[0-9]+"")))"),"")</f>
        <v/>
      </c>
      <c r="N213" s="185"/>
      <c r="O213" s="185"/>
      <c r="P213" s="185"/>
      <c r="Q213" s="185"/>
      <c r="R213" s="185"/>
      <c r="S213" s="185"/>
      <c r="T213" s="185"/>
      <c r="U213" s="185"/>
      <c r="V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184" t="str">
        <f>IFERROR(__xludf.DUMMYFUNCTION("ifna(IF(and(D214=""Saída"",J214=""Sangria""),if(sum(QUERY(IMPORTRANGE(""https://docs.google.com/spreadsheets/d/1ykfbEpHEAAZVCgujsGjRFJRCTULkzlWa8UjdyLzkDBM"",""BD M Sangrias!a:i""),""select Col6 where Col7 = 'Depositada' and Col9 = '""&amp;K214&amp;""' and Col6 ="&amp;" ""&amp;M214&amp;"" and Col4 = date '""&amp;YEAR(C214)&amp;""-""&amp;MONTH(C214)&amp;""-""&amp;DAY(C214)&amp;""'""))&gt;0,""Depositada"",if(sum(QUERY(IMPORTRANGE(""https://docs.google.com/spreadsheets/d/1ykfbEpHEAAZVCgujsGjRFJRCTULkzlWa8UjdyLzkDBM"",""BD M Sangrias!a:i""),""select Col6 whe"&amp;"re Col7 = 'Caixa Atendimento' and Col9 = '""&amp;K214&amp;""' and Col6 = ""&amp;M214&amp;"" and Col4 = date '""&amp;YEAR(C214)&amp;""-""&amp;MONTH(C214)&amp;""-""&amp;DAY(C214)&amp;""'""))&gt;0,""Caixa Atendimento"",""Caixa Sangria"")),""""),""Caixa Sangria"")"),"")</f>
        <v/>
      </c>
      <c r="M214" s="185" t="str">
        <f>IFERROR(__xludf.DUMMYFUNCTION("ifna(VALUE(REGEXEXTRACT(E214,""[0-9.]+[,]+[0-9]+"")))"),"")</f>
        <v/>
      </c>
      <c r="N214" s="185"/>
      <c r="O214" s="185"/>
      <c r="P214" s="185"/>
      <c r="Q214" s="185"/>
      <c r="R214" s="185"/>
      <c r="S214" s="185"/>
      <c r="T214" s="185"/>
      <c r="U214" s="185"/>
      <c r="V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184" t="str">
        <f>IFERROR(__xludf.DUMMYFUNCTION("ifna(IF(and(D215=""Saída"",J215=""Sangria""),if(sum(QUERY(IMPORTRANGE(""https://docs.google.com/spreadsheets/d/1ykfbEpHEAAZVCgujsGjRFJRCTULkzlWa8UjdyLzkDBM"",""BD M Sangrias!a:i""),""select Col6 where Col7 = 'Depositada' and Col9 = '""&amp;K215&amp;""' and Col6 ="&amp;" ""&amp;M215&amp;"" and Col4 = date '""&amp;YEAR(C215)&amp;""-""&amp;MONTH(C215)&amp;""-""&amp;DAY(C215)&amp;""'""))&gt;0,""Depositada"",if(sum(QUERY(IMPORTRANGE(""https://docs.google.com/spreadsheets/d/1ykfbEpHEAAZVCgujsGjRFJRCTULkzlWa8UjdyLzkDBM"",""BD M Sangrias!a:i""),""select Col6 whe"&amp;"re Col7 = 'Caixa Atendimento' and Col9 = '""&amp;K215&amp;""' and Col6 = ""&amp;M215&amp;"" and Col4 = date '""&amp;YEAR(C215)&amp;""-""&amp;MONTH(C215)&amp;""-""&amp;DAY(C215)&amp;""'""))&gt;0,""Caixa Atendimento"",""Caixa Sangria"")),""""),""Caixa Sangria"")"),"")</f>
        <v/>
      </c>
      <c r="M215" s="185" t="str">
        <f>IFERROR(__xludf.DUMMYFUNCTION("ifna(VALUE(REGEXEXTRACT(E215,""[0-9.]+[,]+[0-9]+"")))"),"")</f>
        <v/>
      </c>
      <c r="N215" s="185"/>
      <c r="O215" s="185"/>
      <c r="P215" s="185"/>
      <c r="Q215" s="185"/>
      <c r="R215" s="185"/>
      <c r="S215" s="185"/>
      <c r="T215" s="185"/>
      <c r="U215" s="185"/>
      <c r="V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184" t="str">
        <f>IFERROR(__xludf.DUMMYFUNCTION("ifna(IF(and(D216=""Saída"",J216=""Sangria""),if(sum(QUERY(IMPORTRANGE(""https://docs.google.com/spreadsheets/d/1ykfbEpHEAAZVCgujsGjRFJRCTULkzlWa8UjdyLzkDBM"",""BD M Sangrias!a:i""),""select Col6 where Col7 = 'Depositada' and Col9 = '""&amp;K216&amp;""' and Col6 ="&amp;" ""&amp;M216&amp;"" and Col4 = date '""&amp;YEAR(C216)&amp;""-""&amp;MONTH(C216)&amp;""-""&amp;DAY(C216)&amp;""'""))&gt;0,""Depositada"",if(sum(QUERY(IMPORTRANGE(""https://docs.google.com/spreadsheets/d/1ykfbEpHEAAZVCgujsGjRFJRCTULkzlWa8UjdyLzkDBM"",""BD M Sangrias!a:i""),""select Col6 whe"&amp;"re Col7 = 'Caixa Atendimento' and Col9 = '""&amp;K216&amp;""' and Col6 = ""&amp;M216&amp;"" and Col4 = date '""&amp;YEAR(C216)&amp;""-""&amp;MONTH(C216)&amp;""-""&amp;DAY(C216)&amp;""'""))&gt;0,""Caixa Atendimento"",""Caixa Sangria"")),""""),""Caixa Sangria"")"),"")</f>
        <v/>
      </c>
      <c r="M216" s="185" t="str">
        <f>IFERROR(__xludf.DUMMYFUNCTION("ifna(VALUE(REGEXEXTRACT(E216,""[0-9.]+[,]+[0-9]+"")))"),"")</f>
        <v/>
      </c>
      <c r="N216" s="185"/>
      <c r="O216" s="185"/>
      <c r="P216" s="185"/>
      <c r="Q216" s="185"/>
      <c r="R216" s="185"/>
      <c r="S216" s="185"/>
      <c r="T216" s="185"/>
      <c r="U216" s="185"/>
      <c r="V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184" t="str">
        <f>IFERROR(__xludf.DUMMYFUNCTION("ifna(IF(and(D217=""Saída"",J217=""Sangria""),if(sum(QUERY(IMPORTRANGE(""https://docs.google.com/spreadsheets/d/1ykfbEpHEAAZVCgujsGjRFJRCTULkzlWa8UjdyLzkDBM"",""BD M Sangrias!a:i""),""select Col6 where Col7 = 'Depositada' and Col9 = '""&amp;K217&amp;""' and Col6 ="&amp;" ""&amp;M217&amp;"" and Col4 = date '""&amp;YEAR(C217)&amp;""-""&amp;MONTH(C217)&amp;""-""&amp;DAY(C217)&amp;""'""))&gt;0,""Depositada"",if(sum(QUERY(IMPORTRANGE(""https://docs.google.com/spreadsheets/d/1ykfbEpHEAAZVCgujsGjRFJRCTULkzlWa8UjdyLzkDBM"",""BD M Sangrias!a:i""),""select Col6 whe"&amp;"re Col7 = 'Caixa Atendimento' and Col9 = '""&amp;K217&amp;""' and Col6 = ""&amp;M217&amp;"" and Col4 = date '""&amp;YEAR(C217)&amp;""-""&amp;MONTH(C217)&amp;""-""&amp;DAY(C217)&amp;""'""))&gt;0,""Caixa Atendimento"",""Caixa Sangria"")),""""),""Caixa Sangria"")"),"")</f>
        <v/>
      </c>
      <c r="M217" s="185" t="str">
        <f>IFERROR(__xludf.DUMMYFUNCTION("ifna(VALUE(REGEXEXTRACT(E217,""[0-9.]+[,]+[0-9]+"")))"),"")</f>
        <v/>
      </c>
      <c r="N217" s="185"/>
      <c r="O217" s="185"/>
      <c r="P217" s="185"/>
      <c r="Q217" s="185"/>
      <c r="R217" s="185"/>
      <c r="S217" s="185"/>
      <c r="T217" s="185"/>
      <c r="U217" s="185"/>
      <c r="V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184" t="str">
        <f>IFERROR(__xludf.DUMMYFUNCTION("ifna(IF(and(D218=""Saída"",J218=""Sangria""),if(sum(QUERY(IMPORTRANGE(""https://docs.google.com/spreadsheets/d/1ykfbEpHEAAZVCgujsGjRFJRCTULkzlWa8UjdyLzkDBM"",""BD M Sangrias!a:i""),""select Col6 where Col7 = 'Depositada' and Col9 = '""&amp;K218&amp;""' and Col6 ="&amp;" ""&amp;M218&amp;"" and Col4 = date '""&amp;YEAR(C218)&amp;""-""&amp;MONTH(C218)&amp;""-""&amp;DAY(C218)&amp;""'""))&gt;0,""Depositada"",if(sum(QUERY(IMPORTRANGE(""https://docs.google.com/spreadsheets/d/1ykfbEpHEAAZVCgujsGjRFJRCTULkzlWa8UjdyLzkDBM"",""BD M Sangrias!a:i""),""select Col6 whe"&amp;"re Col7 = 'Caixa Atendimento' and Col9 = '""&amp;K218&amp;""' and Col6 = ""&amp;M218&amp;"" and Col4 = date '""&amp;YEAR(C218)&amp;""-""&amp;MONTH(C218)&amp;""-""&amp;DAY(C218)&amp;""'""))&gt;0,""Caixa Atendimento"",""Caixa Sangria"")),""""),""Caixa Sangria"")"),"")</f>
        <v/>
      </c>
      <c r="M218" s="185" t="str">
        <f>IFERROR(__xludf.DUMMYFUNCTION("ifna(VALUE(REGEXEXTRACT(E218,""[0-9.]+[,]+[0-9]+"")))"),"")</f>
        <v/>
      </c>
      <c r="N218" s="185"/>
      <c r="O218" s="185"/>
      <c r="P218" s="185"/>
      <c r="Q218" s="185"/>
      <c r="R218" s="185"/>
      <c r="S218" s="185"/>
      <c r="T218" s="185"/>
      <c r="U218" s="185"/>
      <c r="V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184" t="str">
        <f>IFERROR(__xludf.DUMMYFUNCTION("ifna(IF(and(D219=""Saída"",J219=""Sangria""),if(sum(QUERY(IMPORTRANGE(""https://docs.google.com/spreadsheets/d/1ykfbEpHEAAZVCgujsGjRFJRCTULkzlWa8UjdyLzkDBM"",""BD M Sangrias!a:i""),""select Col6 where Col7 = 'Depositada' and Col9 = '""&amp;K219&amp;""' and Col6 ="&amp;" ""&amp;M219&amp;"" and Col4 = date '""&amp;YEAR(C219)&amp;""-""&amp;MONTH(C219)&amp;""-""&amp;DAY(C219)&amp;""'""))&gt;0,""Depositada"",if(sum(QUERY(IMPORTRANGE(""https://docs.google.com/spreadsheets/d/1ykfbEpHEAAZVCgujsGjRFJRCTULkzlWa8UjdyLzkDBM"",""BD M Sangrias!a:i""),""select Col6 whe"&amp;"re Col7 = 'Caixa Atendimento' and Col9 = '""&amp;K219&amp;""' and Col6 = ""&amp;M219&amp;"" and Col4 = date '""&amp;YEAR(C219)&amp;""-""&amp;MONTH(C219)&amp;""-""&amp;DAY(C219)&amp;""'""))&gt;0,""Caixa Atendimento"",""Caixa Sangria"")),""""),""Caixa Sangria"")"),"")</f>
        <v/>
      </c>
      <c r="M219" s="185" t="str">
        <f>IFERROR(__xludf.DUMMYFUNCTION("ifna(VALUE(REGEXEXTRACT(E219,""[0-9.]+[,]+[0-9]+"")))"),"")</f>
        <v/>
      </c>
      <c r="N219" s="185"/>
      <c r="O219" s="185"/>
      <c r="P219" s="185"/>
      <c r="Q219" s="185"/>
      <c r="R219" s="185"/>
      <c r="S219" s="185"/>
      <c r="T219" s="185"/>
      <c r="U219" s="185"/>
      <c r="V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184" t="str">
        <f>IFERROR(__xludf.DUMMYFUNCTION("ifna(IF(and(D220=""Saída"",J220=""Sangria""),if(sum(QUERY(IMPORTRANGE(""https://docs.google.com/spreadsheets/d/1ykfbEpHEAAZVCgujsGjRFJRCTULkzlWa8UjdyLzkDBM"",""BD M Sangrias!a:i""),""select Col6 where Col7 = 'Depositada' and Col9 = '""&amp;K220&amp;""' and Col6 ="&amp;" ""&amp;M220&amp;"" and Col4 = date '""&amp;YEAR(C220)&amp;""-""&amp;MONTH(C220)&amp;""-""&amp;DAY(C220)&amp;""'""))&gt;0,""Depositada"",if(sum(QUERY(IMPORTRANGE(""https://docs.google.com/spreadsheets/d/1ykfbEpHEAAZVCgujsGjRFJRCTULkzlWa8UjdyLzkDBM"",""BD M Sangrias!a:i""),""select Col6 whe"&amp;"re Col7 = 'Caixa Atendimento' and Col9 = '""&amp;K220&amp;""' and Col6 = ""&amp;M220&amp;"" and Col4 = date '""&amp;YEAR(C220)&amp;""-""&amp;MONTH(C220)&amp;""-""&amp;DAY(C220)&amp;""'""))&gt;0,""Caixa Atendimento"",""Caixa Sangria"")),""""),""Caixa Sangria"")"),"")</f>
        <v/>
      </c>
      <c r="M220" s="185" t="str">
        <f>IFERROR(__xludf.DUMMYFUNCTION("ifna(VALUE(REGEXEXTRACT(E220,""[0-9.]+[,]+[0-9]+"")))"),"")</f>
        <v/>
      </c>
      <c r="N220" s="185"/>
      <c r="O220" s="185"/>
      <c r="P220" s="185"/>
      <c r="Q220" s="185"/>
      <c r="R220" s="185"/>
      <c r="S220" s="185"/>
      <c r="T220" s="185"/>
      <c r="U220" s="185"/>
      <c r="V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184" t="str">
        <f>IFERROR(__xludf.DUMMYFUNCTION("ifna(IF(and(D221=""Saída"",J221=""Sangria""),if(sum(QUERY(IMPORTRANGE(""https://docs.google.com/spreadsheets/d/1ykfbEpHEAAZVCgujsGjRFJRCTULkzlWa8UjdyLzkDBM"",""BD M Sangrias!a:i""),""select Col6 where Col7 = 'Depositada' and Col9 = '""&amp;K221&amp;""' and Col6 ="&amp;" ""&amp;M221&amp;"" and Col4 = date '""&amp;YEAR(C221)&amp;""-""&amp;MONTH(C221)&amp;""-""&amp;DAY(C221)&amp;""'""))&gt;0,""Depositada"",if(sum(QUERY(IMPORTRANGE(""https://docs.google.com/spreadsheets/d/1ykfbEpHEAAZVCgujsGjRFJRCTULkzlWa8UjdyLzkDBM"",""BD M Sangrias!a:i""),""select Col6 whe"&amp;"re Col7 = 'Caixa Atendimento' and Col9 = '""&amp;K221&amp;""' and Col6 = ""&amp;M221&amp;"" and Col4 = date '""&amp;YEAR(C221)&amp;""-""&amp;MONTH(C221)&amp;""-""&amp;DAY(C221)&amp;""'""))&gt;0,""Caixa Atendimento"",""Caixa Sangria"")),""""),""Caixa Sangria"")"),"")</f>
        <v/>
      </c>
      <c r="M221" s="185" t="str">
        <f>IFERROR(__xludf.DUMMYFUNCTION("ifna(VALUE(REGEXEXTRACT(E221,""[0-9.]+[,]+[0-9]+"")))"),"")</f>
        <v/>
      </c>
      <c r="N221" s="185"/>
      <c r="O221" s="185"/>
      <c r="P221" s="185"/>
      <c r="Q221" s="185"/>
      <c r="R221" s="185"/>
      <c r="S221" s="185"/>
      <c r="T221" s="185"/>
      <c r="U221" s="185"/>
      <c r="V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184" t="str">
        <f>IFERROR(__xludf.DUMMYFUNCTION("ifna(IF(and(D222=""Saída"",J222=""Sangria""),if(sum(QUERY(IMPORTRANGE(""https://docs.google.com/spreadsheets/d/1ykfbEpHEAAZVCgujsGjRFJRCTULkzlWa8UjdyLzkDBM"",""BD M Sangrias!a:i""),""select Col6 where Col7 = 'Depositada' and Col9 = '""&amp;K222&amp;""' and Col6 ="&amp;" ""&amp;M222&amp;"" and Col4 = date '""&amp;YEAR(C222)&amp;""-""&amp;MONTH(C222)&amp;""-""&amp;DAY(C222)&amp;""'""))&gt;0,""Depositada"",if(sum(QUERY(IMPORTRANGE(""https://docs.google.com/spreadsheets/d/1ykfbEpHEAAZVCgujsGjRFJRCTULkzlWa8UjdyLzkDBM"",""BD M Sangrias!a:i""),""select Col6 whe"&amp;"re Col7 = 'Caixa Atendimento' and Col9 = '""&amp;K222&amp;""' and Col6 = ""&amp;M222&amp;"" and Col4 = date '""&amp;YEAR(C222)&amp;""-""&amp;MONTH(C222)&amp;""-""&amp;DAY(C222)&amp;""'""))&gt;0,""Caixa Atendimento"",""Caixa Sangria"")),""""),""Caixa Sangria"")"),"")</f>
        <v/>
      </c>
      <c r="M222" s="185" t="str">
        <f>IFERROR(__xludf.DUMMYFUNCTION("ifna(VALUE(REGEXEXTRACT(E222,""[0-9.]+[,]+[0-9]+"")))"),"")</f>
        <v/>
      </c>
      <c r="N222" s="185"/>
      <c r="O222" s="185"/>
      <c r="P222" s="185"/>
      <c r="Q222" s="185"/>
      <c r="R222" s="185"/>
      <c r="S222" s="185"/>
      <c r="T222" s="185"/>
      <c r="U222" s="185"/>
      <c r="V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184" t="str">
        <f>IFERROR(__xludf.DUMMYFUNCTION("ifna(IF(and(D223=""Saída"",J223=""Sangria""),if(sum(QUERY(IMPORTRANGE(""https://docs.google.com/spreadsheets/d/1ykfbEpHEAAZVCgujsGjRFJRCTULkzlWa8UjdyLzkDBM"",""BD M Sangrias!a:i""),""select Col6 where Col7 = 'Depositada' and Col9 = '""&amp;K223&amp;""' and Col6 ="&amp;" ""&amp;M223&amp;"" and Col4 = date '""&amp;YEAR(C223)&amp;""-""&amp;MONTH(C223)&amp;""-""&amp;DAY(C223)&amp;""'""))&gt;0,""Depositada"",if(sum(QUERY(IMPORTRANGE(""https://docs.google.com/spreadsheets/d/1ykfbEpHEAAZVCgujsGjRFJRCTULkzlWa8UjdyLzkDBM"",""BD M Sangrias!a:i""),""select Col6 whe"&amp;"re Col7 = 'Caixa Atendimento' and Col9 = '""&amp;K223&amp;""' and Col6 = ""&amp;M223&amp;"" and Col4 = date '""&amp;YEAR(C223)&amp;""-""&amp;MONTH(C223)&amp;""-""&amp;DAY(C223)&amp;""'""))&gt;0,""Caixa Atendimento"",""Caixa Sangria"")),""""),""Caixa Sangria"")"),"")</f>
        <v/>
      </c>
      <c r="M223" s="185" t="str">
        <f>IFERROR(__xludf.DUMMYFUNCTION("ifna(VALUE(REGEXEXTRACT(E223,""[0-9.]+[,]+[0-9]+"")))"),"")</f>
        <v/>
      </c>
      <c r="N223" s="185"/>
      <c r="O223" s="185"/>
      <c r="P223" s="185"/>
      <c r="Q223" s="185"/>
      <c r="R223" s="185"/>
      <c r="S223" s="185"/>
      <c r="T223" s="185"/>
      <c r="U223" s="185"/>
      <c r="V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184" t="str">
        <f>IFERROR(__xludf.DUMMYFUNCTION("ifna(IF(and(D224=""Saída"",J224=""Sangria""),if(sum(QUERY(IMPORTRANGE(""https://docs.google.com/spreadsheets/d/1ykfbEpHEAAZVCgujsGjRFJRCTULkzlWa8UjdyLzkDBM"",""BD M Sangrias!a:i""),""select Col6 where Col7 = 'Depositada' and Col9 = '""&amp;K224&amp;""' and Col6 ="&amp;" ""&amp;M224&amp;"" and Col4 = date '""&amp;YEAR(C224)&amp;""-""&amp;MONTH(C224)&amp;""-""&amp;DAY(C224)&amp;""'""))&gt;0,""Depositada"",if(sum(QUERY(IMPORTRANGE(""https://docs.google.com/spreadsheets/d/1ykfbEpHEAAZVCgujsGjRFJRCTULkzlWa8UjdyLzkDBM"",""BD M Sangrias!a:i""),""select Col6 whe"&amp;"re Col7 = 'Caixa Atendimento' and Col9 = '""&amp;K224&amp;""' and Col6 = ""&amp;M224&amp;"" and Col4 = date '""&amp;YEAR(C224)&amp;""-""&amp;MONTH(C224)&amp;""-""&amp;DAY(C224)&amp;""'""))&gt;0,""Caixa Atendimento"",""Caixa Sangria"")),""""),""Caixa Sangria"")"),"")</f>
        <v/>
      </c>
      <c r="M224" s="185" t="str">
        <f>IFERROR(__xludf.DUMMYFUNCTION("ifna(VALUE(REGEXEXTRACT(E224,""[0-9.]+[,]+[0-9]+"")))"),"")</f>
        <v/>
      </c>
      <c r="N224" s="185"/>
      <c r="O224" s="185"/>
      <c r="P224" s="185"/>
      <c r="Q224" s="185"/>
      <c r="R224" s="185"/>
      <c r="S224" s="185"/>
      <c r="T224" s="185"/>
      <c r="U224" s="185"/>
      <c r="V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184" t="str">
        <f>IFERROR(__xludf.DUMMYFUNCTION("ifna(IF(and(D225=""Saída"",J225=""Sangria""),if(sum(QUERY(IMPORTRANGE(""https://docs.google.com/spreadsheets/d/1ykfbEpHEAAZVCgujsGjRFJRCTULkzlWa8UjdyLzkDBM"",""BD M Sangrias!a:i""),""select Col6 where Col7 = 'Depositada' and Col9 = '""&amp;K225&amp;""' and Col6 ="&amp;" ""&amp;M225&amp;"" and Col4 = date '""&amp;YEAR(C225)&amp;""-""&amp;MONTH(C225)&amp;""-""&amp;DAY(C225)&amp;""'""))&gt;0,""Depositada"",if(sum(QUERY(IMPORTRANGE(""https://docs.google.com/spreadsheets/d/1ykfbEpHEAAZVCgujsGjRFJRCTULkzlWa8UjdyLzkDBM"",""BD M Sangrias!a:i""),""select Col6 whe"&amp;"re Col7 = 'Caixa Atendimento' and Col9 = '""&amp;K225&amp;""' and Col6 = ""&amp;M225&amp;"" and Col4 = date '""&amp;YEAR(C225)&amp;""-""&amp;MONTH(C225)&amp;""-""&amp;DAY(C225)&amp;""'""))&gt;0,""Caixa Atendimento"",""Caixa Sangria"")),""""),""Caixa Sangria"")"),"")</f>
        <v/>
      </c>
      <c r="M225" s="185" t="str">
        <f>IFERROR(__xludf.DUMMYFUNCTION("ifna(VALUE(REGEXEXTRACT(E225,""[0-9.]+[,]+[0-9]+"")))"),"")</f>
        <v/>
      </c>
      <c r="N225" s="185"/>
      <c r="O225" s="185"/>
      <c r="P225" s="185"/>
      <c r="Q225" s="185"/>
      <c r="R225" s="185"/>
      <c r="S225" s="185"/>
      <c r="T225" s="185"/>
      <c r="U225" s="185"/>
      <c r="V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184" t="str">
        <f>IFERROR(__xludf.DUMMYFUNCTION("ifna(IF(and(D226=""Saída"",J226=""Sangria""),if(sum(QUERY(IMPORTRANGE(""https://docs.google.com/spreadsheets/d/1ykfbEpHEAAZVCgujsGjRFJRCTULkzlWa8UjdyLzkDBM"",""BD M Sangrias!a:i""),""select Col6 where Col7 = 'Depositada' and Col9 = '""&amp;K226&amp;""' and Col6 ="&amp;" ""&amp;M226&amp;"" and Col4 = date '""&amp;YEAR(C226)&amp;""-""&amp;MONTH(C226)&amp;""-""&amp;DAY(C226)&amp;""'""))&gt;0,""Depositada"",if(sum(QUERY(IMPORTRANGE(""https://docs.google.com/spreadsheets/d/1ykfbEpHEAAZVCgujsGjRFJRCTULkzlWa8UjdyLzkDBM"",""BD M Sangrias!a:i""),""select Col6 whe"&amp;"re Col7 = 'Caixa Atendimento' and Col9 = '""&amp;K226&amp;""' and Col6 = ""&amp;M226&amp;"" and Col4 = date '""&amp;YEAR(C226)&amp;""-""&amp;MONTH(C226)&amp;""-""&amp;DAY(C226)&amp;""'""))&gt;0,""Caixa Atendimento"",""Caixa Sangria"")),""""),""Caixa Sangria"")"),"")</f>
        <v/>
      </c>
      <c r="M226" s="185" t="str">
        <f>IFERROR(__xludf.DUMMYFUNCTION("ifna(VALUE(REGEXEXTRACT(E226,""[0-9.]+[,]+[0-9]+"")))"),"")</f>
        <v/>
      </c>
      <c r="N226" s="185"/>
      <c r="O226" s="185"/>
      <c r="P226" s="185"/>
      <c r="Q226" s="185"/>
      <c r="R226" s="185"/>
      <c r="S226" s="185"/>
      <c r="T226" s="185"/>
      <c r="U226" s="185"/>
      <c r="V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184" t="str">
        <f>IFERROR(__xludf.DUMMYFUNCTION("ifna(IF(and(D227=""Saída"",J227=""Sangria""),if(sum(QUERY(IMPORTRANGE(""https://docs.google.com/spreadsheets/d/1ykfbEpHEAAZVCgujsGjRFJRCTULkzlWa8UjdyLzkDBM"",""BD M Sangrias!a:i""),""select Col6 where Col7 = 'Depositada' and Col9 = '""&amp;K227&amp;""' and Col6 ="&amp;" ""&amp;M227&amp;"" and Col4 = date '""&amp;YEAR(C227)&amp;""-""&amp;MONTH(C227)&amp;""-""&amp;DAY(C227)&amp;""'""))&gt;0,""Depositada"",if(sum(QUERY(IMPORTRANGE(""https://docs.google.com/spreadsheets/d/1ykfbEpHEAAZVCgujsGjRFJRCTULkzlWa8UjdyLzkDBM"",""BD M Sangrias!a:i""),""select Col6 whe"&amp;"re Col7 = 'Caixa Atendimento' and Col9 = '""&amp;K227&amp;""' and Col6 = ""&amp;M227&amp;"" and Col4 = date '""&amp;YEAR(C227)&amp;""-""&amp;MONTH(C227)&amp;""-""&amp;DAY(C227)&amp;""'""))&gt;0,""Caixa Atendimento"",""Caixa Sangria"")),""""),""Caixa Sangria"")"),"")</f>
        <v/>
      </c>
      <c r="M227" s="185" t="str">
        <f>IFERROR(__xludf.DUMMYFUNCTION("ifna(VALUE(REGEXEXTRACT(E227,""[0-9.]+[,]+[0-9]+"")))"),"")</f>
        <v/>
      </c>
      <c r="N227" s="185"/>
      <c r="O227" s="185"/>
      <c r="P227" s="185"/>
      <c r="Q227" s="185"/>
      <c r="R227" s="185"/>
      <c r="S227" s="185"/>
      <c r="T227" s="185"/>
      <c r="U227" s="185"/>
      <c r="V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184" t="str">
        <f>IFERROR(__xludf.DUMMYFUNCTION("ifna(IF(and(D228=""Saída"",J228=""Sangria""),if(sum(QUERY(IMPORTRANGE(""https://docs.google.com/spreadsheets/d/1ykfbEpHEAAZVCgujsGjRFJRCTULkzlWa8UjdyLzkDBM"",""BD M Sangrias!a:i""),""select Col6 where Col7 = 'Depositada' and Col9 = '""&amp;K228&amp;""' and Col6 ="&amp;" ""&amp;M228&amp;"" and Col4 = date '""&amp;YEAR(C228)&amp;""-""&amp;MONTH(C228)&amp;""-""&amp;DAY(C228)&amp;""'""))&gt;0,""Depositada"",if(sum(QUERY(IMPORTRANGE(""https://docs.google.com/spreadsheets/d/1ykfbEpHEAAZVCgujsGjRFJRCTULkzlWa8UjdyLzkDBM"",""BD M Sangrias!a:i""),""select Col6 whe"&amp;"re Col7 = 'Caixa Atendimento' and Col9 = '""&amp;K228&amp;""' and Col6 = ""&amp;M228&amp;"" and Col4 = date '""&amp;YEAR(C228)&amp;""-""&amp;MONTH(C228)&amp;""-""&amp;DAY(C228)&amp;""'""))&gt;0,""Caixa Atendimento"",""Caixa Sangria"")),""""),""Caixa Sangria"")"),"")</f>
        <v/>
      </c>
      <c r="M228" s="185" t="str">
        <f>IFERROR(__xludf.DUMMYFUNCTION("ifna(VALUE(REGEXEXTRACT(E228,""[0-9.]+[,]+[0-9]+"")))"),"")</f>
        <v/>
      </c>
      <c r="N228" s="185"/>
      <c r="O228" s="185"/>
      <c r="P228" s="185"/>
      <c r="Q228" s="185"/>
      <c r="R228" s="185"/>
      <c r="S228" s="185"/>
      <c r="T228" s="185"/>
      <c r="U228" s="185"/>
      <c r="V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184" t="str">
        <f>IFERROR(__xludf.DUMMYFUNCTION("ifna(IF(and(D229=""Saída"",J229=""Sangria""),if(sum(QUERY(IMPORTRANGE(""https://docs.google.com/spreadsheets/d/1ykfbEpHEAAZVCgujsGjRFJRCTULkzlWa8UjdyLzkDBM"",""BD M Sangrias!a:i""),""select Col6 where Col7 = 'Depositada' and Col9 = '""&amp;K229&amp;""' and Col6 ="&amp;" ""&amp;M229&amp;"" and Col4 = date '""&amp;YEAR(C229)&amp;""-""&amp;MONTH(C229)&amp;""-""&amp;DAY(C229)&amp;""'""))&gt;0,""Depositada"",if(sum(QUERY(IMPORTRANGE(""https://docs.google.com/spreadsheets/d/1ykfbEpHEAAZVCgujsGjRFJRCTULkzlWa8UjdyLzkDBM"",""BD M Sangrias!a:i""),""select Col6 whe"&amp;"re Col7 = 'Caixa Atendimento' and Col9 = '""&amp;K229&amp;""' and Col6 = ""&amp;M229&amp;"" and Col4 = date '""&amp;YEAR(C229)&amp;""-""&amp;MONTH(C229)&amp;""-""&amp;DAY(C229)&amp;""'""))&gt;0,""Caixa Atendimento"",""Caixa Sangria"")),""""),""Caixa Sangria"")"),"")</f>
        <v/>
      </c>
      <c r="M229" s="185" t="str">
        <f>IFERROR(__xludf.DUMMYFUNCTION("ifna(VALUE(REGEXEXTRACT(E229,""[0-9.]+[,]+[0-9]+"")))"),"")</f>
        <v/>
      </c>
      <c r="N229" s="185"/>
      <c r="O229" s="185"/>
      <c r="P229" s="185"/>
      <c r="Q229" s="185"/>
      <c r="R229" s="185"/>
      <c r="S229" s="185"/>
      <c r="T229" s="185"/>
      <c r="U229" s="185"/>
      <c r="V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184" t="str">
        <f>IFERROR(__xludf.DUMMYFUNCTION("ifna(IF(and(D230=""Saída"",J230=""Sangria""),if(sum(QUERY(IMPORTRANGE(""https://docs.google.com/spreadsheets/d/1ykfbEpHEAAZVCgujsGjRFJRCTULkzlWa8UjdyLzkDBM"",""BD M Sangrias!a:i""),""select Col6 where Col7 = 'Depositada' and Col9 = '""&amp;K230&amp;""' and Col6 ="&amp;" ""&amp;M230&amp;"" and Col4 = date '""&amp;YEAR(C230)&amp;""-""&amp;MONTH(C230)&amp;""-""&amp;DAY(C230)&amp;""'""))&gt;0,""Depositada"",if(sum(QUERY(IMPORTRANGE(""https://docs.google.com/spreadsheets/d/1ykfbEpHEAAZVCgujsGjRFJRCTULkzlWa8UjdyLzkDBM"",""BD M Sangrias!a:i""),""select Col6 whe"&amp;"re Col7 = 'Caixa Atendimento' and Col9 = '""&amp;K230&amp;""' and Col6 = ""&amp;M230&amp;"" and Col4 = date '""&amp;YEAR(C230)&amp;""-""&amp;MONTH(C230)&amp;""-""&amp;DAY(C230)&amp;""'""))&gt;0,""Caixa Atendimento"",""Caixa Sangria"")),""""),""Caixa Sangria"")"),"")</f>
        <v/>
      </c>
      <c r="M230" s="185" t="str">
        <f>IFERROR(__xludf.DUMMYFUNCTION("ifna(VALUE(REGEXEXTRACT(E230,""[0-9.]+[,]+[0-9]+"")))"),"")</f>
        <v/>
      </c>
      <c r="N230" s="185"/>
      <c r="O230" s="185"/>
      <c r="P230" s="185"/>
      <c r="Q230" s="185"/>
      <c r="R230" s="185"/>
      <c r="S230" s="185"/>
      <c r="T230" s="185"/>
      <c r="U230" s="185"/>
      <c r="V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184" t="str">
        <f>IFERROR(__xludf.DUMMYFUNCTION("ifna(IF(and(D231=""Saída"",J231=""Sangria""),if(sum(QUERY(IMPORTRANGE(""https://docs.google.com/spreadsheets/d/1ykfbEpHEAAZVCgujsGjRFJRCTULkzlWa8UjdyLzkDBM"",""BD M Sangrias!a:i""),""select Col6 where Col7 = 'Depositada' and Col9 = '""&amp;K231&amp;""' and Col6 ="&amp;" ""&amp;M231&amp;"" and Col4 = date '""&amp;YEAR(C231)&amp;""-""&amp;MONTH(C231)&amp;""-""&amp;DAY(C231)&amp;""'""))&gt;0,""Depositada"",if(sum(QUERY(IMPORTRANGE(""https://docs.google.com/spreadsheets/d/1ykfbEpHEAAZVCgujsGjRFJRCTULkzlWa8UjdyLzkDBM"",""BD M Sangrias!a:i""),""select Col6 whe"&amp;"re Col7 = 'Caixa Atendimento' and Col9 = '""&amp;K231&amp;""' and Col6 = ""&amp;M231&amp;"" and Col4 = date '""&amp;YEAR(C231)&amp;""-""&amp;MONTH(C231)&amp;""-""&amp;DAY(C231)&amp;""'""))&gt;0,""Caixa Atendimento"",""Caixa Sangria"")),""""),""Caixa Sangria"")"),"")</f>
        <v/>
      </c>
      <c r="M231" s="185" t="str">
        <f>IFERROR(__xludf.DUMMYFUNCTION("ifna(VALUE(REGEXEXTRACT(E231,""[0-9.]+[,]+[0-9]+"")))"),"")</f>
        <v/>
      </c>
      <c r="N231" s="185"/>
      <c r="O231" s="185"/>
      <c r="P231" s="185"/>
      <c r="Q231" s="185"/>
      <c r="R231" s="185"/>
      <c r="S231" s="185"/>
      <c r="T231" s="185"/>
      <c r="U231" s="185"/>
      <c r="V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184" t="str">
        <f>IFERROR(__xludf.DUMMYFUNCTION("ifna(IF(and(D232=""Saída"",J232=""Sangria""),if(sum(QUERY(IMPORTRANGE(""https://docs.google.com/spreadsheets/d/1ykfbEpHEAAZVCgujsGjRFJRCTULkzlWa8UjdyLzkDBM"",""BD M Sangrias!a:i""),""select Col6 where Col7 = 'Depositada' and Col9 = '""&amp;K232&amp;""' and Col6 ="&amp;" ""&amp;M232&amp;"" and Col4 = date '""&amp;YEAR(C232)&amp;""-""&amp;MONTH(C232)&amp;""-""&amp;DAY(C232)&amp;""'""))&gt;0,""Depositada"",if(sum(QUERY(IMPORTRANGE(""https://docs.google.com/spreadsheets/d/1ykfbEpHEAAZVCgujsGjRFJRCTULkzlWa8UjdyLzkDBM"",""BD M Sangrias!a:i""),""select Col6 whe"&amp;"re Col7 = 'Caixa Atendimento' and Col9 = '""&amp;K232&amp;""' and Col6 = ""&amp;M232&amp;"" and Col4 = date '""&amp;YEAR(C232)&amp;""-""&amp;MONTH(C232)&amp;""-""&amp;DAY(C232)&amp;""'""))&gt;0,""Caixa Atendimento"",""Caixa Sangria"")),""""),""Caixa Sangria"")"),"")</f>
        <v/>
      </c>
      <c r="M232" s="185" t="str">
        <f>IFERROR(__xludf.DUMMYFUNCTION("ifna(VALUE(REGEXEXTRACT(E232,""[0-9.]+[,]+[0-9]+"")))"),"")</f>
        <v/>
      </c>
      <c r="N232" s="185"/>
      <c r="O232" s="185"/>
      <c r="P232" s="185"/>
      <c r="Q232" s="185"/>
      <c r="R232" s="185"/>
      <c r="S232" s="185"/>
      <c r="T232" s="185"/>
      <c r="U232" s="185"/>
      <c r="V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184" t="str">
        <f>IFERROR(__xludf.DUMMYFUNCTION("ifna(IF(and(D233=""Saída"",J233=""Sangria""),if(sum(QUERY(IMPORTRANGE(""https://docs.google.com/spreadsheets/d/1ykfbEpHEAAZVCgujsGjRFJRCTULkzlWa8UjdyLzkDBM"",""BD M Sangrias!a:i""),""select Col6 where Col7 = 'Depositada' and Col9 = '""&amp;K233&amp;""' and Col6 ="&amp;" ""&amp;M233&amp;"" and Col4 = date '""&amp;YEAR(C233)&amp;""-""&amp;MONTH(C233)&amp;""-""&amp;DAY(C233)&amp;""'""))&gt;0,""Depositada"",if(sum(QUERY(IMPORTRANGE(""https://docs.google.com/spreadsheets/d/1ykfbEpHEAAZVCgujsGjRFJRCTULkzlWa8UjdyLzkDBM"",""BD M Sangrias!a:i""),""select Col6 whe"&amp;"re Col7 = 'Caixa Atendimento' and Col9 = '""&amp;K233&amp;""' and Col6 = ""&amp;M233&amp;"" and Col4 = date '""&amp;YEAR(C233)&amp;""-""&amp;MONTH(C233)&amp;""-""&amp;DAY(C233)&amp;""'""))&gt;0,""Caixa Atendimento"",""Caixa Sangria"")),""""),""Caixa Sangria"")"),"")</f>
        <v/>
      </c>
      <c r="M233" s="185" t="str">
        <f>IFERROR(__xludf.DUMMYFUNCTION("ifna(VALUE(REGEXEXTRACT(E233,""[0-9.]+[,]+[0-9]+"")))"),"")</f>
        <v/>
      </c>
      <c r="N233" s="185"/>
      <c r="O233" s="185"/>
      <c r="P233" s="185"/>
      <c r="Q233" s="185"/>
      <c r="R233" s="185"/>
      <c r="S233" s="185"/>
      <c r="T233" s="185"/>
      <c r="U233" s="185"/>
      <c r="V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184" t="str">
        <f>IFERROR(__xludf.DUMMYFUNCTION("ifna(IF(and(D234=""Saída"",J234=""Sangria""),if(sum(QUERY(IMPORTRANGE(""https://docs.google.com/spreadsheets/d/1ykfbEpHEAAZVCgujsGjRFJRCTULkzlWa8UjdyLzkDBM"",""BD M Sangrias!a:i""),""select Col6 where Col7 = 'Depositada' and Col9 = '""&amp;K234&amp;""' and Col6 ="&amp;" ""&amp;M234&amp;"" and Col4 = date '""&amp;YEAR(C234)&amp;""-""&amp;MONTH(C234)&amp;""-""&amp;DAY(C234)&amp;""'""))&gt;0,""Depositada"",if(sum(QUERY(IMPORTRANGE(""https://docs.google.com/spreadsheets/d/1ykfbEpHEAAZVCgujsGjRFJRCTULkzlWa8UjdyLzkDBM"",""BD M Sangrias!a:i""),""select Col6 whe"&amp;"re Col7 = 'Caixa Atendimento' and Col9 = '""&amp;K234&amp;""' and Col6 = ""&amp;M234&amp;"" and Col4 = date '""&amp;YEAR(C234)&amp;""-""&amp;MONTH(C234)&amp;""-""&amp;DAY(C234)&amp;""'""))&gt;0,""Caixa Atendimento"",""Caixa Sangria"")),""""),""Caixa Sangria"")"),"")</f>
        <v/>
      </c>
      <c r="M234" s="185" t="str">
        <f>IFERROR(__xludf.DUMMYFUNCTION("ifna(VALUE(REGEXEXTRACT(E234,""[0-9.]+[,]+[0-9]+"")))"),"")</f>
        <v/>
      </c>
      <c r="N234" s="185"/>
      <c r="O234" s="185"/>
      <c r="P234" s="185"/>
      <c r="Q234" s="185"/>
      <c r="R234" s="185"/>
      <c r="S234" s="185"/>
      <c r="T234" s="185"/>
      <c r="U234" s="185"/>
      <c r="V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184" t="str">
        <f>IFERROR(__xludf.DUMMYFUNCTION("ifna(IF(and(D235=""Saída"",J235=""Sangria""),if(sum(QUERY(IMPORTRANGE(""https://docs.google.com/spreadsheets/d/1ykfbEpHEAAZVCgujsGjRFJRCTULkzlWa8UjdyLzkDBM"",""BD M Sangrias!a:i""),""select Col6 where Col7 = 'Depositada' and Col9 = '""&amp;K235&amp;""' and Col6 ="&amp;" ""&amp;M235&amp;"" and Col4 = date '""&amp;YEAR(C235)&amp;""-""&amp;MONTH(C235)&amp;""-""&amp;DAY(C235)&amp;""'""))&gt;0,""Depositada"",if(sum(QUERY(IMPORTRANGE(""https://docs.google.com/spreadsheets/d/1ykfbEpHEAAZVCgujsGjRFJRCTULkzlWa8UjdyLzkDBM"",""BD M Sangrias!a:i""),""select Col6 whe"&amp;"re Col7 = 'Caixa Atendimento' and Col9 = '""&amp;K235&amp;""' and Col6 = ""&amp;M235&amp;"" and Col4 = date '""&amp;YEAR(C235)&amp;""-""&amp;MONTH(C235)&amp;""-""&amp;DAY(C235)&amp;""'""))&gt;0,""Caixa Atendimento"",""Caixa Sangria"")),""""),""Caixa Sangria"")"),"")</f>
        <v/>
      </c>
      <c r="M235" s="185" t="str">
        <f>IFERROR(__xludf.DUMMYFUNCTION("ifna(VALUE(REGEXEXTRACT(E235,""[0-9.]+[,]+[0-9]+"")))"),"")</f>
        <v/>
      </c>
      <c r="N235" s="185"/>
      <c r="O235" s="185"/>
      <c r="P235" s="185"/>
      <c r="Q235" s="185"/>
      <c r="R235" s="185"/>
      <c r="S235" s="185"/>
      <c r="T235" s="185"/>
      <c r="U235" s="185"/>
      <c r="V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184" t="str">
        <f>IFERROR(__xludf.DUMMYFUNCTION("ifna(IF(and(D236=""Saída"",J236=""Sangria""),if(sum(QUERY(IMPORTRANGE(""https://docs.google.com/spreadsheets/d/1ykfbEpHEAAZVCgujsGjRFJRCTULkzlWa8UjdyLzkDBM"",""BD M Sangrias!a:i""),""select Col6 where Col7 = 'Depositada' and Col9 = '""&amp;K236&amp;""' and Col6 ="&amp;" ""&amp;M236&amp;"" and Col4 = date '""&amp;YEAR(C236)&amp;""-""&amp;MONTH(C236)&amp;""-""&amp;DAY(C236)&amp;""'""))&gt;0,""Depositada"",if(sum(QUERY(IMPORTRANGE(""https://docs.google.com/spreadsheets/d/1ykfbEpHEAAZVCgujsGjRFJRCTULkzlWa8UjdyLzkDBM"",""BD M Sangrias!a:i""),""select Col6 whe"&amp;"re Col7 = 'Caixa Atendimento' and Col9 = '""&amp;K236&amp;""' and Col6 = ""&amp;M236&amp;"" and Col4 = date '""&amp;YEAR(C236)&amp;""-""&amp;MONTH(C236)&amp;""-""&amp;DAY(C236)&amp;""'""))&gt;0,""Caixa Atendimento"",""Caixa Sangria"")),""""),""Caixa Sangria"")"),"")</f>
        <v/>
      </c>
      <c r="M236" s="185" t="str">
        <f>IFERROR(__xludf.DUMMYFUNCTION("ifna(VALUE(REGEXEXTRACT(E236,""[0-9.]+[,]+[0-9]+"")))"),"")</f>
        <v/>
      </c>
      <c r="N236" s="185"/>
      <c r="O236" s="185"/>
      <c r="P236" s="185"/>
      <c r="Q236" s="185"/>
      <c r="R236" s="185"/>
      <c r="S236" s="185"/>
      <c r="T236" s="185"/>
      <c r="U236" s="185"/>
      <c r="V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184" t="str">
        <f>IFERROR(__xludf.DUMMYFUNCTION("ifna(IF(and(D237=""Saída"",J237=""Sangria""),if(sum(QUERY(IMPORTRANGE(""https://docs.google.com/spreadsheets/d/1ykfbEpHEAAZVCgujsGjRFJRCTULkzlWa8UjdyLzkDBM"",""BD M Sangrias!a:i""),""select Col6 where Col7 = 'Depositada' and Col9 = '""&amp;K237&amp;""' and Col6 ="&amp;" ""&amp;M237&amp;"" and Col4 = date '""&amp;YEAR(C237)&amp;""-""&amp;MONTH(C237)&amp;""-""&amp;DAY(C237)&amp;""'""))&gt;0,""Depositada"",if(sum(QUERY(IMPORTRANGE(""https://docs.google.com/spreadsheets/d/1ykfbEpHEAAZVCgujsGjRFJRCTULkzlWa8UjdyLzkDBM"",""BD M Sangrias!a:i""),""select Col6 whe"&amp;"re Col7 = 'Caixa Atendimento' and Col9 = '""&amp;K237&amp;""' and Col6 = ""&amp;M237&amp;"" and Col4 = date '""&amp;YEAR(C237)&amp;""-""&amp;MONTH(C237)&amp;""-""&amp;DAY(C237)&amp;""'""))&gt;0,""Caixa Atendimento"",""Caixa Sangria"")),""""),""Caixa Sangria"")"),"")</f>
        <v/>
      </c>
      <c r="M237" s="185" t="str">
        <f>IFERROR(__xludf.DUMMYFUNCTION("ifna(VALUE(REGEXEXTRACT(E237,""[0-9.]+[,]+[0-9]+"")))"),"")</f>
        <v/>
      </c>
      <c r="N237" s="185"/>
      <c r="O237" s="185"/>
      <c r="P237" s="185"/>
      <c r="Q237" s="185"/>
      <c r="R237" s="185"/>
      <c r="S237" s="185"/>
      <c r="T237" s="185"/>
      <c r="U237" s="185"/>
      <c r="V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184" t="str">
        <f>IFERROR(__xludf.DUMMYFUNCTION("ifna(IF(and(D238=""Saída"",J238=""Sangria""),if(sum(QUERY(IMPORTRANGE(""https://docs.google.com/spreadsheets/d/1ykfbEpHEAAZVCgujsGjRFJRCTULkzlWa8UjdyLzkDBM"",""BD M Sangrias!a:i""),""select Col6 where Col7 = 'Depositada' and Col9 = '""&amp;K238&amp;""' and Col6 ="&amp;" ""&amp;M238&amp;"" and Col4 = date '""&amp;YEAR(C238)&amp;""-""&amp;MONTH(C238)&amp;""-""&amp;DAY(C238)&amp;""'""))&gt;0,""Depositada"",if(sum(QUERY(IMPORTRANGE(""https://docs.google.com/spreadsheets/d/1ykfbEpHEAAZVCgujsGjRFJRCTULkzlWa8UjdyLzkDBM"",""BD M Sangrias!a:i""),""select Col6 whe"&amp;"re Col7 = 'Caixa Atendimento' and Col9 = '""&amp;K238&amp;""' and Col6 = ""&amp;M238&amp;"" and Col4 = date '""&amp;YEAR(C238)&amp;""-""&amp;MONTH(C238)&amp;""-""&amp;DAY(C238)&amp;""'""))&gt;0,""Caixa Atendimento"",""Caixa Sangria"")),""""),""Caixa Sangria"")"),"")</f>
        <v/>
      </c>
      <c r="M238" s="185" t="str">
        <f>IFERROR(__xludf.DUMMYFUNCTION("ifna(VALUE(REGEXEXTRACT(E238,""[0-9.]+[,]+[0-9]+"")))"),"")</f>
        <v/>
      </c>
      <c r="N238" s="185"/>
      <c r="O238" s="185"/>
      <c r="P238" s="185"/>
      <c r="Q238" s="185"/>
      <c r="R238" s="185"/>
      <c r="S238" s="185"/>
      <c r="T238" s="185"/>
      <c r="U238" s="185"/>
      <c r="V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184" t="str">
        <f>IFERROR(__xludf.DUMMYFUNCTION("ifna(IF(and(D239=""Saída"",J239=""Sangria""),if(sum(QUERY(IMPORTRANGE(""https://docs.google.com/spreadsheets/d/1ykfbEpHEAAZVCgujsGjRFJRCTULkzlWa8UjdyLzkDBM"",""BD M Sangrias!a:i""),""select Col6 where Col7 = 'Depositada' and Col9 = '""&amp;K239&amp;""' and Col6 ="&amp;" ""&amp;M239&amp;"" and Col4 = date '""&amp;YEAR(C239)&amp;""-""&amp;MONTH(C239)&amp;""-""&amp;DAY(C239)&amp;""'""))&gt;0,""Depositada"",if(sum(QUERY(IMPORTRANGE(""https://docs.google.com/spreadsheets/d/1ykfbEpHEAAZVCgujsGjRFJRCTULkzlWa8UjdyLzkDBM"",""BD M Sangrias!a:i""),""select Col6 whe"&amp;"re Col7 = 'Caixa Atendimento' and Col9 = '""&amp;K239&amp;""' and Col6 = ""&amp;M239&amp;"" and Col4 = date '""&amp;YEAR(C239)&amp;""-""&amp;MONTH(C239)&amp;""-""&amp;DAY(C239)&amp;""'""))&gt;0,""Caixa Atendimento"",""Caixa Sangria"")),""""),""Caixa Sangria"")"),"")</f>
        <v/>
      </c>
      <c r="M239" s="185" t="str">
        <f>IFERROR(__xludf.DUMMYFUNCTION("ifna(VALUE(REGEXEXTRACT(E239,""[0-9.]+[,]+[0-9]+"")))"),"")</f>
        <v/>
      </c>
      <c r="N239" s="185"/>
      <c r="O239" s="185"/>
      <c r="P239" s="185"/>
      <c r="Q239" s="185"/>
      <c r="R239" s="185"/>
      <c r="S239" s="185"/>
      <c r="T239" s="185"/>
      <c r="U239" s="185"/>
      <c r="V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184" t="str">
        <f>IFERROR(__xludf.DUMMYFUNCTION("ifna(IF(and(D240=""Saída"",J240=""Sangria""),if(sum(QUERY(IMPORTRANGE(""https://docs.google.com/spreadsheets/d/1ykfbEpHEAAZVCgujsGjRFJRCTULkzlWa8UjdyLzkDBM"",""BD M Sangrias!a:i""),""select Col6 where Col7 = 'Depositada' and Col9 = '""&amp;K240&amp;""' and Col6 ="&amp;" ""&amp;M240&amp;"" and Col4 = date '""&amp;YEAR(C240)&amp;""-""&amp;MONTH(C240)&amp;""-""&amp;DAY(C240)&amp;""'""))&gt;0,""Depositada"",if(sum(QUERY(IMPORTRANGE(""https://docs.google.com/spreadsheets/d/1ykfbEpHEAAZVCgujsGjRFJRCTULkzlWa8UjdyLzkDBM"",""BD M Sangrias!a:i""),""select Col6 whe"&amp;"re Col7 = 'Caixa Atendimento' and Col9 = '""&amp;K240&amp;""' and Col6 = ""&amp;M240&amp;"" and Col4 = date '""&amp;YEAR(C240)&amp;""-""&amp;MONTH(C240)&amp;""-""&amp;DAY(C240)&amp;""'""))&gt;0,""Caixa Atendimento"",""Caixa Sangria"")),""""),""Caixa Sangria"")"),"")</f>
        <v/>
      </c>
      <c r="M240" s="185" t="str">
        <f>IFERROR(__xludf.DUMMYFUNCTION("ifna(VALUE(REGEXEXTRACT(E240,""[0-9.]+[,]+[0-9]+"")))"),"")</f>
        <v/>
      </c>
      <c r="N240" s="185"/>
      <c r="O240" s="185"/>
      <c r="P240" s="185"/>
      <c r="Q240" s="185"/>
      <c r="R240" s="185"/>
      <c r="S240" s="185"/>
      <c r="T240" s="185"/>
      <c r="U240" s="185"/>
      <c r="V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184" t="str">
        <f>IFERROR(__xludf.DUMMYFUNCTION("ifna(IF(and(D241=""Saída"",J241=""Sangria""),if(sum(QUERY(IMPORTRANGE(""https://docs.google.com/spreadsheets/d/1ykfbEpHEAAZVCgujsGjRFJRCTULkzlWa8UjdyLzkDBM"",""BD M Sangrias!a:i""),""select Col6 where Col7 = 'Depositada' and Col9 = '""&amp;K241&amp;""' and Col6 ="&amp;" ""&amp;M241&amp;"" and Col4 = date '""&amp;YEAR(C241)&amp;""-""&amp;MONTH(C241)&amp;""-""&amp;DAY(C241)&amp;""'""))&gt;0,""Depositada"",if(sum(QUERY(IMPORTRANGE(""https://docs.google.com/spreadsheets/d/1ykfbEpHEAAZVCgujsGjRFJRCTULkzlWa8UjdyLzkDBM"",""BD M Sangrias!a:i""),""select Col6 whe"&amp;"re Col7 = 'Caixa Atendimento' and Col9 = '""&amp;K241&amp;""' and Col6 = ""&amp;M241&amp;"" and Col4 = date '""&amp;YEAR(C241)&amp;""-""&amp;MONTH(C241)&amp;""-""&amp;DAY(C241)&amp;""'""))&gt;0,""Caixa Atendimento"",""Caixa Sangria"")),""""),""Caixa Sangria"")"),"")</f>
        <v/>
      </c>
      <c r="M241" s="185" t="str">
        <f>IFERROR(__xludf.DUMMYFUNCTION("ifna(VALUE(REGEXEXTRACT(E241,""[0-9.]+[,]+[0-9]+"")))"),"")</f>
        <v/>
      </c>
      <c r="N241" s="185"/>
      <c r="O241" s="185"/>
      <c r="P241" s="185"/>
      <c r="Q241" s="185"/>
      <c r="R241" s="185"/>
      <c r="S241" s="185"/>
      <c r="T241" s="185"/>
      <c r="U241" s="185"/>
      <c r="V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184" t="str">
        <f>IFERROR(__xludf.DUMMYFUNCTION("ifna(IF(and(D242=""Saída"",J242=""Sangria""),if(sum(QUERY(IMPORTRANGE(""https://docs.google.com/spreadsheets/d/1ykfbEpHEAAZVCgujsGjRFJRCTULkzlWa8UjdyLzkDBM"",""BD M Sangrias!a:i""),""select Col6 where Col7 = 'Depositada' and Col9 = '""&amp;K242&amp;""' and Col6 ="&amp;" ""&amp;M242&amp;"" and Col4 = date '""&amp;YEAR(C242)&amp;""-""&amp;MONTH(C242)&amp;""-""&amp;DAY(C242)&amp;""'""))&gt;0,""Depositada"",if(sum(QUERY(IMPORTRANGE(""https://docs.google.com/spreadsheets/d/1ykfbEpHEAAZVCgujsGjRFJRCTULkzlWa8UjdyLzkDBM"",""BD M Sangrias!a:i""),""select Col6 whe"&amp;"re Col7 = 'Caixa Atendimento' and Col9 = '""&amp;K242&amp;""' and Col6 = ""&amp;M242&amp;"" and Col4 = date '""&amp;YEAR(C242)&amp;""-""&amp;MONTH(C242)&amp;""-""&amp;DAY(C242)&amp;""'""))&gt;0,""Caixa Atendimento"",""Caixa Sangria"")),""""),""Caixa Sangria"")"),"")</f>
        <v/>
      </c>
      <c r="M242" s="185" t="str">
        <f>IFERROR(__xludf.DUMMYFUNCTION("ifna(VALUE(REGEXEXTRACT(E242,""[0-9.]+[,]+[0-9]+"")))"),"")</f>
        <v/>
      </c>
      <c r="N242" s="185"/>
      <c r="O242" s="185"/>
      <c r="P242" s="185"/>
      <c r="Q242" s="185"/>
      <c r="R242" s="185"/>
      <c r="S242" s="185"/>
      <c r="T242" s="185"/>
      <c r="U242" s="185"/>
      <c r="V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184" t="str">
        <f>IFERROR(__xludf.DUMMYFUNCTION("ifna(IF(and(D243=""Saída"",J243=""Sangria""),if(sum(QUERY(IMPORTRANGE(""https://docs.google.com/spreadsheets/d/1ykfbEpHEAAZVCgujsGjRFJRCTULkzlWa8UjdyLzkDBM"",""BD M Sangrias!a:i""),""select Col6 where Col7 = 'Depositada' and Col9 = '""&amp;K243&amp;""' and Col6 ="&amp;" ""&amp;M243&amp;"" and Col4 = date '""&amp;YEAR(C243)&amp;""-""&amp;MONTH(C243)&amp;""-""&amp;DAY(C243)&amp;""'""))&gt;0,""Depositada"",if(sum(QUERY(IMPORTRANGE(""https://docs.google.com/spreadsheets/d/1ykfbEpHEAAZVCgujsGjRFJRCTULkzlWa8UjdyLzkDBM"",""BD M Sangrias!a:i""),""select Col6 whe"&amp;"re Col7 = 'Caixa Atendimento' and Col9 = '""&amp;K243&amp;""' and Col6 = ""&amp;M243&amp;"" and Col4 = date '""&amp;YEAR(C243)&amp;""-""&amp;MONTH(C243)&amp;""-""&amp;DAY(C243)&amp;""'""))&gt;0,""Caixa Atendimento"",""Caixa Sangria"")),""""),""Caixa Sangria"")"),"")</f>
        <v/>
      </c>
      <c r="M243" s="185" t="str">
        <f>IFERROR(__xludf.DUMMYFUNCTION("ifna(VALUE(REGEXEXTRACT(E243,""[0-9.]+[,]+[0-9]+"")))"),"")</f>
        <v/>
      </c>
      <c r="N243" s="185"/>
      <c r="O243" s="185"/>
      <c r="P243" s="185"/>
      <c r="Q243" s="185"/>
      <c r="R243" s="185"/>
      <c r="S243" s="185"/>
      <c r="T243" s="185"/>
      <c r="U243" s="185"/>
      <c r="V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184" t="str">
        <f>IFERROR(__xludf.DUMMYFUNCTION("ifna(IF(and(D244=""Saída"",J244=""Sangria""),if(sum(QUERY(IMPORTRANGE(""https://docs.google.com/spreadsheets/d/1ykfbEpHEAAZVCgujsGjRFJRCTULkzlWa8UjdyLzkDBM"",""BD M Sangrias!a:i""),""select Col6 where Col7 = 'Depositada' and Col9 = '""&amp;K244&amp;""' and Col6 ="&amp;" ""&amp;M244&amp;"" and Col4 = date '""&amp;YEAR(C244)&amp;""-""&amp;MONTH(C244)&amp;""-""&amp;DAY(C244)&amp;""'""))&gt;0,""Depositada"",if(sum(QUERY(IMPORTRANGE(""https://docs.google.com/spreadsheets/d/1ykfbEpHEAAZVCgujsGjRFJRCTULkzlWa8UjdyLzkDBM"",""BD M Sangrias!a:i""),""select Col6 whe"&amp;"re Col7 = 'Caixa Atendimento' and Col9 = '""&amp;K244&amp;""' and Col6 = ""&amp;M244&amp;"" and Col4 = date '""&amp;YEAR(C244)&amp;""-""&amp;MONTH(C244)&amp;""-""&amp;DAY(C244)&amp;""'""))&gt;0,""Caixa Atendimento"",""Caixa Sangria"")),""""),""Caixa Sangria"")"),"")</f>
        <v/>
      </c>
      <c r="M244" s="185" t="str">
        <f>IFERROR(__xludf.DUMMYFUNCTION("ifna(VALUE(REGEXEXTRACT(E244,""[0-9.]+[,]+[0-9]+"")))"),"")</f>
        <v/>
      </c>
      <c r="N244" s="185"/>
      <c r="O244" s="185"/>
      <c r="P244" s="185"/>
      <c r="Q244" s="185"/>
      <c r="R244" s="185"/>
      <c r="S244" s="185"/>
      <c r="T244" s="185"/>
      <c r="U244" s="185"/>
      <c r="V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184" t="str">
        <f>IFERROR(__xludf.DUMMYFUNCTION("ifna(IF(and(D245=""Saída"",J245=""Sangria""),if(sum(QUERY(IMPORTRANGE(""https://docs.google.com/spreadsheets/d/1ykfbEpHEAAZVCgujsGjRFJRCTULkzlWa8UjdyLzkDBM"",""BD M Sangrias!a:i""),""select Col6 where Col7 = 'Depositada' and Col9 = '""&amp;K245&amp;""' and Col6 ="&amp;" ""&amp;M245&amp;"" and Col4 = date '""&amp;YEAR(C245)&amp;""-""&amp;MONTH(C245)&amp;""-""&amp;DAY(C245)&amp;""'""))&gt;0,""Depositada"",if(sum(QUERY(IMPORTRANGE(""https://docs.google.com/spreadsheets/d/1ykfbEpHEAAZVCgujsGjRFJRCTULkzlWa8UjdyLzkDBM"",""BD M Sangrias!a:i""),""select Col6 whe"&amp;"re Col7 = 'Caixa Atendimento' and Col9 = '""&amp;K245&amp;""' and Col6 = ""&amp;M245&amp;"" and Col4 = date '""&amp;YEAR(C245)&amp;""-""&amp;MONTH(C245)&amp;""-""&amp;DAY(C245)&amp;""'""))&gt;0,""Caixa Atendimento"",""Caixa Sangria"")),""""),""Caixa Sangria"")"),"")</f>
        <v/>
      </c>
      <c r="M245" s="185" t="str">
        <f>IFERROR(__xludf.DUMMYFUNCTION("ifna(VALUE(REGEXEXTRACT(E245,""[0-9.]+[,]+[0-9]+"")))"),"")</f>
        <v/>
      </c>
      <c r="N245" s="185"/>
      <c r="O245" s="185"/>
      <c r="P245" s="185"/>
      <c r="Q245" s="185"/>
      <c r="R245" s="185"/>
      <c r="S245" s="185"/>
      <c r="T245" s="185"/>
      <c r="U245" s="185"/>
      <c r="V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184" t="str">
        <f>IFERROR(__xludf.DUMMYFUNCTION("ifna(IF(and(D246=""Saída"",J246=""Sangria""),if(sum(QUERY(IMPORTRANGE(""https://docs.google.com/spreadsheets/d/1ykfbEpHEAAZVCgujsGjRFJRCTULkzlWa8UjdyLzkDBM"",""BD M Sangrias!a:i""),""select Col6 where Col7 = 'Depositada' and Col9 = '""&amp;K246&amp;""' and Col6 ="&amp;" ""&amp;M246&amp;"" and Col4 = date '""&amp;YEAR(C246)&amp;""-""&amp;MONTH(C246)&amp;""-""&amp;DAY(C246)&amp;""'""))&gt;0,""Depositada"",if(sum(QUERY(IMPORTRANGE(""https://docs.google.com/spreadsheets/d/1ykfbEpHEAAZVCgujsGjRFJRCTULkzlWa8UjdyLzkDBM"",""BD M Sangrias!a:i""),""select Col6 whe"&amp;"re Col7 = 'Caixa Atendimento' and Col9 = '""&amp;K246&amp;""' and Col6 = ""&amp;M246&amp;"" and Col4 = date '""&amp;YEAR(C246)&amp;""-""&amp;MONTH(C246)&amp;""-""&amp;DAY(C246)&amp;""'""))&gt;0,""Caixa Atendimento"",""Caixa Sangria"")),""""),""Caixa Sangria"")"),"")</f>
        <v/>
      </c>
      <c r="M246" s="185" t="str">
        <f>IFERROR(__xludf.DUMMYFUNCTION("ifna(VALUE(REGEXEXTRACT(E246,""[0-9.]+[,]+[0-9]+"")))"),"")</f>
        <v/>
      </c>
      <c r="N246" s="185"/>
      <c r="O246" s="185"/>
      <c r="P246" s="185"/>
      <c r="Q246" s="185"/>
      <c r="R246" s="185"/>
      <c r="S246" s="185"/>
      <c r="T246" s="185"/>
      <c r="U246" s="185"/>
      <c r="V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184" t="str">
        <f>IFERROR(__xludf.DUMMYFUNCTION("ifna(IF(and(D247=""Saída"",J247=""Sangria""),if(sum(QUERY(IMPORTRANGE(""https://docs.google.com/spreadsheets/d/1ykfbEpHEAAZVCgujsGjRFJRCTULkzlWa8UjdyLzkDBM"",""BD M Sangrias!a:i""),""select Col6 where Col7 = 'Depositada' and Col9 = '""&amp;K247&amp;""' and Col6 ="&amp;" ""&amp;M247&amp;"" and Col4 = date '""&amp;YEAR(C247)&amp;""-""&amp;MONTH(C247)&amp;""-""&amp;DAY(C247)&amp;""'""))&gt;0,""Depositada"",if(sum(QUERY(IMPORTRANGE(""https://docs.google.com/spreadsheets/d/1ykfbEpHEAAZVCgujsGjRFJRCTULkzlWa8UjdyLzkDBM"",""BD M Sangrias!a:i""),""select Col6 whe"&amp;"re Col7 = 'Caixa Atendimento' and Col9 = '""&amp;K247&amp;""' and Col6 = ""&amp;M247&amp;"" and Col4 = date '""&amp;YEAR(C247)&amp;""-""&amp;MONTH(C247)&amp;""-""&amp;DAY(C247)&amp;""'""))&gt;0,""Caixa Atendimento"",""Caixa Sangria"")),""""),""Caixa Sangria"")"),"")</f>
        <v/>
      </c>
      <c r="M247" s="185" t="str">
        <f>IFERROR(__xludf.DUMMYFUNCTION("ifna(VALUE(REGEXEXTRACT(E247,""[0-9.]+[,]+[0-9]+"")))"),"")</f>
        <v/>
      </c>
      <c r="N247" s="185"/>
      <c r="O247" s="185"/>
      <c r="P247" s="185"/>
      <c r="Q247" s="185"/>
      <c r="R247" s="185"/>
      <c r="S247" s="185"/>
      <c r="T247" s="185"/>
      <c r="U247" s="185"/>
      <c r="V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184" t="str">
        <f>IFERROR(__xludf.DUMMYFUNCTION("ifna(IF(and(D248=""Saída"",J248=""Sangria""),if(sum(QUERY(IMPORTRANGE(""https://docs.google.com/spreadsheets/d/1ykfbEpHEAAZVCgujsGjRFJRCTULkzlWa8UjdyLzkDBM"",""BD M Sangrias!a:i""),""select Col6 where Col7 = 'Depositada' and Col9 = '""&amp;K248&amp;""' and Col6 ="&amp;" ""&amp;M248&amp;"" and Col4 = date '""&amp;YEAR(C248)&amp;""-""&amp;MONTH(C248)&amp;""-""&amp;DAY(C248)&amp;""'""))&gt;0,""Depositada"",if(sum(QUERY(IMPORTRANGE(""https://docs.google.com/spreadsheets/d/1ykfbEpHEAAZVCgujsGjRFJRCTULkzlWa8UjdyLzkDBM"",""BD M Sangrias!a:i""),""select Col6 whe"&amp;"re Col7 = 'Caixa Atendimento' and Col9 = '""&amp;K248&amp;""' and Col6 = ""&amp;M248&amp;"" and Col4 = date '""&amp;YEAR(C248)&amp;""-""&amp;MONTH(C248)&amp;""-""&amp;DAY(C248)&amp;""'""))&gt;0,""Caixa Atendimento"",""Caixa Sangria"")),""""),""Caixa Sangria"")"),"")</f>
        <v/>
      </c>
      <c r="M248" s="185" t="str">
        <f>IFERROR(__xludf.DUMMYFUNCTION("ifna(VALUE(REGEXEXTRACT(E248,""[0-9.]+[,]+[0-9]+"")))"),"")</f>
        <v/>
      </c>
      <c r="N248" s="185"/>
      <c r="O248" s="185"/>
      <c r="P248" s="185"/>
      <c r="Q248" s="185"/>
      <c r="R248" s="185"/>
      <c r="S248" s="185"/>
      <c r="T248" s="185"/>
      <c r="U248" s="185"/>
      <c r="V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184" t="str">
        <f>IFERROR(__xludf.DUMMYFUNCTION("ifna(IF(and(D249=""Saída"",J249=""Sangria""),if(sum(QUERY(IMPORTRANGE(""https://docs.google.com/spreadsheets/d/1ykfbEpHEAAZVCgujsGjRFJRCTULkzlWa8UjdyLzkDBM"",""BD M Sangrias!a:i""),""select Col6 where Col7 = 'Depositada' and Col9 = '""&amp;K249&amp;""' and Col6 ="&amp;" ""&amp;M249&amp;"" and Col4 = date '""&amp;YEAR(C249)&amp;""-""&amp;MONTH(C249)&amp;""-""&amp;DAY(C249)&amp;""'""))&gt;0,""Depositada"",if(sum(QUERY(IMPORTRANGE(""https://docs.google.com/spreadsheets/d/1ykfbEpHEAAZVCgujsGjRFJRCTULkzlWa8UjdyLzkDBM"",""BD M Sangrias!a:i""),""select Col6 whe"&amp;"re Col7 = 'Caixa Atendimento' and Col9 = '""&amp;K249&amp;""' and Col6 = ""&amp;M249&amp;"" and Col4 = date '""&amp;YEAR(C249)&amp;""-""&amp;MONTH(C249)&amp;""-""&amp;DAY(C249)&amp;""'""))&gt;0,""Caixa Atendimento"",""Caixa Sangria"")),""""),""Caixa Sangria"")"),"")</f>
        <v/>
      </c>
      <c r="M249" s="185" t="str">
        <f>IFERROR(__xludf.DUMMYFUNCTION("ifna(VALUE(REGEXEXTRACT(E249,""[0-9.]+[,]+[0-9]+"")))"),"")</f>
        <v/>
      </c>
      <c r="N249" s="185"/>
      <c r="O249" s="185"/>
      <c r="P249" s="185"/>
      <c r="Q249" s="185"/>
      <c r="R249" s="185"/>
      <c r="S249" s="185"/>
      <c r="T249" s="185"/>
      <c r="U249" s="185"/>
      <c r="V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184" t="str">
        <f>IFERROR(__xludf.DUMMYFUNCTION("ifna(IF(and(D250=""Saída"",J250=""Sangria""),if(sum(QUERY(IMPORTRANGE(""https://docs.google.com/spreadsheets/d/1ykfbEpHEAAZVCgujsGjRFJRCTULkzlWa8UjdyLzkDBM"",""BD M Sangrias!a:i""),""select Col6 where Col7 = 'Depositada' and Col9 = '""&amp;K250&amp;""' and Col6 ="&amp;" ""&amp;M250&amp;"" and Col4 = date '""&amp;YEAR(C250)&amp;""-""&amp;MONTH(C250)&amp;""-""&amp;DAY(C250)&amp;""'""))&gt;0,""Depositada"",if(sum(QUERY(IMPORTRANGE(""https://docs.google.com/spreadsheets/d/1ykfbEpHEAAZVCgujsGjRFJRCTULkzlWa8UjdyLzkDBM"",""BD M Sangrias!a:i""),""select Col6 whe"&amp;"re Col7 = 'Caixa Atendimento' and Col9 = '""&amp;K250&amp;""' and Col6 = ""&amp;M250&amp;"" and Col4 = date '""&amp;YEAR(C250)&amp;""-""&amp;MONTH(C250)&amp;""-""&amp;DAY(C250)&amp;""'""))&gt;0,""Caixa Atendimento"",""Caixa Sangria"")),""""),""Caixa Sangria"")"),"")</f>
        <v/>
      </c>
      <c r="M250" s="185" t="str">
        <f>IFERROR(__xludf.DUMMYFUNCTION("ifna(VALUE(REGEXEXTRACT(E250,""[0-9.]+[,]+[0-9]+"")))"),"")</f>
        <v/>
      </c>
      <c r="N250" s="185"/>
      <c r="O250" s="185"/>
      <c r="P250" s="185"/>
      <c r="Q250" s="185"/>
      <c r="R250" s="185"/>
      <c r="S250" s="185"/>
      <c r="T250" s="185"/>
      <c r="U250" s="185"/>
      <c r="V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184" t="str">
        <f>IFERROR(__xludf.DUMMYFUNCTION("ifna(IF(and(D251=""Saída"",J251=""Sangria""),if(sum(QUERY(IMPORTRANGE(""https://docs.google.com/spreadsheets/d/1ykfbEpHEAAZVCgujsGjRFJRCTULkzlWa8UjdyLzkDBM"",""BD M Sangrias!a:i""),""select Col6 where Col7 = 'Depositada' and Col9 = '""&amp;K251&amp;""' and Col6 ="&amp;" ""&amp;M251&amp;"" and Col4 = date '""&amp;YEAR(C251)&amp;""-""&amp;MONTH(C251)&amp;""-""&amp;DAY(C251)&amp;""'""))&gt;0,""Depositada"",if(sum(QUERY(IMPORTRANGE(""https://docs.google.com/spreadsheets/d/1ykfbEpHEAAZVCgujsGjRFJRCTULkzlWa8UjdyLzkDBM"",""BD M Sangrias!a:i""),""select Col6 whe"&amp;"re Col7 = 'Caixa Atendimento' and Col9 = '""&amp;K251&amp;""' and Col6 = ""&amp;M251&amp;"" and Col4 = date '""&amp;YEAR(C251)&amp;""-""&amp;MONTH(C251)&amp;""-""&amp;DAY(C251)&amp;""'""))&gt;0,""Caixa Atendimento"",""Caixa Sangria"")),""""),""Caixa Sangria"")"),"")</f>
        <v/>
      </c>
      <c r="M251" s="185" t="str">
        <f>IFERROR(__xludf.DUMMYFUNCTION("ifna(VALUE(REGEXEXTRACT(E251,""[0-9.]+[,]+[0-9]+"")))"),"")</f>
        <v/>
      </c>
      <c r="N251" s="185"/>
      <c r="O251" s="185"/>
      <c r="P251" s="185"/>
      <c r="Q251" s="185"/>
      <c r="R251" s="185"/>
      <c r="S251" s="185"/>
      <c r="T251" s="185"/>
      <c r="U251" s="185"/>
      <c r="V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184" t="str">
        <f>IFERROR(__xludf.DUMMYFUNCTION("ifna(IF(and(D252=""Saída"",J252=""Sangria""),if(sum(QUERY(IMPORTRANGE(""https://docs.google.com/spreadsheets/d/1ykfbEpHEAAZVCgujsGjRFJRCTULkzlWa8UjdyLzkDBM"",""BD M Sangrias!a:i""),""select Col6 where Col7 = 'Depositada' and Col9 = '""&amp;K252&amp;""' and Col6 ="&amp;" ""&amp;M252&amp;"" and Col4 = date '""&amp;YEAR(C252)&amp;""-""&amp;MONTH(C252)&amp;""-""&amp;DAY(C252)&amp;""'""))&gt;0,""Depositada"",if(sum(QUERY(IMPORTRANGE(""https://docs.google.com/spreadsheets/d/1ykfbEpHEAAZVCgujsGjRFJRCTULkzlWa8UjdyLzkDBM"",""BD M Sangrias!a:i""),""select Col6 whe"&amp;"re Col7 = 'Caixa Atendimento' and Col9 = '""&amp;K252&amp;""' and Col6 = ""&amp;M252&amp;"" and Col4 = date '""&amp;YEAR(C252)&amp;""-""&amp;MONTH(C252)&amp;""-""&amp;DAY(C252)&amp;""'""))&gt;0,""Caixa Atendimento"",""Caixa Sangria"")),""""),""Caixa Sangria"")"),"")</f>
        <v/>
      </c>
      <c r="M252" s="185" t="str">
        <f>IFERROR(__xludf.DUMMYFUNCTION("ifna(VALUE(REGEXEXTRACT(E252,""[0-9.]+[,]+[0-9]+"")))"),"")</f>
        <v/>
      </c>
      <c r="N252" s="185"/>
      <c r="O252" s="185"/>
      <c r="P252" s="185"/>
      <c r="Q252" s="185"/>
      <c r="R252" s="185"/>
      <c r="S252" s="185"/>
      <c r="T252" s="185"/>
      <c r="U252" s="185"/>
      <c r="V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184" t="str">
        <f>IFERROR(__xludf.DUMMYFUNCTION("ifna(IF(and(D253=""Saída"",J253=""Sangria""),if(sum(QUERY(IMPORTRANGE(""https://docs.google.com/spreadsheets/d/1ykfbEpHEAAZVCgujsGjRFJRCTULkzlWa8UjdyLzkDBM"",""BD M Sangrias!a:i""),""select Col6 where Col7 = 'Depositada' and Col9 = '""&amp;K253&amp;""' and Col6 ="&amp;" ""&amp;M253&amp;"" and Col4 = date '""&amp;YEAR(C253)&amp;""-""&amp;MONTH(C253)&amp;""-""&amp;DAY(C253)&amp;""'""))&gt;0,""Depositada"",if(sum(QUERY(IMPORTRANGE(""https://docs.google.com/spreadsheets/d/1ykfbEpHEAAZVCgujsGjRFJRCTULkzlWa8UjdyLzkDBM"",""BD M Sangrias!a:i""),""select Col6 whe"&amp;"re Col7 = 'Caixa Atendimento' and Col9 = '""&amp;K253&amp;""' and Col6 = ""&amp;M253&amp;"" and Col4 = date '""&amp;YEAR(C253)&amp;""-""&amp;MONTH(C253)&amp;""-""&amp;DAY(C253)&amp;""'""))&gt;0,""Caixa Atendimento"",""Caixa Sangria"")),""""),""Caixa Sangria"")"),"")</f>
        <v/>
      </c>
      <c r="M253" s="185" t="str">
        <f>IFERROR(__xludf.DUMMYFUNCTION("ifna(VALUE(REGEXEXTRACT(E253,""[0-9.]+[,]+[0-9]+"")))"),"")</f>
        <v/>
      </c>
      <c r="N253" s="185"/>
      <c r="O253" s="185"/>
      <c r="P253" s="185"/>
      <c r="Q253" s="185"/>
      <c r="R253" s="185"/>
      <c r="S253" s="185"/>
      <c r="T253" s="185"/>
      <c r="U253" s="185"/>
      <c r="V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184" t="str">
        <f>IFERROR(__xludf.DUMMYFUNCTION("ifna(IF(and(D254=""Saída"",J254=""Sangria""),if(sum(QUERY(IMPORTRANGE(""https://docs.google.com/spreadsheets/d/1ykfbEpHEAAZVCgujsGjRFJRCTULkzlWa8UjdyLzkDBM"",""BD M Sangrias!a:i""),""select Col6 where Col7 = 'Depositada' and Col9 = '""&amp;K254&amp;""' and Col6 ="&amp;" ""&amp;M254&amp;"" and Col4 = date '""&amp;YEAR(C254)&amp;""-""&amp;MONTH(C254)&amp;""-""&amp;DAY(C254)&amp;""'""))&gt;0,""Depositada"",if(sum(QUERY(IMPORTRANGE(""https://docs.google.com/spreadsheets/d/1ykfbEpHEAAZVCgujsGjRFJRCTULkzlWa8UjdyLzkDBM"",""BD M Sangrias!a:i""),""select Col6 whe"&amp;"re Col7 = 'Caixa Atendimento' and Col9 = '""&amp;K254&amp;""' and Col6 = ""&amp;M254&amp;"" and Col4 = date '""&amp;YEAR(C254)&amp;""-""&amp;MONTH(C254)&amp;""-""&amp;DAY(C254)&amp;""'""))&gt;0,""Caixa Atendimento"",""Caixa Sangria"")),""""),""Caixa Sangria"")"),"")</f>
        <v/>
      </c>
      <c r="M254" s="185" t="str">
        <f>IFERROR(__xludf.DUMMYFUNCTION("ifna(VALUE(REGEXEXTRACT(E254,""[0-9.]+[,]+[0-9]+"")))"),"")</f>
        <v/>
      </c>
      <c r="N254" s="185"/>
      <c r="O254" s="185"/>
      <c r="P254" s="185"/>
      <c r="Q254" s="185"/>
      <c r="R254" s="185"/>
      <c r="S254" s="185"/>
      <c r="T254" s="185"/>
      <c r="U254" s="185"/>
      <c r="V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184" t="str">
        <f>IFERROR(__xludf.DUMMYFUNCTION("ifna(IF(and(D255=""Saída"",J255=""Sangria""),if(sum(QUERY(IMPORTRANGE(""https://docs.google.com/spreadsheets/d/1ykfbEpHEAAZVCgujsGjRFJRCTULkzlWa8UjdyLzkDBM"",""BD M Sangrias!a:i""),""select Col6 where Col7 = 'Depositada' and Col9 = '""&amp;K255&amp;""' and Col6 ="&amp;" ""&amp;M255&amp;"" and Col4 = date '""&amp;YEAR(C255)&amp;""-""&amp;MONTH(C255)&amp;""-""&amp;DAY(C255)&amp;""'""))&gt;0,""Depositada"",if(sum(QUERY(IMPORTRANGE(""https://docs.google.com/spreadsheets/d/1ykfbEpHEAAZVCgujsGjRFJRCTULkzlWa8UjdyLzkDBM"",""BD M Sangrias!a:i""),""select Col6 whe"&amp;"re Col7 = 'Caixa Atendimento' and Col9 = '""&amp;K255&amp;""' and Col6 = ""&amp;M255&amp;"" and Col4 = date '""&amp;YEAR(C255)&amp;""-""&amp;MONTH(C255)&amp;""-""&amp;DAY(C255)&amp;""'""))&gt;0,""Caixa Atendimento"",""Caixa Sangria"")),""""),""Caixa Sangria"")"),"")</f>
        <v/>
      </c>
      <c r="M255" s="185" t="str">
        <f>IFERROR(__xludf.DUMMYFUNCTION("ifna(VALUE(REGEXEXTRACT(E255,""[0-9.]+[,]+[0-9]+"")))"),"")</f>
        <v/>
      </c>
      <c r="N255" s="185"/>
      <c r="O255" s="185"/>
      <c r="P255" s="185"/>
      <c r="Q255" s="185"/>
      <c r="R255" s="185"/>
      <c r="S255" s="185"/>
      <c r="T255" s="185"/>
      <c r="U255" s="185"/>
      <c r="V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184" t="str">
        <f>IFERROR(__xludf.DUMMYFUNCTION("ifna(IF(and(D256=""Saída"",J256=""Sangria""),if(sum(QUERY(IMPORTRANGE(""https://docs.google.com/spreadsheets/d/1ykfbEpHEAAZVCgujsGjRFJRCTULkzlWa8UjdyLzkDBM"",""BD M Sangrias!a:i""),""select Col6 where Col7 = 'Depositada' and Col9 = '""&amp;K256&amp;""' and Col6 ="&amp;" ""&amp;M256&amp;"" and Col4 = date '""&amp;YEAR(C256)&amp;""-""&amp;MONTH(C256)&amp;""-""&amp;DAY(C256)&amp;""'""))&gt;0,""Depositada"",if(sum(QUERY(IMPORTRANGE(""https://docs.google.com/spreadsheets/d/1ykfbEpHEAAZVCgujsGjRFJRCTULkzlWa8UjdyLzkDBM"",""BD M Sangrias!a:i""),""select Col6 whe"&amp;"re Col7 = 'Caixa Atendimento' and Col9 = '""&amp;K256&amp;""' and Col6 = ""&amp;M256&amp;"" and Col4 = date '""&amp;YEAR(C256)&amp;""-""&amp;MONTH(C256)&amp;""-""&amp;DAY(C256)&amp;""'""))&gt;0,""Caixa Atendimento"",""Caixa Sangria"")),""""),""Caixa Sangria"")"),"")</f>
        <v/>
      </c>
      <c r="M256" s="185" t="str">
        <f>IFERROR(__xludf.DUMMYFUNCTION("ifna(VALUE(REGEXEXTRACT(E256,""[0-9.]+[,]+[0-9]+"")))"),"")</f>
        <v/>
      </c>
      <c r="N256" s="185"/>
      <c r="O256" s="185"/>
      <c r="P256" s="185"/>
      <c r="Q256" s="185"/>
      <c r="R256" s="185"/>
      <c r="S256" s="185"/>
      <c r="T256" s="185"/>
      <c r="U256" s="185"/>
      <c r="V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184" t="str">
        <f>IFERROR(__xludf.DUMMYFUNCTION("ifna(IF(and(D257=""Saída"",J257=""Sangria""),if(sum(QUERY(IMPORTRANGE(""https://docs.google.com/spreadsheets/d/1ykfbEpHEAAZVCgujsGjRFJRCTULkzlWa8UjdyLzkDBM"",""BD M Sangrias!a:i""),""select Col6 where Col7 = 'Depositada' and Col9 = '""&amp;K257&amp;""' and Col6 ="&amp;" ""&amp;M257&amp;"" and Col4 = date '""&amp;YEAR(C257)&amp;""-""&amp;MONTH(C257)&amp;""-""&amp;DAY(C257)&amp;""'""))&gt;0,""Depositada"",if(sum(QUERY(IMPORTRANGE(""https://docs.google.com/spreadsheets/d/1ykfbEpHEAAZVCgujsGjRFJRCTULkzlWa8UjdyLzkDBM"",""BD M Sangrias!a:i""),""select Col6 whe"&amp;"re Col7 = 'Caixa Atendimento' and Col9 = '""&amp;K257&amp;""' and Col6 = ""&amp;M257&amp;"" and Col4 = date '""&amp;YEAR(C257)&amp;""-""&amp;MONTH(C257)&amp;""-""&amp;DAY(C257)&amp;""'""))&gt;0,""Caixa Atendimento"",""Caixa Sangria"")),""""),""Caixa Sangria"")"),"")</f>
        <v/>
      </c>
      <c r="M257" s="185" t="str">
        <f>IFERROR(__xludf.DUMMYFUNCTION("ifna(VALUE(REGEXEXTRACT(E257,""[0-9.]+[,]+[0-9]+"")))"),"")</f>
        <v/>
      </c>
      <c r="N257" s="185"/>
      <c r="O257" s="185"/>
      <c r="P257" s="185"/>
      <c r="Q257" s="185"/>
      <c r="R257" s="185"/>
      <c r="S257" s="185"/>
      <c r="T257" s="185"/>
      <c r="U257" s="185"/>
      <c r="V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184" t="str">
        <f>IFERROR(__xludf.DUMMYFUNCTION("ifna(IF(and(D258=""Saída"",J258=""Sangria""),if(sum(QUERY(IMPORTRANGE(""https://docs.google.com/spreadsheets/d/1ykfbEpHEAAZVCgujsGjRFJRCTULkzlWa8UjdyLzkDBM"",""BD M Sangrias!a:i""),""select Col6 where Col7 = 'Depositada' and Col9 = '""&amp;K258&amp;""' and Col6 ="&amp;" ""&amp;M258&amp;"" and Col4 = date '""&amp;YEAR(C258)&amp;""-""&amp;MONTH(C258)&amp;""-""&amp;DAY(C258)&amp;""'""))&gt;0,""Depositada"",if(sum(QUERY(IMPORTRANGE(""https://docs.google.com/spreadsheets/d/1ykfbEpHEAAZVCgujsGjRFJRCTULkzlWa8UjdyLzkDBM"",""BD M Sangrias!a:i""),""select Col6 whe"&amp;"re Col7 = 'Caixa Atendimento' and Col9 = '""&amp;K258&amp;""' and Col6 = ""&amp;M258&amp;"" and Col4 = date '""&amp;YEAR(C258)&amp;""-""&amp;MONTH(C258)&amp;""-""&amp;DAY(C258)&amp;""'""))&gt;0,""Caixa Atendimento"",""Caixa Sangria"")),""""),""Caixa Sangria"")"),"")</f>
        <v/>
      </c>
      <c r="M258" s="185" t="str">
        <f>IFERROR(__xludf.DUMMYFUNCTION("ifna(VALUE(REGEXEXTRACT(E258,""[0-9.]+[,]+[0-9]+"")))"),"")</f>
        <v/>
      </c>
      <c r="N258" s="185"/>
      <c r="O258" s="185"/>
      <c r="P258" s="185"/>
      <c r="Q258" s="185"/>
      <c r="R258" s="185"/>
      <c r="S258" s="185"/>
      <c r="T258" s="185"/>
      <c r="U258" s="185"/>
      <c r="V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184" t="str">
        <f>IFERROR(__xludf.DUMMYFUNCTION("ifna(IF(and(D259=""Saída"",J259=""Sangria""),if(sum(QUERY(IMPORTRANGE(""https://docs.google.com/spreadsheets/d/1ykfbEpHEAAZVCgujsGjRFJRCTULkzlWa8UjdyLzkDBM"",""BD M Sangrias!a:i""),""select Col6 where Col7 = 'Depositada' and Col9 = '""&amp;K259&amp;""' and Col6 ="&amp;" ""&amp;M259&amp;"" and Col4 = date '""&amp;YEAR(C259)&amp;""-""&amp;MONTH(C259)&amp;""-""&amp;DAY(C259)&amp;""'""))&gt;0,""Depositada"",if(sum(QUERY(IMPORTRANGE(""https://docs.google.com/spreadsheets/d/1ykfbEpHEAAZVCgujsGjRFJRCTULkzlWa8UjdyLzkDBM"",""BD M Sangrias!a:i""),""select Col6 whe"&amp;"re Col7 = 'Caixa Atendimento' and Col9 = '""&amp;K259&amp;""' and Col6 = ""&amp;M259&amp;"" and Col4 = date '""&amp;YEAR(C259)&amp;""-""&amp;MONTH(C259)&amp;""-""&amp;DAY(C259)&amp;""'""))&gt;0,""Caixa Atendimento"",""Caixa Sangria"")),""""),""Caixa Sangria"")"),"")</f>
        <v/>
      </c>
      <c r="M259" s="185" t="str">
        <f>IFERROR(__xludf.DUMMYFUNCTION("ifna(VALUE(REGEXEXTRACT(E259,""[0-9.]+[,]+[0-9]+"")))"),"")</f>
        <v/>
      </c>
      <c r="N259" s="185"/>
      <c r="O259" s="185"/>
      <c r="P259" s="185"/>
      <c r="Q259" s="185"/>
      <c r="R259" s="185"/>
      <c r="S259" s="185"/>
      <c r="T259" s="185"/>
      <c r="U259" s="185"/>
      <c r="V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184" t="str">
        <f>IFERROR(__xludf.DUMMYFUNCTION("ifna(IF(and(D260=""Saída"",J260=""Sangria""),if(sum(QUERY(IMPORTRANGE(""https://docs.google.com/spreadsheets/d/1ykfbEpHEAAZVCgujsGjRFJRCTULkzlWa8UjdyLzkDBM"",""BD M Sangrias!a:i""),""select Col6 where Col7 = 'Depositada' and Col9 = '""&amp;K260&amp;""' and Col6 ="&amp;" ""&amp;M260&amp;"" and Col4 = date '""&amp;YEAR(C260)&amp;""-""&amp;MONTH(C260)&amp;""-""&amp;DAY(C260)&amp;""'""))&gt;0,""Depositada"",if(sum(QUERY(IMPORTRANGE(""https://docs.google.com/spreadsheets/d/1ykfbEpHEAAZVCgujsGjRFJRCTULkzlWa8UjdyLzkDBM"",""BD M Sangrias!a:i""),""select Col6 whe"&amp;"re Col7 = 'Caixa Atendimento' and Col9 = '""&amp;K260&amp;""' and Col6 = ""&amp;M260&amp;"" and Col4 = date '""&amp;YEAR(C260)&amp;""-""&amp;MONTH(C260)&amp;""-""&amp;DAY(C260)&amp;""'""))&gt;0,""Caixa Atendimento"",""Caixa Sangria"")),""""),""Caixa Sangria"")"),"")</f>
        <v/>
      </c>
      <c r="M260" s="185" t="str">
        <f>IFERROR(__xludf.DUMMYFUNCTION("ifna(VALUE(REGEXEXTRACT(E260,""[0-9.]+[,]+[0-9]+"")))"),"")</f>
        <v/>
      </c>
      <c r="N260" s="185"/>
      <c r="O260" s="185"/>
      <c r="P260" s="185"/>
      <c r="Q260" s="185"/>
      <c r="R260" s="185"/>
      <c r="S260" s="185"/>
      <c r="T260" s="185"/>
      <c r="U260" s="185"/>
      <c r="V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184" t="str">
        <f>IFERROR(__xludf.DUMMYFUNCTION("ifna(IF(and(D261=""Saída"",J261=""Sangria""),if(sum(QUERY(IMPORTRANGE(""https://docs.google.com/spreadsheets/d/1ykfbEpHEAAZVCgujsGjRFJRCTULkzlWa8UjdyLzkDBM"",""BD M Sangrias!a:i""),""select Col6 where Col7 = 'Depositada' and Col9 = '""&amp;K261&amp;""' and Col6 ="&amp;" ""&amp;M261&amp;"" and Col4 = date '""&amp;YEAR(C261)&amp;""-""&amp;MONTH(C261)&amp;""-""&amp;DAY(C261)&amp;""'""))&gt;0,""Depositada"",if(sum(QUERY(IMPORTRANGE(""https://docs.google.com/spreadsheets/d/1ykfbEpHEAAZVCgujsGjRFJRCTULkzlWa8UjdyLzkDBM"",""BD M Sangrias!a:i""),""select Col6 whe"&amp;"re Col7 = 'Caixa Atendimento' and Col9 = '""&amp;K261&amp;""' and Col6 = ""&amp;M261&amp;"" and Col4 = date '""&amp;YEAR(C261)&amp;""-""&amp;MONTH(C261)&amp;""-""&amp;DAY(C261)&amp;""'""))&gt;0,""Caixa Atendimento"",""Caixa Sangria"")),""""),""Caixa Sangria"")"),"")</f>
        <v/>
      </c>
      <c r="M261" s="185" t="str">
        <f>IFERROR(__xludf.DUMMYFUNCTION("ifna(VALUE(REGEXEXTRACT(E261,""[0-9.]+[,]+[0-9]+"")))"),"")</f>
        <v/>
      </c>
      <c r="N261" s="185"/>
      <c r="O261" s="185"/>
      <c r="P261" s="185"/>
      <c r="Q261" s="185"/>
      <c r="R261" s="185"/>
      <c r="S261" s="185"/>
      <c r="T261" s="185"/>
      <c r="U261" s="185"/>
      <c r="V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184" t="str">
        <f>IFERROR(__xludf.DUMMYFUNCTION("ifna(IF(and(D262=""Saída"",J262=""Sangria""),if(sum(QUERY(IMPORTRANGE(""https://docs.google.com/spreadsheets/d/1ykfbEpHEAAZVCgujsGjRFJRCTULkzlWa8UjdyLzkDBM"",""BD M Sangrias!a:i""),""select Col6 where Col7 = 'Depositada' and Col9 = '""&amp;K262&amp;""' and Col6 ="&amp;" ""&amp;M262&amp;"" and Col4 = date '""&amp;YEAR(C262)&amp;""-""&amp;MONTH(C262)&amp;""-""&amp;DAY(C262)&amp;""'""))&gt;0,""Depositada"",if(sum(QUERY(IMPORTRANGE(""https://docs.google.com/spreadsheets/d/1ykfbEpHEAAZVCgujsGjRFJRCTULkzlWa8UjdyLzkDBM"",""BD M Sangrias!a:i""),""select Col6 whe"&amp;"re Col7 = 'Caixa Atendimento' and Col9 = '""&amp;K262&amp;""' and Col6 = ""&amp;M262&amp;"" and Col4 = date '""&amp;YEAR(C262)&amp;""-""&amp;MONTH(C262)&amp;""-""&amp;DAY(C262)&amp;""'""))&gt;0,""Caixa Atendimento"",""Caixa Sangria"")),""""),""Caixa Sangria"")"),"")</f>
        <v/>
      </c>
      <c r="M262" s="185" t="str">
        <f>IFERROR(__xludf.DUMMYFUNCTION("ifna(VALUE(REGEXEXTRACT(E262,""[0-9.]+[,]+[0-9]+"")))"),"")</f>
        <v/>
      </c>
      <c r="N262" s="185"/>
      <c r="O262" s="185"/>
      <c r="P262" s="185"/>
      <c r="Q262" s="185"/>
      <c r="R262" s="185"/>
      <c r="S262" s="185"/>
      <c r="T262" s="185"/>
      <c r="U262" s="185"/>
      <c r="V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184" t="str">
        <f>IFERROR(__xludf.DUMMYFUNCTION("ifna(IF(and(D263=""Saída"",J263=""Sangria""),if(sum(QUERY(IMPORTRANGE(""https://docs.google.com/spreadsheets/d/1ykfbEpHEAAZVCgujsGjRFJRCTULkzlWa8UjdyLzkDBM"",""BD M Sangrias!a:i""),""select Col6 where Col7 = 'Depositada' and Col9 = '""&amp;K263&amp;""' and Col6 ="&amp;" ""&amp;M263&amp;"" and Col4 = date '""&amp;YEAR(C263)&amp;""-""&amp;MONTH(C263)&amp;""-""&amp;DAY(C263)&amp;""'""))&gt;0,""Depositada"",if(sum(QUERY(IMPORTRANGE(""https://docs.google.com/spreadsheets/d/1ykfbEpHEAAZVCgujsGjRFJRCTULkzlWa8UjdyLzkDBM"",""BD M Sangrias!a:i""),""select Col6 whe"&amp;"re Col7 = 'Caixa Atendimento' and Col9 = '""&amp;K263&amp;""' and Col6 = ""&amp;M263&amp;"" and Col4 = date '""&amp;YEAR(C263)&amp;""-""&amp;MONTH(C263)&amp;""-""&amp;DAY(C263)&amp;""'""))&gt;0,""Caixa Atendimento"",""Caixa Sangria"")),""""),""Caixa Sangria"")"),"")</f>
        <v/>
      </c>
      <c r="M263" s="185" t="str">
        <f>IFERROR(__xludf.DUMMYFUNCTION("ifna(VALUE(REGEXEXTRACT(E263,""[0-9.]+[,]+[0-9]+"")))"),"")</f>
        <v/>
      </c>
      <c r="N263" s="185"/>
      <c r="O263" s="185"/>
      <c r="P263" s="185"/>
      <c r="Q263" s="185"/>
      <c r="R263" s="185"/>
      <c r="S263" s="185"/>
      <c r="T263" s="185"/>
      <c r="U263" s="185"/>
      <c r="V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184" t="str">
        <f>IFERROR(__xludf.DUMMYFUNCTION("ifna(IF(and(D264=""Saída"",J264=""Sangria""),if(sum(QUERY(IMPORTRANGE(""https://docs.google.com/spreadsheets/d/1ykfbEpHEAAZVCgujsGjRFJRCTULkzlWa8UjdyLzkDBM"",""BD M Sangrias!a:i""),""select Col6 where Col7 = 'Depositada' and Col9 = '""&amp;K264&amp;""' and Col6 ="&amp;" ""&amp;M264&amp;"" and Col4 = date '""&amp;YEAR(C264)&amp;""-""&amp;MONTH(C264)&amp;""-""&amp;DAY(C264)&amp;""'""))&gt;0,""Depositada"",if(sum(QUERY(IMPORTRANGE(""https://docs.google.com/spreadsheets/d/1ykfbEpHEAAZVCgujsGjRFJRCTULkzlWa8UjdyLzkDBM"",""BD M Sangrias!a:i""),""select Col6 whe"&amp;"re Col7 = 'Caixa Atendimento' and Col9 = '""&amp;K264&amp;""' and Col6 = ""&amp;M264&amp;"" and Col4 = date '""&amp;YEAR(C264)&amp;""-""&amp;MONTH(C264)&amp;""-""&amp;DAY(C264)&amp;""'""))&gt;0,""Caixa Atendimento"",""Caixa Sangria"")),""""),""Caixa Sangria"")"),"")</f>
        <v/>
      </c>
      <c r="M264" s="185" t="str">
        <f>IFERROR(__xludf.DUMMYFUNCTION("ifna(VALUE(REGEXEXTRACT(E264,""[0-9.]+[,]+[0-9]+"")))"),"")</f>
        <v/>
      </c>
      <c r="N264" s="185"/>
      <c r="O264" s="185"/>
      <c r="P264" s="185"/>
      <c r="Q264" s="185"/>
      <c r="R264" s="185"/>
      <c r="S264" s="185"/>
      <c r="T264" s="185"/>
      <c r="U264" s="185"/>
      <c r="V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184" t="str">
        <f>IFERROR(__xludf.DUMMYFUNCTION("ifna(IF(and(D265=""Saída"",J265=""Sangria""),if(sum(QUERY(IMPORTRANGE(""https://docs.google.com/spreadsheets/d/1ykfbEpHEAAZVCgujsGjRFJRCTULkzlWa8UjdyLzkDBM"",""BD M Sangrias!a:i""),""select Col6 where Col7 = 'Depositada' and Col9 = '""&amp;K265&amp;""' and Col6 ="&amp;" ""&amp;M265&amp;"" and Col4 = date '""&amp;YEAR(C265)&amp;""-""&amp;MONTH(C265)&amp;""-""&amp;DAY(C265)&amp;""'""))&gt;0,""Depositada"",if(sum(QUERY(IMPORTRANGE(""https://docs.google.com/spreadsheets/d/1ykfbEpHEAAZVCgujsGjRFJRCTULkzlWa8UjdyLzkDBM"",""BD M Sangrias!a:i""),""select Col6 whe"&amp;"re Col7 = 'Caixa Atendimento' and Col9 = '""&amp;K265&amp;""' and Col6 = ""&amp;M265&amp;"" and Col4 = date '""&amp;YEAR(C265)&amp;""-""&amp;MONTH(C265)&amp;""-""&amp;DAY(C265)&amp;""'""))&gt;0,""Caixa Atendimento"",""Caixa Sangria"")),""""),""Caixa Sangria"")"),"")</f>
        <v/>
      </c>
      <c r="M265" s="185" t="str">
        <f>IFERROR(__xludf.DUMMYFUNCTION("ifna(VALUE(REGEXEXTRACT(E265,""[0-9.]+[,]+[0-9]+"")))"),"")</f>
        <v/>
      </c>
      <c r="N265" s="185"/>
      <c r="O265" s="185"/>
      <c r="P265" s="185"/>
      <c r="Q265" s="185"/>
      <c r="R265" s="185"/>
      <c r="S265" s="185"/>
      <c r="T265" s="185"/>
      <c r="U265" s="185"/>
      <c r="V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184" t="str">
        <f>IFERROR(__xludf.DUMMYFUNCTION("ifna(IF(and(D266=""Saída"",J266=""Sangria""),if(sum(QUERY(IMPORTRANGE(""https://docs.google.com/spreadsheets/d/1ykfbEpHEAAZVCgujsGjRFJRCTULkzlWa8UjdyLzkDBM"",""BD M Sangrias!a:i""),""select Col6 where Col7 = 'Depositada' and Col9 = '""&amp;K266&amp;""' and Col6 ="&amp;" ""&amp;M266&amp;"" and Col4 = date '""&amp;YEAR(C266)&amp;""-""&amp;MONTH(C266)&amp;""-""&amp;DAY(C266)&amp;""'""))&gt;0,""Depositada"",if(sum(QUERY(IMPORTRANGE(""https://docs.google.com/spreadsheets/d/1ykfbEpHEAAZVCgujsGjRFJRCTULkzlWa8UjdyLzkDBM"",""BD M Sangrias!a:i""),""select Col6 whe"&amp;"re Col7 = 'Caixa Atendimento' and Col9 = '""&amp;K266&amp;""' and Col6 = ""&amp;M266&amp;"" and Col4 = date '""&amp;YEAR(C266)&amp;""-""&amp;MONTH(C266)&amp;""-""&amp;DAY(C266)&amp;""'""))&gt;0,""Caixa Atendimento"",""Caixa Sangria"")),""""),""Caixa Sangria"")"),"")</f>
        <v/>
      </c>
      <c r="M266" s="185" t="str">
        <f>IFERROR(__xludf.DUMMYFUNCTION("ifna(VALUE(REGEXEXTRACT(E266,""[0-9.]+[,]+[0-9]+"")))"),"")</f>
        <v/>
      </c>
      <c r="N266" s="185"/>
      <c r="O266" s="185"/>
      <c r="P266" s="185"/>
      <c r="Q266" s="185"/>
      <c r="R266" s="185"/>
      <c r="S266" s="185"/>
      <c r="T266" s="185"/>
      <c r="U266" s="185"/>
      <c r="V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184" t="str">
        <f>IFERROR(__xludf.DUMMYFUNCTION("ifna(IF(and(D267=""Saída"",J267=""Sangria""),if(sum(QUERY(IMPORTRANGE(""https://docs.google.com/spreadsheets/d/1ykfbEpHEAAZVCgujsGjRFJRCTULkzlWa8UjdyLzkDBM"",""BD M Sangrias!a:i""),""select Col6 where Col7 = 'Depositada' and Col9 = '""&amp;K267&amp;""' and Col6 ="&amp;" ""&amp;M267&amp;"" and Col4 = date '""&amp;YEAR(C267)&amp;""-""&amp;MONTH(C267)&amp;""-""&amp;DAY(C267)&amp;""'""))&gt;0,""Depositada"",if(sum(QUERY(IMPORTRANGE(""https://docs.google.com/spreadsheets/d/1ykfbEpHEAAZVCgujsGjRFJRCTULkzlWa8UjdyLzkDBM"",""BD M Sangrias!a:i""),""select Col6 whe"&amp;"re Col7 = 'Caixa Atendimento' and Col9 = '""&amp;K267&amp;""' and Col6 = ""&amp;M267&amp;"" and Col4 = date '""&amp;YEAR(C267)&amp;""-""&amp;MONTH(C267)&amp;""-""&amp;DAY(C267)&amp;""'""))&gt;0,""Caixa Atendimento"",""Caixa Sangria"")),""""),""Caixa Sangria"")"),"")</f>
        <v/>
      </c>
      <c r="M267" s="185" t="str">
        <f>IFERROR(__xludf.DUMMYFUNCTION("ifna(VALUE(REGEXEXTRACT(E267,""[0-9.]+[,]+[0-9]+"")))"),"")</f>
        <v/>
      </c>
      <c r="N267" s="185"/>
      <c r="O267" s="185"/>
      <c r="P267" s="185"/>
      <c r="Q267" s="185"/>
      <c r="R267" s="185"/>
      <c r="S267" s="185"/>
      <c r="T267" s="185"/>
      <c r="U267" s="185"/>
      <c r="V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184" t="str">
        <f>IFERROR(__xludf.DUMMYFUNCTION("ifna(IF(and(D268=""Saída"",J268=""Sangria""),if(sum(QUERY(IMPORTRANGE(""https://docs.google.com/spreadsheets/d/1ykfbEpHEAAZVCgujsGjRFJRCTULkzlWa8UjdyLzkDBM"",""BD M Sangrias!a:i""),""select Col6 where Col7 = 'Depositada' and Col9 = '""&amp;K268&amp;""' and Col6 ="&amp;" ""&amp;M268&amp;"" and Col4 = date '""&amp;YEAR(C268)&amp;""-""&amp;MONTH(C268)&amp;""-""&amp;DAY(C268)&amp;""'""))&gt;0,""Depositada"",if(sum(QUERY(IMPORTRANGE(""https://docs.google.com/spreadsheets/d/1ykfbEpHEAAZVCgujsGjRFJRCTULkzlWa8UjdyLzkDBM"",""BD M Sangrias!a:i""),""select Col6 whe"&amp;"re Col7 = 'Caixa Atendimento' and Col9 = '""&amp;K268&amp;""' and Col6 = ""&amp;M268&amp;"" and Col4 = date '""&amp;YEAR(C268)&amp;""-""&amp;MONTH(C268)&amp;""-""&amp;DAY(C268)&amp;""'""))&gt;0,""Caixa Atendimento"",""Caixa Sangria"")),""""),""Caixa Sangria"")"),"")</f>
        <v/>
      </c>
      <c r="M268" s="185" t="str">
        <f>IFERROR(__xludf.DUMMYFUNCTION("ifna(VALUE(REGEXEXTRACT(E268,""[0-9.]+[,]+[0-9]+"")))"),"")</f>
        <v/>
      </c>
      <c r="N268" s="185"/>
      <c r="O268" s="185"/>
      <c r="P268" s="185"/>
      <c r="Q268" s="185"/>
      <c r="R268" s="185"/>
      <c r="S268" s="185"/>
      <c r="T268" s="185"/>
      <c r="U268" s="185"/>
      <c r="V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184" t="str">
        <f>IFERROR(__xludf.DUMMYFUNCTION("ifna(IF(and(D269=""Saída"",J269=""Sangria""),if(sum(QUERY(IMPORTRANGE(""https://docs.google.com/spreadsheets/d/1ykfbEpHEAAZVCgujsGjRFJRCTULkzlWa8UjdyLzkDBM"",""BD M Sangrias!a:i""),""select Col6 where Col7 = 'Depositada' and Col9 = '""&amp;K269&amp;""' and Col6 ="&amp;" ""&amp;M269&amp;"" and Col4 = date '""&amp;YEAR(C269)&amp;""-""&amp;MONTH(C269)&amp;""-""&amp;DAY(C269)&amp;""'""))&gt;0,""Depositada"",if(sum(QUERY(IMPORTRANGE(""https://docs.google.com/spreadsheets/d/1ykfbEpHEAAZVCgujsGjRFJRCTULkzlWa8UjdyLzkDBM"",""BD M Sangrias!a:i""),""select Col6 whe"&amp;"re Col7 = 'Caixa Atendimento' and Col9 = '""&amp;K269&amp;""' and Col6 = ""&amp;M269&amp;"" and Col4 = date '""&amp;YEAR(C269)&amp;""-""&amp;MONTH(C269)&amp;""-""&amp;DAY(C269)&amp;""'""))&gt;0,""Caixa Atendimento"",""Caixa Sangria"")),""""),""Caixa Sangria"")"),"")</f>
        <v/>
      </c>
      <c r="M269" s="185" t="str">
        <f>IFERROR(__xludf.DUMMYFUNCTION("ifna(VALUE(REGEXEXTRACT(E269,""[0-9.]+[,]+[0-9]+"")))"),"")</f>
        <v/>
      </c>
      <c r="N269" s="185"/>
      <c r="O269" s="185"/>
      <c r="P269" s="185"/>
      <c r="Q269" s="185"/>
      <c r="R269" s="185"/>
      <c r="S269" s="185"/>
      <c r="T269" s="185"/>
      <c r="U269" s="185"/>
      <c r="V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184" t="str">
        <f>IFERROR(__xludf.DUMMYFUNCTION("ifna(IF(and(D270=""Saída"",J270=""Sangria""),if(sum(QUERY(IMPORTRANGE(""https://docs.google.com/spreadsheets/d/1ykfbEpHEAAZVCgujsGjRFJRCTULkzlWa8UjdyLzkDBM"",""BD M Sangrias!a:i""),""select Col6 where Col7 = 'Depositada' and Col9 = '""&amp;K270&amp;""' and Col6 ="&amp;" ""&amp;M270&amp;"" and Col4 = date '""&amp;YEAR(C270)&amp;""-""&amp;MONTH(C270)&amp;""-""&amp;DAY(C270)&amp;""'""))&gt;0,""Depositada"",if(sum(QUERY(IMPORTRANGE(""https://docs.google.com/spreadsheets/d/1ykfbEpHEAAZVCgujsGjRFJRCTULkzlWa8UjdyLzkDBM"",""BD M Sangrias!a:i""),""select Col6 whe"&amp;"re Col7 = 'Caixa Atendimento' and Col9 = '""&amp;K270&amp;""' and Col6 = ""&amp;M270&amp;"" and Col4 = date '""&amp;YEAR(C270)&amp;""-""&amp;MONTH(C270)&amp;""-""&amp;DAY(C270)&amp;""'""))&gt;0,""Caixa Atendimento"",""Caixa Sangria"")),""""),""Caixa Sangria"")"),"")</f>
        <v/>
      </c>
      <c r="M270" s="185" t="str">
        <f>IFERROR(__xludf.DUMMYFUNCTION("ifna(VALUE(REGEXEXTRACT(E270,""[0-9.]+[,]+[0-9]+"")))"),"")</f>
        <v/>
      </c>
      <c r="N270" s="185"/>
      <c r="O270" s="185"/>
      <c r="P270" s="185"/>
      <c r="Q270" s="185"/>
      <c r="R270" s="185"/>
      <c r="S270" s="185"/>
      <c r="T270" s="185"/>
      <c r="U270" s="185"/>
      <c r="V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184" t="str">
        <f>IFERROR(__xludf.DUMMYFUNCTION("ifna(IF(and(D271=""Saída"",J271=""Sangria""),if(sum(QUERY(IMPORTRANGE(""https://docs.google.com/spreadsheets/d/1ykfbEpHEAAZVCgujsGjRFJRCTULkzlWa8UjdyLzkDBM"",""BD M Sangrias!a:i""),""select Col6 where Col7 = 'Depositada' and Col9 = '""&amp;K271&amp;""' and Col6 ="&amp;" ""&amp;M271&amp;"" and Col4 = date '""&amp;YEAR(C271)&amp;""-""&amp;MONTH(C271)&amp;""-""&amp;DAY(C271)&amp;""'""))&gt;0,""Depositada"",if(sum(QUERY(IMPORTRANGE(""https://docs.google.com/spreadsheets/d/1ykfbEpHEAAZVCgujsGjRFJRCTULkzlWa8UjdyLzkDBM"",""BD M Sangrias!a:i""),""select Col6 whe"&amp;"re Col7 = 'Caixa Atendimento' and Col9 = '""&amp;K271&amp;""' and Col6 = ""&amp;M271&amp;"" and Col4 = date '""&amp;YEAR(C271)&amp;""-""&amp;MONTH(C271)&amp;""-""&amp;DAY(C271)&amp;""'""))&gt;0,""Caixa Atendimento"",""Caixa Sangria"")),""""),""Caixa Sangria"")"),"")</f>
        <v/>
      </c>
      <c r="M271" s="185" t="str">
        <f>IFERROR(__xludf.DUMMYFUNCTION("ifna(VALUE(REGEXEXTRACT(E271,""[0-9.]+[,]+[0-9]+"")))"),"")</f>
        <v/>
      </c>
      <c r="N271" s="185"/>
      <c r="O271" s="185"/>
      <c r="P271" s="185"/>
      <c r="Q271" s="185"/>
      <c r="R271" s="185"/>
      <c r="S271" s="185"/>
      <c r="T271" s="185"/>
      <c r="U271" s="185"/>
      <c r="V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184" t="str">
        <f>IFERROR(__xludf.DUMMYFUNCTION("ifna(IF(and(D272=""Saída"",J272=""Sangria""),if(sum(QUERY(IMPORTRANGE(""https://docs.google.com/spreadsheets/d/1ykfbEpHEAAZVCgujsGjRFJRCTULkzlWa8UjdyLzkDBM"",""BD M Sangrias!a:i""),""select Col6 where Col7 = 'Depositada' and Col9 = '""&amp;K272&amp;""' and Col6 ="&amp;" ""&amp;M272&amp;"" and Col4 = date '""&amp;YEAR(C272)&amp;""-""&amp;MONTH(C272)&amp;""-""&amp;DAY(C272)&amp;""'""))&gt;0,""Depositada"",if(sum(QUERY(IMPORTRANGE(""https://docs.google.com/spreadsheets/d/1ykfbEpHEAAZVCgujsGjRFJRCTULkzlWa8UjdyLzkDBM"",""BD M Sangrias!a:i""),""select Col6 whe"&amp;"re Col7 = 'Caixa Atendimento' and Col9 = '""&amp;K272&amp;""' and Col6 = ""&amp;M272&amp;"" and Col4 = date '""&amp;YEAR(C272)&amp;""-""&amp;MONTH(C272)&amp;""-""&amp;DAY(C272)&amp;""'""))&gt;0,""Caixa Atendimento"",""Caixa Sangria"")),""""),""Caixa Sangria"")"),"")</f>
        <v/>
      </c>
      <c r="M272" s="185" t="str">
        <f>IFERROR(__xludf.DUMMYFUNCTION("ifna(VALUE(REGEXEXTRACT(E272,""[0-9.]+[,]+[0-9]+"")))"),"")</f>
        <v/>
      </c>
      <c r="N272" s="185"/>
      <c r="O272" s="185"/>
      <c r="P272" s="185"/>
      <c r="Q272" s="185"/>
      <c r="R272" s="185"/>
      <c r="S272" s="185"/>
      <c r="T272" s="185"/>
      <c r="U272" s="185"/>
      <c r="V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184" t="str">
        <f>IFERROR(__xludf.DUMMYFUNCTION("ifna(IF(and(D273=""Saída"",J273=""Sangria""),if(sum(QUERY(IMPORTRANGE(""https://docs.google.com/spreadsheets/d/1ykfbEpHEAAZVCgujsGjRFJRCTULkzlWa8UjdyLzkDBM"",""BD M Sangrias!a:i""),""select Col6 where Col7 = 'Depositada' and Col9 = '""&amp;K273&amp;""' and Col6 ="&amp;" ""&amp;M273&amp;"" and Col4 = date '""&amp;YEAR(C273)&amp;""-""&amp;MONTH(C273)&amp;""-""&amp;DAY(C273)&amp;""'""))&gt;0,""Depositada"",if(sum(QUERY(IMPORTRANGE(""https://docs.google.com/spreadsheets/d/1ykfbEpHEAAZVCgujsGjRFJRCTULkzlWa8UjdyLzkDBM"",""BD M Sangrias!a:i""),""select Col6 whe"&amp;"re Col7 = 'Caixa Atendimento' and Col9 = '""&amp;K273&amp;""' and Col6 = ""&amp;M273&amp;"" and Col4 = date '""&amp;YEAR(C273)&amp;""-""&amp;MONTH(C273)&amp;""-""&amp;DAY(C273)&amp;""'""))&gt;0,""Caixa Atendimento"",""Caixa Sangria"")),""""),""Caixa Sangria"")"),"")</f>
        <v/>
      </c>
      <c r="M273" s="185" t="str">
        <f>IFERROR(__xludf.DUMMYFUNCTION("ifna(VALUE(REGEXEXTRACT(E273,""[0-9.]+[,]+[0-9]+"")))"),"")</f>
        <v/>
      </c>
      <c r="N273" s="185"/>
      <c r="O273" s="185"/>
      <c r="P273" s="185"/>
      <c r="Q273" s="185"/>
      <c r="R273" s="185"/>
      <c r="S273" s="185"/>
      <c r="T273" s="185"/>
      <c r="U273" s="185"/>
      <c r="V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184" t="str">
        <f>IFERROR(__xludf.DUMMYFUNCTION("ifna(IF(and(D274=""Saída"",J274=""Sangria""),if(sum(QUERY(IMPORTRANGE(""https://docs.google.com/spreadsheets/d/1ykfbEpHEAAZVCgujsGjRFJRCTULkzlWa8UjdyLzkDBM"",""BD M Sangrias!a:i""),""select Col6 where Col7 = 'Depositada' and Col9 = '""&amp;K274&amp;""' and Col6 ="&amp;" ""&amp;M274&amp;"" and Col4 = date '""&amp;YEAR(C274)&amp;""-""&amp;MONTH(C274)&amp;""-""&amp;DAY(C274)&amp;""'""))&gt;0,""Depositada"",if(sum(QUERY(IMPORTRANGE(""https://docs.google.com/spreadsheets/d/1ykfbEpHEAAZVCgujsGjRFJRCTULkzlWa8UjdyLzkDBM"",""BD M Sangrias!a:i""),""select Col6 whe"&amp;"re Col7 = 'Caixa Atendimento' and Col9 = '""&amp;K274&amp;""' and Col6 = ""&amp;M274&amp;"" and Col4 = date '""&amp;YEAR(C274)&amp;""-""&amp;MONTH(C274)&amp;""-""&amp;DAY(C274)&amp;""'""))&gt;0,""Caixa Atendimento"",""Caixa Sangria"")),""""),""Caixa Sangria"")"),"")</f>
        <v/>
      </c>
      <c r="M274" s="185" t="str">
        <f>IFERROR(__xludf.DUMMYFUNCTION("ifna(VALUE(REGEXEXTRACT(E274,""[0-9.]+[,]+[0-9]+"")))"),"")</f>
        <v/>
      </c>
      <c r="N274" s="185"/>
      <c r="O274" s="185"/>
      <c r="P274" s="185"/>
      <c r="Q274" s="185"/>
      <c r="R274" s="185"/>
      <c r="S274" s="185"/>
      <c r="T274" s="185"/>
      <c r="U274" s="185"/>
      <c r="V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184" t="str">
        <f>IFERROR(__xludf.DUMMYFUNCTION("ifna(IF(and(D275=""Saída"",J275=""Sangria""),if(sum(QUERY(IMPORTRANGE(""https://docs.google.com/spreadsheets/d/1ykfbEpHEAAZVCgujsGjRFJRCTULkzlWa8UjdyLzkDBM"",""BD M Sangrias!a:i""),""select Col6 where Col7 = 'Depositada' and Col9 = '""&amp;K275&amp;""' and Col6 ="&amp;" ""&amp;M275&amp;"" and Col4 = date '""&amp;YEAR(C275)&amp;""-""&amp;MONTH(C275)&amp;""-""&amp;DAY(C275)&amp;""'""))&gt;0,""Depositada"",if(sum(QUERY(IMPORTRANGE(""https://docs.google.com/spreadsheets/d/1ykfbEpHEAAZVCgujsGjRFJRCTULkzlWa8UjdyLzkDBM"",""BD M Sangrias!a:i""),""select Col6 whe"&amp;"re Col7 = 'Caixa Atendimento' and Col9 = '""&amp;K275&amp;""' and Col6 = ""&amp;M275&amp;"" and Col4 = date '""&amp;YEAR(C275)&amp;""-""&amp;MONTH(C275)&amp;""-""&amp;DAY(C275)&amp;""'""))&gt;0,""Caixa Atendimento"",""Caixa Sangria"")),""""),""Caixa Sangria"")"),"")</f>
        <v/>
      </c>
      <c r="M275" s="185" t="str">
        <f>IFERROR(__xludf.DUMMYFUNCTION("ifna(VALUE(REGEXEXTRACT(E275,""[0-9.]+[,]+[0-9]+"")))"),"")</f>
        <v/>
      </c>
      <c r="N275" s="185"/>
      <c r="O275" s="185"/>
      <c r="P275" s="185"/>
      <c r="Q275" s="185"/>
      <c r="R275" s="185"/>
      <c r="S275" s="185"/>
      <c r="T275" s="185"/>
      <c r="U275" s="185"/>
      <c r="V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184" t="str">
        <f>IFERROR(__xludf.DUMMYFUNCTION("ifna(IF(and(D276=""Saída"",J276=""Sangria""),if(sum(QUERY(IMPORTRANGE(""https://docs.google.com/spreadsheets/d/1ykfbEpHEAAZVCgujsGjRFJRCTULkzlWa8UjdyLzkDBM"",""BD M Sangrias!a:i""),""select Col6 where Col7 = 'Depositada' and Col9 = '""&amp;K276&amp;""' and Col6 ="&amp;" ""&amp;M276&amp;"" and Col4 = date '""&amp;YEAR(C276)&amp;""-""&amp;MONTH(C276)&amp;""-""&amp;DAY(C276)&amp;""'""))&gt;0,""Depositada"",if(sum(QUERY(IMPORTRANGE(""https://docs.google.com/spreadsheets/d/1ykfbEpHEAAZVCgujsGjRFJRCTULkzlWa8UjdyLzkDBM"",""BD M Sangrias!a:i""),""select Col6 whe"&amp;"re Col7 = 'Caixa Atendimento' and Col9 = '""&amp;K276&amp;""' and Col6 = ""&amp;M276&amp;"" and Col4 = date '""&amp;YEAR(C276)&amp;""-""&amp;MONTH(C276)&amp;""-""&amp;DAY(C276)&amp;""'""))&gt;0,""Caixa Atendimento"",""Caixa Sangria"")),""""),""Caixa Sangria"")"),"")</f>
        <v/>
      </c>
      <c r="M276" s="185" t="str">
        <f>IFERROR(__xludf.DUMMYFUNCTION("ifna(VALUE(REGEXEXTRACT(E276,""[0-9.]+[,]+[0-9]+"")))"),"")</f>
        <v/>
      </c>
      <c r="N276" s="185"/>
      <c r="O276" s="185"/>
      <c r="P276" s="185"/>
      <c r="Q276" s="185"/>
      <c r="R276" s="185"/>
      <c r="S276" s="185"/>
      <c r="T276" s="185"/>
      <c r="U276" s="185"/>
      <c r="V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184" t="str">
        <f>IFERROR(__xludf.DUMMYFUNCTION("ifna(IF(and(D277=""Saída"",J277=""Sangria""),if(sum(QUERY(IMPORTRANGE(""https://docs.google.com/spreadsheets/d/1ykfbEpHEAAZVCgujsGjRFJRCTULkzlWa8UjdyLzkDBM"",""BD M Sangrias!a:i""),""select Col6 where Col7 = 'Depositada' and Col9 = '""&amp;K277&amp;""' and Col6 ="&amp;" ""&amp;M277&amp;"" and Col4 = date '""&amp;YEAR(C277)&amp;""-""&amp;MONTH(C277)&amp;""-""&amp;DAY(C277)&amp;""'""))&gt;0,""Depositada"",if(sum(QUERY(IMPORTRANGE(""https://docs.google.com/spreadsheets/d/1ykfbEpHEAAZVCgujsGjRFJRCTULkzlWa8UjdyLzkDBM"",""BD M Sangrias!a:i""),""select Col6 whe"&amp;"re Col7 = 'Caixa Atendimento' and Col9 = '""&amp;K277&amp;""' and Col6 = ""&amp;M277&amp;"" and Col4 = date '""&amp;YEAR(C277)&amp;""-""&amp;MONTH(C277)&amp;""-""&amp;DAY(C277)&amp;""'""))&gt;0,""Caixa Atendimento"",""Caixa Sangria"")),""""),""Caixa Sangria"")"),"")</f>
        <v/>
      </c>
      <c r="M277" s="185" t="str">
        <f>IFERROR(__xludf.DUMMYFUNCTION("ifna(VALUE(REGEXEXTRACT(E277,""[0-9.]+[,]+[0-9]+"")))"),"")</f>
        <v/>
      </c>
      <c r="N277" s="185"/>
      <c r="O277" s="185"/>
      <c r="P277" s="185"/>
      <c r="Q277" s="185"/>
      <c r="R277" s="185"/>
      <c r="S277" s="185"/>
      <c r="T277" s="185"/>
      <c r="U277" s="185"/>
      <c r="V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184" t="str">
        <f>IFERROR(__xludf.DUMMYFUNCTION("ifna(IF(and(D278=""Saída"",J278=""Sangria""),if(sum(QUERY(IMPORTRANGE(""https://docs.google.com/spreadsheets/d/1ykfbEpHEAAZVCgujsGjRFJRCTULkzlWa8UjdyLzkDBM"",""BD M Sangrias!a:i""),""select Col6 where Col7 = 'Depositada' and Col9 = '""&amp;K278&amp;""' and Col6 ="&amp;" ""&amp;M278&amp;"" and Col4 = date '""&amp;YEAR(C278)&amp;""-""&amp;MONTH(C278)&amp;""-""&amp;DAY(C278)&amp;""'""))&gt;0,""Depositada"",if(sum(QUERY(IMPORTRANGE(""https://docs.google.com/spreadsheets/d/1ykfbEpHEAAZVCgujsGjRFJRCTULkzlWa8UjdyLzkDBM"",""BD M Sangrias!a:i""),""select Col6 whe"&amp;"re Col7 = 'Caixa Atendimento' and Col9 = '""&amp;K278&amp;""' and Col6 = ""&amp;M278&amp;"" and Col4 = date '""&amp;YEAR(C278)&amp;""-""&amp;MONTH(C278)&amp;""-""&amp;DAY(C278)&amp;""'""))&gt;0,""Caixa Atendimento"",""Caixa Sangria"")),""""),""Caixa Sangria"")"),"")</f>
        <v/>
      </c>
      <c r="M278" s="185" t="str">
        <f>IFERROR(__xludf.DUMMYFUNCTION("ifna(VALUE(REGEXEXTRACT(E278,""[0-9.]+[,]+[0-9]+"")))"),"")</f>
        <v/>
      </c>
      <c r="N278" s="185"/>
      <c r="O278" s="185"/>
      <c r="P278" s="185"/>
      <c r="Q278" s="185"/>
      <c r="R278" s="185"/>
      <c r="S278" s="185"/>
      <c r="T278" s="185"/>
      <c r="U278" s="185"/>
      <c r="V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184" t="str">
        <f>IFERROR(__xludf.DUMMYFUNCTION("ifna(IF(and(D279=""Saída"",J279=""Sangria""),if(sum(QUERY(IMPORTRANGE(""https://docs.google.com/spreadsheets/d/1ykfbEpHEAAZVCgujsGjRFJRCTULkzlWa8UjdyLzkDBM"",""BD M Sangrias!a:i""),""select Col6 where Col7 = 'Depositada' and Col9 = '""&amp;K279&amp;""' and Col6 ="&amp;" ""&amp;M279&amp;"" and Col4 = date '""&amp;YEAR(C279)&amp;""-""&amp;MONTH(C279)&amp;""-""&amp;DAY(C279)&amp;""'""))&gt;0,""Depositada"",if(sum(QUERY(IMPORTRANGE(""https://docs.google.com/spreadsheets/d/1ykfbEpHEAAZVCgujsGjRFJRCTULkzlWa8UjdyLzkDBM"",""BD M Sangrias!a:i""),""select Col6 whe"&amp;"re Col7 = 'Caixa Atendimento' and Col9 = '""&amp;K279&amp;""' and Col6 = ""&amp;M279&amp;"" and Col4 = date '""&amp;YEAR(C279)&amp;""-""&amp;MONTH(C279)&amp;""-""&amp;DAY(C279)&amp;""'""))&gt;0,""Caixa Atendimento"",""Caixa Sangria"")),""""),""Caixa Sangria"")"),"")</f>
        <v/>
      </c>
      <c r="M279" s="185" t="str">
        <f>IFERROR(__xludf.DUMMYFUNCTION("ifna(VALUE(REGEXEXTRACT(E279,""[0-9.]+[,]+[0-9]+"")))"),"")</f>
        <v/>
      </c>
      <c r="N279" s="185"/>
      <c r="O279" s="185"/>
      <c r="P279" s="185"/>
      <c r="Q279" s="185"/>
      <c r="R279" s="185"/>
      <c r="S279" s="185"/>
      <c r="T279" s="185"/>
      <c r="U279" s="185"/>
      <c r="V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184" t="str">
        <f>IFERROR(__xludf.DUMMYFUNCTION("ifna(IF(and(D280=""Saída"",J280=""Sangria""),if(sum(QUERY(IMPORTRANGE(""https://docs.google.com/spreadsheets/d/1ykfbEpHEAAZVCgujsGjRFJRCTULkzlWa8UjdyLzkDBM"",""BD M Sangrias!a:i""),""select Col6 where Col7 = 'Depositada' and Col9 = '""&amp;K280&amp;""' and Col6 ="&amp;" ""&amp;M280&amp;"" and Col4 = date '""&amp;YEAR(C280)&amp;""-""&amp;MONTH(C280)&amp;""-""&amp;DAY(C280)&amp;""'""))&gt;0,""Depositada"",if(sum(QUERY(IMPORTRANGE(""https://docs.google.com/spreadsheets/d/1ykfbEpHEAAZVCgujsGjRFJRCTULkzlWa8UjdyLzkDBM"",""BD M Sangrias!a:i""),""select Col6 whe"&amp;"re Col7 = 'Caixa Atendimento' and Col9 = '""&amp;K280&amp;""' and Col6 = ""&amp;M280&amp;"" and Col4 = date '""&amp;YEAR(C280)&amp;""-""&amp;MONTH(C280)&amp;""-""&amp;DAY(C280)&amp;""'""))&gt;0,""Caixa Atendimento"",""Caixa Sangria"")),""""),""Caixa Sangria"")"),"")</f>
        <v/>
      </c>
      <c r="M280" s="185" t="str">
        <f>IFERROR(__xludf.DUMMYFUNCTION("ifna(VALUE(REGEXEXTRACT(E280,""[0-9.]+[,]+[0-9]+"")))"),"")</f>
        <v/>
      </c>
      <c r="N280" s="185"/>
      <c r="O280" s="185"/>
      <c r="P280" s="185"/>
      <c r="Q280" s="185"/>
      <c r="R280" s="185"/>
      <c r="S280" s="185"/>
      <c r="T280" s="185"/>
      <c r="U280" s="185"/>
      <c r="V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184" t="str">
        <f>IFERROR(__xludf.DUMMYFUNCTION("ifna(IF(and(D281=""Saída"",J281=""Sangria""),if(sum(QUERY(IMPORTRANGE(""https://docs.google.com/spreadsheets/d/1ykfbEpHEAAZVCgujsGjRFJRCTULkzlWa8UjdyLzkDBM"",""BD M Sangrias!a:i""),""select Col6 where Col7 = 'Depositada' and Col9 = '""&amp;K281&amp;""' and Col6 ="&amp;" ""&amp;M281&amp;"" and Col4 = date '""&amp;YEAR(C281)&amp;""-""&amp;MONTH(C281)&amp;""-""&amp;DAY(C281)&amp;""'""))&gt;0,""Depositada"",if(sum(QUERY(IMPORTRANGE(""https://docs.google.com/spreadsheets/d/1ykfbEpHEAAZVCgujsGjRFJRCTULkzlWa8UjdyLzkDBM"",""BD M Sangrias!a:i""),""select Col6 whe"&amp;"re Col7 = 'Caixa Atendimento' and Col9 = '""&amp;K281&amp;""' and Col6 = ""&amp;M281&amp;"" and Col4 = date '""&amp;YEAR(C281)&amp;""-""&amp;MONTH(C281)&amp;""-""&amp;DAY(C281)&amp;""'""))&gt;0,""Caixa Atendimento"",""Caixa Sangria"")),""""),""Caixa Sangria"")"),"")</f>
        <v/>
      </c>
      <c r="M281" s="185" t="str">
        <f>IFERROR(__xludf.DUMMYFUNCTION("ifna(VALUE(REGEXEXTRACT(E281,""[0-9.]+[,]+[0-9]+"")))"),"")</f>
        <v/>
      </c>
      <c r="N281" s="185"/>
      <c r="O281" s="185"/>
      <c r="P281" s="185"/>
      <c r="Q281" s="185"/>
      <c r="R281" s="185"/>
      <c r="S281" s="185"/>
      <c r="T281" s="185"/>
      <c r="U281" s="185"/>
      <c r="V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184" t="str">
        <f>IFERROR(__xludf.DUMMYFUNCTION("ifna(IF(and(D282=""Saída"",J282=""Sangria""),if(sum(QUERY(IMPORTRANGE(""https://docs.google.com/spreadsheets/d/1ykfbEpHEAAZVCgujsGjRFJRCTULkzlWa8UjdyLzkDBM"",""BD M Sangrias!a:i""),""select Col6 where Col7 = 'Depositada' and Col9 = '""&amp;K282&amp;""' and Col6 ="&amp;" ""&amp;M282&amp;"" and Col4 = date '""&amp;YEAR(C282)&amp;""-""&amp;MONTH(C282)&amp;""-""&amp;DAY(C282)&amp;""'""))&gt;0,""Depositada"",if(sum(QUERY(IMPORTRANGE(""https://docs.google.com/spreadsheets/d/1ykfbEpHEAAZVCgujsGjRFJRCTULkzlWa8UjdyLzkDBM"",""BD M Sangrias!a:i""),""select Col6 whe"&amp;"re Col7 = 'Caixa Atendimento' and Col9 = '""&amp;K282&amp;""' and Col6 = ""&amp;M282&amp;"" and Col4 = date '""&amp;YEAR(C282)&amp;""-""&amp;MONTH(C282)&amp;""-""&amp;DAY(C282)&amp;""'""))&gt;0,""Caixa Atendimento"",""Caixa Sangria"")),""""),""Caixa Sangria"")"),"")</f>
        <v/>
      </c>
      <c r="M282" s="185" t="str">
        <f>IFERROR(__xludf.DUMMYFUNCTION("ifna(VALUE(REGEXEXTRACT(E282,""[0-9.]+[,]+[0-9]+"")))"),"")</f>
        <v/>
      </c>
      <c r="N282" s="185"/>
      <c r="O282" s="185"/>
      <c r="P282" s="185"/>
      <c r="Q282" s="185"/>
      <c r="R282" s="185"/>
      <c r="S282" s="185"/>
      <c r="T282" s="185"/>
      <c r="U282" s="185"/>
      <c r="V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184" t="str">
        <f>IFERROR(__xludf.DUMMYFUNCTION("ifna(IF(and(D283=""Saída"",J283=""Sangria""),if(sum(QUERY(IMPORTRANGE(""https://docs.google.com/spreadsheets/d/1ykfbEpHEAAZVCgujsGjRFJRCTULkzlWa8UjdyLzkDBM"",""BD M Sangrias!a:i""),""select Col6 where Col7 = 'Depositada' and Col9 = '""&amp;K283&amp;""' and Col6 ="&amp;" ""&amp;M283&amp;"" and Col4 = date '""&amp;YEAR(C283)&amp;""-""&amp;MONTH(C283)&amp;""-""&amp;DAY(C283)&amp;""'""))&gt;0,""Depositada"",if(sum(QUERY(IMPORTRANGE(""https://docs.google.com/spreadsheets/d/1ykfbEpHEAAZVCgujsGjRFJRCTULkzlWa8UjdyLzkDBM"",""BD M Sangrias!a:i""),""select Col6 whe"&amp;"re Col7 = 'Caixa Atendimento' and Col9 = '""&amp;K283&amp;""' and Col6 = ""&amp;M283&amp;"" and Col4 = date '""&amp;YEAR(C283)&amp;""-""&amp;MONTH(C283)&amp;""-""&amp;DAY(C283)&amp;""'""))&gt;0,""Caixa Atendimento"",""Caixa Sangria"")),""""),""Caixa Sangria"")"),"")</f>
        <v/>
      </c>
      <c r="M283" s="185" t="str">
        <f>IFERROR(__xludf.DUMMYFUNCTION("ifna(VALUE(REGEXEXTRACT(E283,""[0-9.]+[,]+[0-9]+"")))"),"")</f>
        <v/>
      </c>
      <c r="N283" s="185"/>
      <c r="O283" s="185"/>
      <c r="P283" s="185"/>
      <c r="Q283" s="185"/>
      <c r="R283" s="185"/>
      <c r="S283" s="185"/>
      <c r="T283" s="185"/>
      <c r="U283" s="185"/>
      <c r="V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184" t="str">
        <f>IFERROR(__xludf.DUMMYFUNCTION("ifna(IF(and(D284=""Saída"",J284=""Sangria""),if(sum(QUERY(IMPORTRANGE(""https://docs.google.com/spreadsheets/d/1ykfbEpHEAAZVCgujsGjRFJRCTULkzlWa8UjdyLzkDBM"",""BD M Sangrias!a:i""),""select Col6 where Col7 = 'Depositada' and Col9 = '""&amp;K284&amp;""' and Col6 ="&amp;" ""&amp;M284&amp;"" and Col4 = date '""&amp;YEAR(C284)&amp;""-""&amp;MONTH(C284)&amp;""-""&amp;DAY(C284)&amp;""'""))&gt;0,""Depositada"",if(sum(QUERY(IMPORTRANGE(""https://docs.google.com/spreadsheets/d/1ykfbEpHEAAZVCgujsGjRFJRCTULkzlWa8UjdyLzkDBM"",""BD M Sangrias!a:i""),""select Col6 whe"&amp;"re Col7 = 'Caixa Atendimento' and Col9 = '""&amp;K284&amp;""' and Col6 = ""&amp;M284&amp;"" and Col4 = date '""&amp;YEAR(C284)&amp;""-""&amp;MONTH(C284)&amp;""-""&amp;DAY(C284)&amp;""'""))&gt;0,""Caixa Atendimento"",""Caixa Sangria"")),""""),""Caixa Sangria"")"),"")</f>
        <v/>
      </c>
      <c r="M284" s="185" t="str">
        <f>IFERROR(__xludf.DUMMYFUNCTION("ifna(VALUE(REGEXEXTRACT(E284,""[0-9.]+[,]+[0-9]+"")))"),"")</f>
        <v/>
      </c>
      <c r="N284" s="185"/>
      <c r="O284" s="185"/>
      <c r="P284" s="185"/>
      <c r="Q284" s="185"/>
      <c r="R284" s="185"/>
      <c r="S284" s="185"/>
      <c r="T284" s="185"/>
      <c r="U284" s="185"/>
      <c r="V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184" t="str">
        <f>IFERROR(__xludf.DUMMYFUNCTION("ifna(IF(and(D285=""Saída"",J285=""Sangria""),if(sum(QUERY(IMPORTRANGE(""https://docs.google.com/spreadsheets/d/1ykfbEpHEAAZVCgujsGjRFJRCTULkzlWa8UjdyLzkDBM"",""BD M Sangrias!a:i""),""select Col6 where Col7 = 'Depositada' and Col9 = '""&amp;K285&amp;""' and Col6 ="&amp;" ""&amp;M285&amp;"" and Col4 = date '""&amp;YEAR(C285)&amp;""-""&amp;MONTH(C285)&amp;""-""&amp;DAY(C285)&amp;""'""))&gt;0,""Depositada"",if(sum(QUERY(IMPORTRANGE(""https://docs.google.com/spreadsheets/d/1ykfbEpHEAAZVCgujsGjRFJRCTULkzlWa8UjdyLzkDBM"",""BD M Sangrias!a:i""),""select Col6 whe"&amp;"re Col7 = 'Caixa Atendimento' and Col9 = '""&amp;K285&amp;""' and Col6 = ""&amp;M285&amp;"" and Col4 = date '""&amp;YEAR(C285)&amp;""-""&amp;MONTH(C285)&amp;""-""&amp;DAY(C285)&amp;""'""))&gt;0,""Caixa Atendimento"",""Caixa Sangria"")),""""),""Caixa Sangria"")"),"")</f>
        <v/>
      </c>
      <c r="M285" s="185" t="str">
        <f>IFERROR(__xludf.DUMMYFUNCTION("ifna(VALUE(REGEXEXTRACT(E285,""[0-9.]+[,]+[0-9]+"")))"),"")</f>
        <v/>
      </c>
      <c r="N285" s="185"/>
      <c r="O285" s="185"/>
      <c r="P285" s="185"/>
      <c r="Q285" s="185"/>
      <c r="R285" s="185"/>
      <c r="S285" s="185"/>
      <c r="T285" s="185"/>
      <c r="U285" s="185"/>
      <c r="V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184" t="str">
        <f>IFERROR(__xludf.DUMMYFUNCTION("ifna(IF(and(D286=""Saída"",J286=""Sangria""),if(sum(QUERY(IMPORTRANGE(""https://docs.google.com/spreadsheets/d/1ykfbEpHEAAZVCgujsGjRFJRCTULkzlWa8UjdyLzkDBM"",""BD M Sangrias!a:i""),""select Col6 where Col7 = 'Depositada' and Col9 = '""&amp;K286&amp;""' and Col6 ="&amp;" ""&amp;M286&amp;"" and Col4 = date '""&amp;YEAR(C286)&amp;""-""&amp;MONTH(C286)&amp;""-""&amp;DAY(C286)&amp;""'""))&gt;0,""Depositada"",if(sum(QUERY(IMPORTRANGE(""https://docs.google.com/spreadsheets/d/1ykfbEpHEAAZVCgujsGjRFJRCTULkzlWa8UjdyLzkDBM"",""BD M Sangrias!a:i""),""select Col6 whe"&amp;"re Col7 = 'Caixa Atendimento' and Col9 = '""&amp;K286&amp;""' and Col6 = ""&amp;M286&amp;"" and Col4 = date '""&amp;YEAR(C286)&amp;""-""&amp;MONTH(C286)&amp;""-""&amp;DAY(C286)&amp;""'""))&gt;0,""Caixa Atendimento"",""Caixa Sangria"")),""""),""Caixa Sangria"")"),"")</f>
        <v/>
      </c>
      <c r="M286" s="185" t="str">
        <f>IFERROR(__xludf.DUMMYFUNCTION("ifna(VALUE(REGEXEXTRACT(E286,""[0-9.]+[,]+[0-9]+"")))"),"")</f>
        <v/>
      </c>
      <c r="N286" s="185"/>
      <c r="O286" s="185"/>
      <c r="P286" s="185"/>
      <c r="Q286" s="185"/>
      <c r="R286" s="185"/>
      <c r="S286" s="185"/>
      <c r="T286" s="185"/>
      <c r="U286" s="185"/>
      <c r="V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184" t="str">
        <f>IFERROR(__xludf.DUMMYFUNCTION("ifna(IF(and(D287=""Saída"",J287=""Sangria""),if(sum(QUERY(IMPORTRANGE(""https://docs.google.com/spreadsheets/d/1ykfbEpHEAAZVCgujsGjRFJRCTULkzlWa8UjdyLzkDBM"",""BD M Sangrias!a:i""),""select Col6 where Col7 = 'Depositada' and Col9 = '""&amp;K287&amp;""' and Col6 ="&amp;" ""&amp;M287&amp;"" and Col4 = date '""&amp;YEAR(C287)&amp;""-""&amp;MONTH(C287)&amp;""-""&amp;DAY(C287)&amp;""'""))&gt;0,""Depositada"",if(sum(QUERY(IMPORTRANGE(""https://docs.google.com/spreadsheets/d/1ykfbEpHEAAZVCgujsGjRFJRCTULkzlWa8UjdyLzkDBM"",""BD M Sangrias!a:i""),""select Col6 whe"&amp;"re Col7 = 'Caixa Atendimento' and Col9 = '""&amp;K287&amp;""' and Col6 = ""&amp;M287&amp;"" and Col4 = date '""&amp;YEAR(C287)&amp;""-""&amp;MONTH(C287)&amp;""-""&amp;DAY(C287)&amp;""'""))&gt;0,""Caixa Atendimento"",""Caixa Sangria"")),""""),""Caixa Sangria"")"),"")</f>
        <v/>
      </c>
      <c r="M287" s="185" t="str">
        <f>IFERROR(__xludf.DUMMYFUNCTION("ifna(VALUE(REGEXEXTRACT(E287,""[0-9.]+[,]+[0-9]+"")))"),"")</f>
        <v/>
      </c>
      <c r="N287" s="185"/>
      <c r="O287" s="185"/>
      <c r="P287" s="185"/>
      <c r="Q287" s="185"/>
      <c r="R287" s="185"/>
      <c r="S287" s="185"/>
      <c r="T287" s="185"/>
      <c r="U287" s="185"/>
      <c r="V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184" t="str">
        <f>IFERROR(__xludf.DUMMYFUNCTION("ifna(IF(and(D288=""Saída"",J288=""Sangria""),if(sum(QUERY(IMPORTRANGE(""https://docs.google.com/spreadsheets/d/1ykfbEpHEAAZVCgujsGjRFJRCTULkzlWa8UjdyLzkDBM"",""BD M Sangrias!a:i""),""select Col6 where Col7 = 'Depositada' and Col9 = '""&amp;K288&amp;""' and Col6 ="&amp;" ""&amp;M288&amp;"" and Col4 = date '""&amp;YEAR(C288)&amp;""-""&amp;MONTH(C288)&amp;""-""&amp;DAY(C288)&amp;""'""))&gt;0,""Depositada"",if(sum(QUERY(IMPORTRANGE(""https://docs.google.com/spreadsheets/d/1ykfbEpHEAAZVCgujsGjRFJRCTULkzlWa8UjdyLzkDBM"",""BD M Sangrias!a:i""),""select Col6 whe"&amp;"re Col7 = 'Caixa Atendimento' and Col9 = '""&amp;K288&amp;""' and Col6 = ""&amp;M288&amp;"" and Col4 = date '""&amp;YEAR(C288)&amp;""-""&amp;MONTH(C288)&amp;""-""&amp;DAY(C288)&amp;""'""))&gt;0,""Caixa Atendimento"",""Caixa Sangria"")),""""),""Caixa Sangria"")"),"")</f>
        <v/>
      </c>
      <c r="M288" s="185" t="str">
        <f>IFERROR(__xludf.DUMMYFUNCTION("ifna(VALUE(REGEXEXTRACT(E288,""[0-9.]+[,]+[0-9]+"")))"),"")</f>
        <v/>
      </c>
      <c r="N288" s="185"/>
      <c r="O288" s="185"/>
      <c r="P288" s="185"/>
      <c r="Q288" s="185"/>
      <c r="R288" s="185"/>
      <c r="S288" s="185"/>
      <c r="T288" s="185"/>
      <c r="U288" s="185"/>
      <c r="V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184" t="str">
        <f>IFERROR(__xludf.DUMMYFUNCTION("ifna(IF(and(D289=""Saída"",J289=""Sangria""),if(sum(QUERY(IMPORTRANGE(""https://docs.google.com/spreadsheets/d/1ykfbEpHEAAZVCgujsGjRFJRCTULkzlWa8UjdyLzkDBM"",""BD M Sangrias!a:i""),""select Col6 where Col7 = 'Depositada' and Col9 = '""&amp;K289&amp;""' and Col6 ="&amp;" ""&amp;M289&amp;"" and Col4 = date '""&amp;YEAR(C289)&amp;""-""&amp;MONTH(C289)&amp;""-""&amp;DAY(C289)&amp;""'""))&gt;0,""Depositada"",if(sum(QUERY(IMPORTRANGE(""https://docs.google.com/spreadsheets/d/1ykfbEpHEAAZVCgujsGjRFJRCTULkzlWa8UjdyLzkDBM"",""BD M Sangrias!a:i""),""select Col6 whe"&amp;"re Col7 = 'Caixa Atendimento' and Col9 = '""&amp;K289&amp;""' and Col6 = ""&amp;M289&amp;"" and Col4 = date '""&amp;YEAR(C289)&amp;""-""&amp;MONTH(C289)&amp;""-""&amp;DAY(C289)&amp;""'""))&gt;0,""Caixa Atendimento"",""Caixa Sangria"")),""""),""Caixa Sangria"")"),"")</f>
        <v/>
      </c>
      <c r="M289" s="185" t="str">
        <f>IFERROR(__xludf.DUMMYFUNCTION("ifna(VALUE(REGEXEXTRACT(E289,""[0-9.]+[,]+[0-9]+"")))"),"")</f>
        <v/>
      </c>
      <c r="N289" s="185"/>
      <c r="O289" s="185"/>
      <c r="P289" s="185"/>
      <c r="Q289" s="185"/>
      <c r="R289" s="185"/>
      <c r="S289" s="185"/>
      <c r="T289" s="185"/>
      <c r="U289" s="185"/>
      <c r="V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184" t="str">
        <f>IFERROR(__xludf.DUMMYFUNCTION("ifna(IF(and(D290=""Saída"",J290=""Sangria""),if(sum(QUERY(IMPORTRANGE(""https://docs.google.com/spreadsheets/d/1ykfbEpHEAAZVCgujsGjRFJRCTULkzlWa8UjdyLzkDBM"",""BD M Sangrias!a:i""),""select Col6 where Col7 = 'Depositada' and Col9 = '""&amp;K290&amp;""' and Col6 ="&amp;" ""&amp;M290&amp;"" and Col4 = date '""&amp;YEAR(C290)&amp;""-""&amp;MONTH(C290)&amp;""-""&amp;DAY(C290)&amp;""'""))&gt;0,""Depositada"",if(sum(QUERY(IMPORTRANGE(""https://docs.google.com/spreadsheets/d/1ykfbEpHEAAZVCgujsGjRFJRCTULkzlWa8UjdyLzkDBM"",""BD M Sangrias!a:i""),""select Col6 whe"&amp;"re Col7 = 'Caixa Atendimento' and Col9 = '""&amp;K290&amp;""' and Col6 = ""&amp;M290&amp;"" and Col4 = date '""&amp;YEAR(C290)&amp;""-""&amp;MONTH(C290)&amp;""-""&amp;DAY(C290)&amp;""'""))&gt;0,""Caixa Atendimento"",""Caixa Sangria"")),""""),""Caixa Sangria"")"),"")</f>
        <v/>
      </c>
      <c r="M290" s="185" t="str">
        <f>IFERROR(__xludf.DUMMYFUNCTION("ifna(VALUE(REGEXEXTRACT(E290,""[0-9.]+[,]+[0-9]+"")))"),"")</f>
        <v/>
      </c>
      <c r="N290" s="185"/>
      <c r="O290" s="185"/>
      <c r="P290" s="185"/>
      <c r="Q290" s="185"/>
      <c r="R290" s="185"/>
      <c r="S290" s="185"/>
      <c r="T290" s="185"/>
      <c r="U290" s="185"/>
      <c r="V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184" t="str">
        <f>IFERROR(__xludf.DUMMYFUNCTION("ifna(IF(and(D291=""Saída"",J291=""Sangria""),if(sum(QUERY(IMPORTRANGE(""https://docs.google.com/spreadsheets/d/1ykfbEpHEAAZVCgujsGjRFJRCTULkzlWa8UjdyLzkDBM"",""BD M Sangrias!a:i""),""select Col6 where Col7 = 'Depositada' and Col9 = '""&amp;K291&amp;""' and Col6 ="&amp;" ""&amp;M291&amp;"" and Col4 = date '""&amp;YEAR(C291)&amp;""-""&amp;MONTH(C291)&amp;""-""&amp;DAY(C291)&amp;""'""))&gt;0,""Depositada"",if(sum(QUERY(IMPORTRANGE(""https://docs.google.com/spreadsheets/d/1ykfbEpHEAAZVCgujsGjRFJRCTULkzlWa8UjdyLzkDBM"",""BD M Sangrias!a:i""),""select Col6 whe"&amp;"re Col7 = 'Caixa Atendimento' and Col9 = '""&amp;K291&amp;""' and Col6 = ""&amp;M291&amp;"" and Col4 = date '""&amp;YEAR(C291)&amp;""-""&amp;MONTH(C291)&amp;""-""&amp;DAY(C291)&amp;""'""))&gt;0,""Caixa Atendimento"",""Caixa Sangria"")),""""),""Caixa Sangria"")"),"")</f>
        <v/>
      </c>
      <c r="M291" s="185" t="str">
        <f>IFERROR(__xludf.DUMMYFUNCTION("ifna(VALUE(REGEXEXTRACT(E291,""[0-9.]+[,]+[0-9]+"")))"),"")</f>
        <v/>
      </c>
      <c r="N291" s="185"/>
      <c r="O291" s="185"/>
      <c r="P291" s="185"/>
      <c r="Q291" s="185"/>
      <c r="R291" s="185"/>
      <c r="S291" s="185"/>
      <c r="T291" s="185"/>
      <c r="U291" s="185"/>
      <c r="V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184" t="str">
        <f>IFERROR(__xludf.DUMMYFUNCTION("ifna(IF(and(D292=""Saída"",J292=""Sangria""),if(sum(QUERY(IMPORTRANGE(""https://docs.google.com/spreadsheets/d/1ykfbEpHEAAZVCgujsGjRFJRCTULkzlWa8UjdyLzkDBM"",""BD M Sangrias!a:i""),""select Col6 where Col7 = 'Depositada' and Col9 = '""&amp;K292&amp;""' and Col6 ="&amp;" ""&amp;M292&amp;"" and Col4 = date '""&amp;YEAR(C292)&amp;""-""&amp;MONTH(C292)&amp;""-""&amp;DAY(C292)&amp;""'""))&gt;0,""Depositada"",if(sum(QUERY(IMPORTRANGE(""https://docs.google.com/spreadsheets/d/1ykfbEpHEAAZVCgujsGjRFJRCTULkzlWa8UjdyLzkDBM"",""BD M Sangrias!a:i""),""select Col6 whe"&amp;"re Col7 = 'Caixa Atendimento' and Col9 = '""&amp;K292&amp;""' and Col6 = ""&amp;M292&amp;"" and Col4 = date '""&amp;YEAR(C292)&amp;""-""&amp;MONTH(C292)&amp;""-""&amp;DAY(C292)&amp;""'""))&gt;0,""Caixa Atendimento"",""Caixa Sangria"")),""""),""Caixa Sangria"")"),"")</f>
        <v/>
      </c>
      <c r="M292" s="185" t="str">
        <f>IFERROR(__xludf.DUMMYFUNCTION("ifna(VALUE(REGEXEXTRACT(E292,""[0-9.]+[,]+[0-9]+"")))"),"")</f>
        <v/>
      </c>
      <c r="N292" s="185"/>
      <c r="O292" s="185"/>
      <c r="P292" s="185"/>
      <c r="Q292" s="185"/>
      <c r="R292" s="185"/>
      <c r="S292" s="185"/>
      <c r="T292" s="185"/>
      <c r="U292" s="185"/>
      <c r="V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184" t="str">
        <f>IFERROR(__xludf.DUMMYFUNCTION("ifna(IF(and(D293=""Saída"",J293=""Sangria""),if(sum(QUERY(IMPORTRANGE(""https://docs.google.com/spreadsheets/d/1ykfbEpHEAAZVCgujsGjRFJRCTULkzlWa8UjdyLzkDBM"",""BD M Sangrias!a:i""),""select Col6 where Col7 = 'Depositada' and Col9 = '""&amp;K293&amp;""' and Col6 ="&amp;" ""&amp;M293&amp;"" and Col4 = date '""&amp;YEAR(C293)&amp;""-""&amp;MONTH(C293)&amp;""-""&amp;DAY(C293)&amp;""'""))&gt;0,""Depositada"",if(sum(QUERY(IMPORTRANGE(""https://docs.google.com/spreadsheets/d/1ykfbEpHEAAZVCgujsGjRFJRCTULkzlWa8UjdyLzkDBM"",""BD M Sangrias!a:i""),""select Col6 whe"&amp;"re Col7 = 'Caixa Atendimento' and Col9 = '""&amp;K293&amp;""' and Col6 = ""&amp;M293&amp;"" and Col4 = date '""&amp;YEAR(C293)&amp;""-""&amp;MONTH(C293)&amp;""-""&amp;DAY(C293)&amp;""'""))&gt;0,""Caixa Atendimento"",""Caixa Sangria"")),""""),""Caixa Sangria"")"),"")</f>
        <v/>
      </c>
      <c r="M293" s="185" t="str">
        <f>IFERROR(__xludf.DUMMYFUNCTION("ifna(VALUE(REGEXEXTRACT(E293,""[0-9.]+[,]+[0-9]+"")))"),"")</f>
        <v/>
      </c>
      <c r="N293" s="185"/>
      <c r="O293" s="185"/>
      <c r="P293" s="185"/>
      <c r="Q293" s="185"/>
      <c r="R293" s="185"/>
      <c r="S293" s="185"/>
      <c r="T293" s="185"/>
      <c r="U293" s="185"/>
      <c r="V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184" t="str">
        <f>IFERROR(__xludf.DUMMYFUNCTION("ifna(IF(and(D294=""Saída"",J294=""Sangria""),if(sum(QUERY(IMPORTRANGE(""https://docs.google.com/spreadsheets/d/1ykfbEpHEAAZVCgujsGjRFJRCTULkzlWa8UjdyLzkDBM"",""BD M Sangrias!a:i""),""select Col6 where Col7 = 'Depositada' and Col9 = '""&amp;K294&amp;""' and Col6 ="&amp;" ""&amp;M294&amp;"" and Col4 = date '""&amp;YEAR(C294)&amp;""-""&amp;MONTH(C294)&amp;""-""&amp;DAY(C294)&amp;""'""))&gt;0,""Depositada"",if(sum(QUERY(IMPORTRANGE(""https://docs.google.com/spreadsheets/d/1ykfbEpHEAAZVCgujsGjRFJRCTULkzlWa8UjdyLzkDBM"",""BD M Sangrias!a:i""),""select Col6 whe"&amp;"re Col7 = 'Caixa Atendimento' and Col9 = '""&amp;K294&amp;""' and Col6 = ""&amp;M294&amp;"" and Col4 = date '""&amp;YEAR(C294)&amp;""-""&amp;MONTH(C294)&amp;""-""&amp;DAY(C294)&amp;""'""))&gt;0,""Caixa Atendimento"",""Caixa Sangria"")),""""),""Caixa Sangria"")"),"")</f>
        <v/>
      </c>
      <c r="M294" s="185" t="str">
        <f>IFERROR(__xludf.DUMMYFUNCTION("ifna(VALUE(REGEXEXTRACT(E294,""[0-9.]+[,]+[0-9]+"")))"),"")</f>
        <v/>
      </c>
      <c r="N294" s="185"/>
      <c r="O294" s="185"/>
      <c r="P294" s="185"/>
      <c r="Q294" s="185"/>
      <c r="R294" s="185"/>
      <c r="S294" s="185"/>
      <c r="T294" s="185"/>
      <c r="U294" s="185"/>
      <c r="V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184" t="str">
        <f>IFERROR(__xludf.DUMMYFUNCTION("ifna(IF(and(D295=""Saída"",J295=""Sangria""),if(sum(QUERY(IMPORTRANGE(""https://docs.google.com/spreadsheets/d/1ykfbEpHEAAZVCgujsGjRFJRCTULkzlWa8UjdyLzkDBM"",""BD M Sangrias!a:i""),""select Col6 where Col7 = 'Depositada' and Col9 = '""&amp;K295&amp;""' and Col6 ="&amp;" ""&amp;M295&amp;"" and Col4 = date '""&amp;YEAR(C295)&amp;""-""&amp;MONTH(C295)&amp;""-""&amp;DAY(C295)&amp;""'""))&gt;0,""Depositada"",if(sum(QUERY(IMPORTRANGE(""https://docs.google.com/spreadsheets/d/1ykfbEpHEAAZVCgujsGjRFJRCTULkzlWa8UjdyLzkDBM"",""BD M Sangrias!a:i""),""select Col6 whe"&amp;"re Col7 = 'Caixa Atendimento' and Col9 = '""&amp;K295&amp;""' and Col6 = ""&amp;M295&amp;"" and Col4 = date '""&amp;YEAR(C295)&amp;""-""&amp;MONTH(C295)&amp;""-""&amp;DAY(C295)&amp;""'""))&gt;0,""Caixa Atendimento"",""Caixa Sangria"")),""""),""Caixa Sangria"")"),"")</f>
        <v/>
      </c>
      <c r="M295" s="185" t="str">
        <f>IFERROR(__xludf.DUMMYFUNCTION("ifna(VALUE(REGEXEXTRACT(E295,""[0-9.]+[,]+[0-9]+"")))"),"")</f>
        <v/>
      </c>
      <c r="N295" s="185"/>
      <c r="O295" s="185"/>
      <c r="P295" s="185"/>
      <c r="Q295" s="185"/>
      <c r="R295" s="185"/>
      <c r="S295" s="185"/>
      <c r="T295" s="185"/>
      <c r="U295" s="185"/>
      <c r="V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184" t="str">
        <f>IFERROR(__xludf.DUMMYFUNCTION("ifna(IF(and(D296=""Saída"",J296=""Sangria""),if(sum(QUERY(IMPORTRANGE(""https://docs.google.com/spreadsheets/d/1ykfbEpHEAAZVCgujsGjRFJRCTULkzlWa8UjdyLzkDBM"",""BD M Sangrias!a:i""),""select Col6 where Col7 = 'Depositada' and Col9 = '""&amp;K296&amp;""' and Col6 ="&amp;" ""&amp;M296&amp;"" and Col4 = date '""&amp;YEAR(C296)&amp;""-""&amp;MONTH(C296)&amp;""-""&amp;DAY(C296)&amp;""'""))&gt;0,""Depositada"",if(sum(QUERY(IMPORTRANGE(""https://docs.google.com/spreadsheets/d/1ykfbEpHEAAZVCgujsGjRFJRCTULkzlWa8UjdyLzkDBM"",""BD M Sangrias!a:i""),""select Col6 whe"&amp;"re Col7 = 'Caixa Atendimento' and Col9 = '""&amp;K296&amp;""' and Col6 = ""&amp;M296&amp;"" and Col4 = date '""&amp;YEAR(C296)&amp;""-""&amp;MONTH(C296)&amp;""-""&amp;DAY(C296)&amp;""'""))&gt;0,""Caixa Atendimento"",""Caixa Sangria"")),""""),""Caixa Sangria"")"),"")</f>
        <v/>
      </c>
      <c r="M296" s="185" t="str">
        <f>IFERROR(__xludf.DUMMYFUNCTION("ifna(VALUE(REGEXEXTRACT(E296,""[0-9.]+[,]+[0-9]+"")))"),"")</f>
        <v/>
      </c>
      <c r="N296" s="185"/>
      <c r="O296" s="185"/>
      <c r="P296" s="185"/>
      <c r="Q296" s="185"/>
      <c r="R296" s="185"/>
      <c r="S296" s="185"/>
      <c r="T296" s="185"/>
      <c r="U296" s="185"/>
      <c r="V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184" t="str">
        <f>IFERROR(__xludf.DUMMYFUNCTION("ifna(IF(and(D297=""Saída"",J297=""Sangria""),if(sum(QUERY(IMPORTRANGE(""https://docs.google.com/spreadsheets/d/1ykfbEpHEAAZVCgujsGjRFJRCTULkzlWa8UjdyLzkDBM"",""BD M Sangrias!a:i""),""select Col6 where Col7 = 'Depositada' and Col9 = '""&amp;K297&amp;""' and Col6 ="&amp;" ""&amp;M297&amp;"" and Col4 = date '""&amp;YEAR(C297)&amp;""-""&amp;MONTH(C297)&amp;""-""&amp;DAY(C297)&amp;""'""))&gt;0,""Depositada"",if(sum(QUERY(IMPORTRANGE(""https://docs.google.com/spreadsheets/d/1ykfbEpHEAAZVCgujsGjRFJRCTULkzlWa8UjdyLzkDBM"",""BD M Sangrias!a:i""),""select Col6 whe"&amp;"re Col7 = 'Caixa Atendimento' and Col9 = '""&amp;K297&amp;""' and Col6 = ""&amp;M297&amp;"" and Col4 = date '""&amp;YEAR(C297)&amp;""-""&amp;MONTH(C297)&amp;""-""&amp;DAY(C297)&amp;""'""))&gt;0,""Caixa Atendimento"",""Caixa Sangria"")),""""),""Caixa Sangria"")"),"")</f>
        <v/>
      </c>
      <c r="M297" s="185" t="str">
        <f>IFERROR(__xludf.DUMMYFUNCTION("ifna(VALUE(REGEXEXTRACT(E297,""[0-9.]+[,]+[0-9]+"")))"),"")</f>
        <v/>
      </c>
      <c r="N297" s="185"/>
      <c r="O297" s="185"/>
      <c r="P297" s="185"/>
      <c r="Q297" s="185"/>
      <c r="R297" s="185"/>
      <c r="S297" s="185"/>
      <c r="T297" s="185"/>
      <c r="U297" s="185"/>
      <c r="V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184" t="str">
        <f>IFERROR(__xludf.DUMMYFUNCTION("ifna(IF(and(D298=""Saída"",J298=""Sangria""),if(sum(QUERY(IMPORTRANGE(""https://docs.google.com/spreadsheets/d/1ykfbEpHEAAZVCgujsGjRFJRCTULkzlWa8UjdyLzkDBM"",""BD M Sangrias!a:i""),""select Col6 where Col7 = 'Depositada' and Col9 = '""&amp;K298&amp;""' and Col6 ="&amp;" ""&amp;M298&amp;"" and Col4 = date '""&amp;YEAR(C298)&amp;""-""&amp;MONTH(C298)&amp;""-""&amp;DAY(C298)&amp;""'""))&gt;0,""Depositada"",if(sum(QUERY(IMPORTRANGE(""https://docs.google.com/spreadsheets/d/1ykfbEpHEAAZVCgujsGjRFJRCTULkzlWa8UjdyLzkDBM"",""BD M Sangrias!a:i""),""select Col6 whe"&amp;"re Col7 = 'Caixa Atendimento' and Col9 = '""&amp;K298&amp;""' and Col6 = ""&amp;M298&amp;"" and Col4 = date '""&amp;YEAR(C298)&amp;""-""&amp;MONTH(C298)&amp;""-""&amp;DAY(C298)&amp;""'""))&gt;0,""Caixa Atendimento"",""Caixa Sangria"")),""""),""Caixa Sangria"")"),"")</f>
        <v/>
      </c>
      <c r="M298" s="185" t="str">
        <f>IFERROR(__xludf.DUMMYFUNCTION("ifna(VALUE(REGEXEXTRACT(E298,""[0-9.]+[,]+[0-9]+"")))"),"")</f>
        <v/>
      </c>
      <c r="N298" s="185"/>
      <c r="O298" s="185"/>
      <c r="P298" s="185"/>
      <c r="Q298" s="185"/>
      <c r="R298" s="185"/>
      <c r="S298" s="185"/>
      <c r="T298" s="185"/>
      <c r="U298" s="185"/>
      <c r="V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184" t="str">
        <f>IFERROR(__xludf.DUMMYFUNCTION("ifna(IF(and(D299=""Saída"",J299=""Sangria""),if(sum(QUERY(IMPORTRANGE(""https://docs.google.com/spreadsheets/d/1ykfbEpHEAAZVCgujsGjRFJRCTULkzlWa8UjdyLzkDBM"",""BD M Sangrias!a:i""),""select Col6 where Col7 = 'Depositada' and Col9 = '""&amp;K299&amp;""' and Col6 ="&amp;" ""&amp;M299&amp;"" and Col4 = date '""&amp;YEAR(C299)&amp;""-""&amp;MONTH(C299)&amp;""-""&amp;DAY(C299)&amp;""'""))&gt;0,""Depositada"",if(sum(QUERY(IMPORTRANGE(""https://docs.google.com/spreadsheets/d/1ykfbEpHEAAZVCgujsGjRFJRCTULkzlWa8UjdyLzkDBM"",""BD M Sangrias!a:i""),""select Col6 whe"&amp;"re Col7 = 'Caixa Atendimento' and Col9 = '""&amp;K299&amp;""' and Col6 = ""&amp;M299&amp;"" and Col4 = date '""&amp;YEAR(C299)&amp;""-""&amp;MONTH(C299)&amp;""-""&amp;DAY(C299)&amp;""'""))&gt;0,""Caixa Atendimento"",""Caixa Sangria"")),""""),""Caixa Sangria"")"),"")</f>
        <v/>
      </c>
      <c r="M299" s="185" t="str">
        <f>IFERROR(__xludf.DUMMYFUNCTION("ifna(VALUE(REGEXEXTRACT(E299,""[0-9.]+[,]+[0-9]+"")))"),"")</f>
        <v/>
      </c>
      <c r="N299" s="185"/>
      <c r="O299" s="185"/>
      <c r="P299" s="185"/>
      <c r="Q299" s="185"/>
      <c r="R299" s="185"/>
      <c r="S299" s="185"/>
      <c r="T299" s="185"/>
      <c r="U299" s="185"/>
      <c r="V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184" t="str">
        <f>IFERROR(__xludf.DUMMYFUNCTION("ifna(IF(and(D300=""Saída"",J300=""Sangria""),if(sum(QUERY(IMPORTRANGE(""https://docs.google.com/spreadsheets/d/1ykfbEpHEAAZVCgujsGjRFJRCTULkzlWa8UjdyLzkDBM"",""BD M Sangrias!a:i""),""select Col6 where Col7 = 'Depositada' and Col9 = '""&amp;K300&amp;""' and Col6 ="&amp;" ""&amp;M300&amp;"" and Col4 = date '""&amp;YEAR(C300)&amp;""-""&amp;MONTH(C300)&amp;""-""&amp;DAY(C300)&amp;""'""))&gt;0,""Depositada"",if(sum(QUERY(IMPORTRANGE(""https://docs.google.com/spreadsheets/d/1ykfbEpHEAAZVCgujsGjRFJRCTULkzlWa8UjdyLzkDBM"",""BD M Sangrias!a:i""),""select Col6 whe"&amp;"re Col7 = 'Caixa Atendimento' and Col9 = '""&amp;K300&amp;""' and Col6 = ""&amp;M300&amp;"" and Col4 = date '""&amp;YEAR(C300)&amp;""-""&amp;MONTH(C300)&amp;""-""&amp;DAY(C300)&amp;""'""))&gt;0,""Caixa Atendimento"",""Caixa Sangria"")),""""),""Caixa Sangria"")"),"")</f>
        <v/>
      </c>
      <c r="M300" s="185" t="str">
        <f>IFERROR(__xludf.DUMMYFUNCTION("ifna(VALUE(REGEXEXTRACT(E300,""[0-9.]+[,]+[0-9]+"")))"),"")</f>
        <v/>
      </c>
      <c r="N300" s="185"/>
      <c r="O300" s="185"/>
      <c r="P300" s="185"/>
      <c r="Q300" s="185"/>
      <c r="R300" s="185"/>
      <c r="S300" s="185"/>
      <c r="T300" s="185"/>
      <c r="U300" s="185"/>
      <c r="V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184" t="str">
        <f>IFERROR(__xludf.DUMMYFUNCTION("ifna(IF(and(D301=""Saída"",J301=""Sangria""),if(sum(QUERY(IMPORTRANGE(""https://docs.google.com/spreadsheets/d/1ykfbEpHEAAZVCgujsGjRFJRCTULkzlWa8UjdyLzkDBM"",""BD M Sangrias!a:i""),""select Col6 where Col7 = 'Depositada' and Col9 = '""&amp;K301&amp;""' and Col6 ="&amp;" ""&amp;M301&amp;"" and Col4 = date '""&amp;YEAR(C301)&amp;""-""&amp;MONTH(C301)&amp;""-""&amp;DAY(C301)&amp;""'""))&gt;0,""Depositada"",if(sum(QUERY(IMPORTRANGE(""https://docs.google.com/spreadsheets/d/1ykfbEpHEAAZVCgujsGjRFJRCTULkzlWa8UjdyLzkDBM"",""BD M Sangrias!a:i""),""select Col6 whe"&amp;"re Col7 = 'Caixa Atendimento' and Col9 = '""&amp;K301&amp;""' and Col6 = ""&amp;M301&amp;"" and Col4 = date '""&amp;YEAR(C301)&amp;""-""&amp;MONTH(C301)&amp;""-""&amp;DAY(C301)&amp;""'""))&gt;0,""Caixa Atendimento"",""Caixa Sangria"")),""""),""Caixa Sangria"")"),"")</f>
        <v/>
      </c>
      <c r="M301" s="185" t="str">
        <f>IFERROR(__xludf.DUMMYFUNCTION("ifna(VALUE(REGEXEXTRACT(E301,""[0-9.]+[,]+[0-9]+"")))"),"")</f>
        <v/>
      </c>
      <c r="N301" s="185"/>
      <c r="O301" s="185"/>
      <c r="P301" s="185"/>
      <c r="Q301" s="185"/>
      <c r="R301" s="185"/>
      <c r="S301" s="185"/>
      <c r="T301" s="185"/>
      <c r="U301" s="185"/>
      <c r="V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184" t="str">
        <f>IFERROR(__xludf.DUMMYFUNCTION("ifna(IF(and(D302=""Saída"",J302=""Sangria""),if(sum(QUERY(IMPORTRANGE(""https://docs.google.com/spreadsheets/d/1ykfbEpHEAAZVCgujsGjRFJRCTULkzlWa8UjdyLzkDBM"",""BD M Sangrias!a:i""),""select Col6 where Col7 = 'Depositada' and Col9 = '""&amp;K302&amp;""' and Col6 ="&amp;" ""&amp;M302&amp;"" and Col4 = date '""&amp;YEAR(C302)&amp;""-""&amp;MONTH(C302)&amp;""-""&amp;DAY(C302)&amp;""'""))&gt;0,""Depositada"",if(sum(QUERY(IMPORTRANGE(""https://docs.google.com/spreadsheets/d/1ykfbEpHEAAZVCgujsGjRFJRCTULkzlWa8UjdyLzkDBM"",""BD M Sangrias!a:i""),""select Col6 whe"&amp;"re Col7 = 'Caixa Atendimento' and Col9 = '""&amp;K302&amp;""' and Col6 = ""&amp;M302&amp;"" and Col4 = date '""&amp;YEAR(C302)&amp;""-""&amp;MONTH(C302)&amp;""-""&amp;DAY(C302)&amp;""'""))&gt;0,""Caixa Atendimento"",""Caixa Sangria"")),""""),""Caixa Sangria"")"),"")</f>
        <v/>
      </c>
      <c r="M302" s="185" t="str">
        <f>IFERROR(__xludf.DUMMYFUNCTION("ifna(VALUE(REGEXEXTRACT(E302,""[0-9.]+[,]+[0-9]+"")))"),"")</f>
        <v/>
      </c>
      <c r="N302" s="185"/>
      <c r="O302" s="185"/>
      <c r="P302" s="185"/>
      <c r="Q302" s="185"/>
      <c r="R302" s="185"/>
      <c r="S302" s="185"/>
      <c r="T302" s="185"/>
      <c r="U302" s="185"/>
      <c r="V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184" t="str">
        <f>IFERROR(__xludf.DUMMYFUNCTION("ifna(IF(and(D303=""Saída"",J303=""Sangria""),if(sum(QUERY(IMPORTRANGE(""https://docs.google.com/spreadsheets/d/1ykfbEpHEAAZVCgujsGjRFJRCTULkzlWa8UjdyLzkDBM"",""BD M Sangrias!a:i""),""select Col6 where Col7 = 'Depositada' and Col9 = '""&amp;K303&amp;""' and Col6 ="&amp;" ""&amp;M303&amp;"" and Col4 = date '""&amp;YEAR(C303)&amp;""-""&amp;MONTH(C303)&amp;""-""&amp;DAY(C303)&amp;""'""))&gt;0,""Depositada"",if(sum(QUERY(IMPORTRANGE(""https://docs.google.com/spreadsheets/d/1ykfbEpHEAAZVCgujsGjRFJRCTULkzlWa8UjdyLzkDBM"",""BD M Sangrias!a:i""),""select Col6 whe"&amp;"re Col7 = 'Caixa Atendimento' and Col9 = '""&amp;K303&amp;""' and Col6 = ""&amp;M303&amp;"" and Col4 = date '""&amp;YEAR(C303)&amp;""-""&amp;MONTH(C303)&amp;""-""&amp;DAY(C303)&amp;""'""))&gt;0,""Caixa Atendimento"",""Caixa Sangria"")),""""),""Caixa Sangria"")"),"")</f>
        <v/>
      </c>
      <c r="M303" s="185" t="str">
        <f>IFERROR(__xludf.DUMMYFUNCTION("ifna(VALUE(REGEXEXTRACT(E303,""[0-9.]+[,]+[0-9]+"")))"),"")</f>
        <v/>
      </c>
      <c r="N303" s="185"/>
      <c r="O303" s="185"/>
      <c r="P303" s="185"/>
      <c r="Q303" s="185"/>
      <c r="R303" s="185"/>
      <c r="S303" s="185"/>
      <c r="T303" s="185"/>
      <c r="U303" s="185"/>
      <c r="V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184" t="str">
        <f>IFERROR(__xludf.DUMMYFUNCTION("ifna(IF(and(D304=""Saída"",J304=""Sangria""),if(sum(QUERY(IMPORTRANGE(""https://docs.google.com/spreadsheets/d/1ykfbEpHEAAZVCgujsGjRFJRCTULkzlWa8UjdyLzkDBM"",""BD M Sangrias!a:i""),""select Col6 where Col7 = 'Depositada' and Col9 = '""&amp;K304&amp;""' and Col6 ="&amp;" ""&amp;M304&amp;"" and Col4 = date '""&amp;YEAR(C304)&amp;""-""&amp;MONTH(C304)&amp;""-""&amp;DAY(C304)&amp;""'""))&gt;0,""Depositada"",if(sum(QUERY(IMPORTRANGE(""https://docs.google.com/spreadsheets/d/1ykfbEpHEAAZVCgujsGjRFJRCTULkzlWa8UjdyLzkDBM"",""BD M Sangrias!a:i""),""select Col6 whe"&amp;"re Col7 = 'Caixa Atendimento' and Col9 = '""&amp;K304&amp;""' and Col6 = ""&amp;M304&amp;"" and Col4 = date '""&amp;YEAR(C304)&amp;""-""&amp;MONTH(C304)&amp;""-""&amp;DAY(C304)&amp;""'""))&gt;0,""Caixa Atendimento"",""Caixa Sangria"")),""""),""Caixa Sangria"")"),"")</f>
        <v/>
      </c>
      <c r="M304" s="185" t="str">
        <f>IFERROR(__xludf.DUMMYFUNCTION("ifna(VALUE(REGEXEXTRACT(E304,""[0-9.]+[,]+[0-9]+"")))"),"")</f>
        <v/>
      </c>
      <c r="N304" s="185"/>
      <c r="O304" s="185"/>
      <c r="P304" s="185"/>
      <c r="Q304" s="185"/>
      <c r="R304" s="185"/>
      <c r="S304" s="185"/>
      <c r="T304" s="185"/>
      <c r="U304" s="185"/>
      <c r="V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184" t="str">
        <f>IFERROR(__xludf.DUMMYFUNCTION("ifna(IF(and(D305=""Saída"",J305=""Sangria""),if(sum(QUERY(IMPORTRANGE(""https://docs.google.com/spreadsheets/d/1ykfbEpHEAAZVCgujsGjRFJRCTULkzlWa8UjdyLzkDBM"",""BD M Sangrias!a:i""),""select Col6 where Col7 = 'Depositada' and Col9 = '""&amp;K305&amp;""' and Col6 ="&amp;" ""&amp;M305&amp;"" and Col4 = date '""&amp;YEAR(C305)&amp;""-""&amp;MONTH(C305)&amp;""-""&amp;DAY(C305)&amp;""'""))&gt;0,""Depositada"",if(sum(QUERY(IMPORTRANGE(""https://docs.google.com/spreadsheets/d/1ykfbEpHEAAZVCgujsGjRFJRCTULkzlWa8UjdyLzkDBM"",""BD M Sangrias!a:i""),""select Col6 whe"&amp;"re Col7 = 'Caixa Atendimento' and Col9 = '""&amp;K305&amp;""' and Col6 = ""&amp;M305&amp;"" and Col4 = date '""&amp;YEAR(C305)&amp;""-""&amp;MONTH(C305)&amp;""-""&amp;DAY(C305)&amp;""'""))&gt;0,""Caixa Atendimento"",""Caixa Sangria"")),""""),""Caixa Sangria"")"),"")</f>
        <v/>
      </c>
      <c r="M305" s="185" t="str">
        <f>IFERROR(__xludf.DUMMYFUNCTION("ifna(VALUE(REGEXEXTRACT(E305,""[0-9.]+[,]+[0-9]+"")))"),"")</f>
        <v/>
      </c>
      <c r="N305" s="185"/>
      <c r="O305" s="185"/>
      <c r="P305" s="185"/>
      <c r="Q305" s="185"/>
      <c r="R305" s="185"/>
      <c r="S305" s="185"/>
      <c r="T305" s="185"/>
      <c r="U305" s="185"/>
      <c r="V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184" t="str">
        <f>IFERROR(__xludf.DUMMYFUNCTION("ifna(IF(and(D306=""Saída"",J306=""Sangria""),if(sum(QUERY(IMPORTRANGE(""https://docs.google.com/spreadsheets/d/1ykfbEpHEAAZVCgujsGjRFJRCTULkzlWa8UjdyLzkDBM"",""BD M Sangrias!a:i""),""select Col6 where Col7 = 'Depositada' and Col9 = '""&amp;K306&amp;""' and Col6 ="&amp;" ""&amp;M306&amp;"" and Col4 = date '""&amp;YEAR(C306)&amp;""-""&amp;MONTH(C306)&amp;""-""&amp;DAY(C306)&amp;""'""))&gt;0,""Depositada"",if(sum(QUERY(IMPORTRANGE(""https://docs.google.com/spreadsheets/d/1ykfbEpHEAAZVCgujsGjRFJRCTULkzlWa8UjdyLzkDBM"",""BD M Sangrias!a:i""),""select Col6 whe"&amp;"re Col7 = 'Caixa Atendimento' and Col9 = '""&amp;K306&amp;""' and Col6 = ""&amp;M306&amp;"" and Col4 = date '""&amp;YEAR(C306)&amp;""-""&amp;MONTH(C306)&amp;""-""&amp;DAY(C306)&amp;""'""))&gt;0,""Caixa Atendimento"",""Caixa Sangria"")),""""),""Caixa Sangria"")"),"")</f>
        <v/>
      </c>
      <c r="M306" s="185" t="str">
        <f>IFERROR(__xludf.DUMMYFUNCTION("ifna(VALUE(REGEXEXTRACT(E306,""[0-9.]+[,]+[0-9]+"")))"),"")</f>
        <v/>
      </c>
      <c r="N306" s="185"/>
      <c r="O306" s="185"/>
      <c r="P306" s="185"/>
      <c r="Q306" s="185"/>
      <c r="R306" s="185"/>
      <c r="S306" s="185"/>
      <c r="T306" s="185"/>
      <c r="U306" s="185"/>
      <c r="V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184" t="str">
        <f>IFERROR(__xludf.DUMMYFUNCTION("ifna(IF(and(D307=""Saída"",J307=""Sangria""),if(sum(QUERY(IMPORTRANGE(""https://docs.google.com/spreadsheets/d/1ykfbEpHEAAZVCgujsGjRFJRCTULkzlWa8UjdyLzkDBM"",""BD M Sangrias!a:i""),""select Col6 where Col7 = 'Depositada' and Col9 = '""&amp;K307&amp;""' and Col6 ="&amp;" ""&amp;M307&amp;"" and Col4 = date '""&amp;YEAR(C307)&amp;""-""&amp;MONTH(C307)&amp;""-""&amp;DAY(C307)&amp;""'""))&gt;0,""Depositada"",if(sum(QUERY(IMPORTRANGE(""https://docs.google.com/spreadsheets/d/1ykfbEpHEAAZVCgujsGjRFJRCTULkzlWa8UjdyLzkDBM"",""BD M Sangrias!a:i""),""select Col6 whe"&amp;"re Col7 = 'Caixa Atendimento' and Col9 = '""&amp;K307&amp;""' and Col6 = ""&amp;M307&amp;"" and Col4 = date '""&amp;YEAR(C307)&amp;""-""&amp;MONTH(C307)&amp;""-""&amp;DAY(C307)&amp;""'""))&gt;0,""Caixa Atendimento"",""Caixa Sangria"")),""""),""Caixa Sangria"")"),"")</f>
        <v/>
      </c>
      <c r="M307" s="185" t="str">
        <f>IFERROR(__xludf.DUMMYFUNCTION("ifna(VALUE(REGEXEXTRACT(E307,""[0-9.]+[,]+[0-9]+"")))"),"")</f>
        <v/>
      </c>
      <c r="N307" s="185"/>
      <c r="O307" s="185"/>
      <c r="P307" s="185"/>
      <c r="Q307" s="185"/>
      <c r="R307" s="185"/>
      <c r="S307" s="185"/>
      <c r="T307" s="185"/>
      <c r="U307" s="185"/>
      <c r="V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184" t="str">
        <f>IFERROR(__xludf.DUMMYFUNCTION("ifna(IF(and(D308=""Saída"",J308=""Sangria""),if(sum(QUERY(IMPORTRANGE(""https://docs.google.com/spreadsheets/d/1ykfbEpHEAAZVCgujsGjRFJRCTULkzlWa8UjdyLzkDBM"",""BD M Sangrias!a:i""),""select Col6 where Col7 = 'Depositada' and Col9 = '""&amp;K308&amp;""' and Col6 ="&amp;" ""&amp;M308&amp;"" and Col4 = date '""&amp;YEAR(C308)&amp;""-""&amp;MONTH(C308)&amp;""-""&amp;DAY(C308)&amp;""'""))&gt;0,""Depositada"",if(sum(QUERY(IMPORTRANGE(""https://docs.google.com/spreadsheets/d/1ykfbEpHEAAZVCgujsGjRFJRCTULkzlWa8UjdyLzkDBM"",""BD M Sangrias!a:i""),""select Col6 whe"&amp;"re Col7 = 'Caixa Atendimento' and Col9 = '""&amp;K308&amp;""' and Col6 = ""&amp;M308&amp;"" and Col4 = date '""&amp;YEAR(C308)&amp;""-""&amp;MONTH(C308)&amp;""-""&amp;DAY(C308)&amp;""'""))&gt;0,""Caixa Atendimento"",""Caixa Sangria"")),""""),""Caixa Sangria"")"),"")</f>
        <v/>
      </c>
      <c r="M308" s="185" t="str">
        <f>IFERROR(__xludf.DUMMYFUNCTION("ifna(VALUE(REGEXEXTRACT(E308,""[0-9.]+[,]+[0-9]+"")))"),"")</f>
        <v/>
      </c>
      <c r="N308" s="185"/>
      <c r="O308" s="185"/>
      <c r="P308" s="185"/>
      <c r="Q308" s="185"/>
      <c r="R308" s="185"/>
      <c r="S308" s="185"/>
      <c r="T308" s="185"/>
      <c r="U308" s="185"/>
      <c r="V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184" t="str">
        <f>IFERROR(__xludf.DUMMYFUNCTION("ifna(IF(and(D309=""Saída"",J309=""Sangria""),if(sum(QUERY(IMPORTRANGE(""https://docs.google.com/spreadsheets/d/1ykfbEpHEAAZVCgujsGjRFJRCTULkzlWa8UjdyLzkDBM"",""BD M Sangrias!a:i""),""select Col6 where Col7 = 'Depositada' and Col9 = '""&amp;K309&amp;""' and Col6 ="&amp;" ""&amp;M309&amp;"" and Col4 = date '""&amp;YEAR(C309)&amp;""-""&amp;MONTH(C309)&amp;""-""&amp;DAY(C309)&amp;""'""))&gt;0,""Depositada"",if(sum(QUERY(IMPORTRANGE(""https://docs.google.com/spreadsheets/d/1ykfbEpHEAAZVCgujsGjRFJRCTULkzlWa8UjdyLzkDBM"",""BD M Sangrias!a:i""),""select Col6 whe"&amp;"re Col7 = 'Caixa Atendimento' and Col9 = '""&amp;K309&amp;""' and Col6 = ""&amp;M309&amp;"" and Col4 = date '""&amp;YEAR(C309)&amp;""-""&amp;MONTH(C309)&amp;""-""&amp;DAY(C309)&amp;""'""))&gt;0,""Caixa Atendimento"",""Caixa Sangria"")),""""),""Caixa Sangria"")"),"")</f>
        <v/>
      </c>
      <c r="M309" s="185" t="str">
        <f>IFERROR(__xludf.DUMMYFUNCTION("ifna(VALUE(REGEXEXTRACT(E309,""[0-9.]+[,]+[0-9]+"")))"),"")</f>
        <v/>
      </c>
      <c r="N309" s="185"/>
      <c r="O309" s="185"/>
      <c r="P309" s="185"/>
      <c r="Q309" s="185"/>
      <c r="R309" s="185"/>
      <c r="S309" s="185"/>
      <c r="T309" s="185"/>
      <c r="U309" s="185"/>
      <c r="V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184" t="str">
        <f>IFERROR(__xludf.DUMMYFUNCTION("ifna(IF(and(D310=""Saída"",J310=""Sangria""),if(sum(QUERY(IMPORTRANGE(""https://docs.google.com/spreadsheets/d/1ykfbEpHEAAZVCgujsGjRFJRCTULkzlWa8UjdyLzkDBM"",""BD M Sangrias!a:i""),""select Col6 where Col7 = 'Depositada' and Col9 = '""&amp;K310&amp;""' and Col6 ="&amp;" ""&amp;M310&amp;"" and Col4 = date '""&amp;YEAR(C310)&amp;""-""&amp;MONTH(C310)&amp;""-""&amp;DAY(C310)&amp;""'""))&gt;0,""Depositada"",if(sum(QUERY(IMPORTRANGE(""https://docs.google.com/spreadsheets/d/1ykfbEpHEAAZVCgujsGjRFJRCTULkzlWa8UjdyLzkDBM"",""BD M Sangrias!a:i""),""select Col6 whe"&amp;"re Col7 = 'Caixa Atendimento' and Col9 = '""&amp;K310&amp;""' and Col6 = ""&amp;M310&amp;"" and Col4 = date '""&amp;YEAR(C310)&amp;""-""&amp;MONTH(C310)&amp;""-""&amp;DAY(C310)&amp;""'""))&gt;0,""Caixa Atendimento"",""Caixa Sangria"")),""""),""Caixa Sangria"")"),"")</f>
        <v/>
      </c>
      <c r="M310" s="185" t="str">
        <f>IFERROR(__xludf.DUMMYFUNCTION("ifna(VALUE(REGEXEXTRACT(E310,""[0-9.]+[,]+[0-9]+"")))"),"")</f>
        <v/>
      </c>
      <c r="N310" s="185"/>
      <c r="O310" s="185"/>
      <c r="P310" s="185"/>
      <c r="Q310" s="185"/>
      <c r="R310" s="185"/>
      <c r="S310" s="185"/>
      <c r="T310" s="185"/>
      <c r="U310" s="185"/>
      <c r="V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184" t="str">
        <f>IFERROR(__xludf.DUMMYFUNCTION("ifna(IF(and(D311=""Saída"",J311=""Sangria""),if(sum(QUERY(IMPORTRANGE(""https://docs.google.com/spreadsheets/d/1ykfbEpHEAAZVCgujsGjRFJRCTULkzlWa8UjdyLzkDBM"",""BD M Sangrias!a:i""),""select Col6 where Col7 = 'Depositada' and Col9 = '""&amp;K311&amp;""' and Col6 ="&amp;" ""&amp;M311&amp;"" and Col4 = date '""&amp;YEAR(C311)&amp;""-""&amp;MONTH(C311)&amp;""-""&amp;DAY(C311)&amp;""'""))&gt;0,""Depositada"",if(sum(QUERY(IMPORTRANGE(""https://docs.google.com/spreadsheets/d/1ykfbEpHEAAZVCgujsGjRFJRCTULkzlWa8UjdyLzkDBM"",""BD M Sangrias!a:i""),""select Col6 whe"&amp;"re Col7 = 'Caixa Atendimento' and Col9 = '""&amp;K311&amp;""' and Col6 = ""&amp;M311&amp;"" and Col4 = date '""&amp;YEAR(C311)&amp;""-""&amp;MONTH(C311)&amp;""-""&amp;DAY(C311)&amp;""'""))&gt;0,""Caixa Atendimento"",""Caixa Sangria"")),""""),""Caixa Sangria"")"),"")</f>
        <v/>
      </c>
      <c r="M311" s="185" t="str">
        <f>IFERROR(__xludf.DUMMYFUNCTION("ifna(VALUE(REGEXEXTRACT(E311,""[0-9.]+[,]+[0-9]+"")))"),"")</f>
        <v/>
      </c>
      <c r="N311" s="185"/>
      <c r="O311" s="185"/>
      <c r="P311" s="185"/>
      <c r="Q311" s="185"/>
      <c r="R311" s="185"/>
      <c r="S311" s="185"/>
      <c r="T311" s="185"/>
      <c r="U311" s="185"/>
      <c r="V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184" t="str">
        <f>IFERROR(__xludf.DUMMYFUNCTION("ifna(IF(and(D312=""Saída"",J312=""Sangria""),if(sum(QUERY(IMPORTRANGE(""https://docs.google.com/spreadsheets/d/1ykfbEpHEAAZVCgujsGjRFJRCTULkzlWa8UjdyLzkDBM"",""BD M Sangrias!a:i""),""select Col6 where Col7 = 'Depositada' and Col9 = '""&amp;K312&amp;""' and Col6 ="&amp;" ""&amp;M312&amp;"" and Col4 = date '""&amp;YEAR(C312)&amp;""-""&amp;MONTH(C312)&amp;""-""&amp;DAY(C312)&amp;""'""))&gt;0,""Depositada"",if(sum(QUERY(IMPORTRANGE(""https://docs.google.com/spreadsheets/d/1ykfbEpHEAAZVCgujsGjRFJRCTULkzlWa8UjdyLzkDBM"",""BD M Sangrias!a:i""),""select Col6 whe"&amp;"re Col7 = 'Caixa Atendimento' and Col9 = '""&amp;K312&amp;""' and Col6 = ""&amp;M312&amp;"" and Col4 = date '""&amp;YEAR(C312)&amp;""-""&amp;MONTH(C312)&amp;""-""&amp;DAY(C312)&amp;""'""))&gt;0,""Caixa Atendimento"",""Caixa Sangria"")),""""),""Caixa Sangria"")"),"")</f>
        <v/>
      </c>
      <c r="M312" s="185" t="str">
        <f>IFERROR(__xludf.DUMMYFUNCTION("ifna(VALUE(REGEXEXTRACT(E312,""[0-9.]+[,]+[0-9]+"")))"),"")</f>
        <v/>
      </c>
      <c r="N312" s="185"/>
      <c r="O312" s="185"/>
      <c r="P312" s="185"/>
      <c r="Q312" s="185"/>
      <c r="R312" s="185"/>
      <c r="S312" s="185"/>
      <c r="T312" s="185"/>
      <c r="U312" s="185"/>
      <c r="V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184" t="str">
        <f>IFERROR(__xludf.DUMMYFUNCTION("ifna(IF(and(D313=""Saída"",J313=""Sangria""),if(sum(QUERY(IMPORTRANGE(""https://docs.google.com/spreadsheets/d/1ykfbEpHEAAZVCgujsGjRFJRCTULkzlWa8UjdyLzkDBM"",""BD M Sangrias!a:i""),""select Col6 where Col7 = 'Depositada' and Col9 = '""&amp;K313&amp;""' and Col6 ="&amp;" ""&amp;M313&amp;"" and Col4 = date '""&amp;YEAR(C313)&amp;""-""&amp;MONTH(C313)&amp;""-""&amp;DAY(C313)&amp;""'""))&gt;0,""Depositada"",if(sum(QUERY(IMPORTRANGE(""https://docs.google.com/spreadsheets/d/1ykfbEpHEAAZVCgujsGjRFJRCTULkzlWa8UjdyLzkDBM"",""BD M Sangrias!a:i""),""select Col6 whe"&amp;"re Col7 = 'Caixa Atendimento' and Col9 = '""&amp;K313&amp;""' and Col6 = ""&amp;M313&amp;"" and Col4 = date '""&amp;YEAR(C313)&amp;""-""&amp;MONTH(C313)&amp;""-""&amp;DAY(C313)&amp;""'""))&gt;0,""Caixa Atendimento"",""Caixa Sangria"")),""""),""Caixa Sangria"")"),"")</f>
        <v/>
      </c>
      <c r="M313" s="185" t="str">
        <f>IFERROR(__xludf.DUMMYFUNCTION("ifna(VALUE(REGEXEXTRACT(E313,""[0-9.]+[,]+[0-9]+"")))"),"")</f>
        <v/>
      </c>
      <c r="N313" s="185"/>
      <c r="O313" s="185"/>
      <c r="P313" s="185"/>
      <c r="Q313" s="185"/>
      <c r="R313" s="185"/>
      <c r="S313" s="185"/>
      <c r="T313" s="185"/>
      <c r="U313" s="185"/>
      <c r="V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184" t="str">
        <f>IFERROR(__xludf.DUMMYFUNCTION("ifna(IF(and(D314=""Saída"",J314=""Sangria""),if(sum(QUERY(IMPORTRANGE(""https://docs.google.com/spreadsheets/d/1ykfbEpHEAAZVCgujsGjRFJRCTULkzlWa8UjdyLzkDBM"",""BD M Sangrias!a:i""),""select Col6 where Col7 = 'Depositada' and Col9 = '""&amp;K314&amp;""' and Col6 ="&amp;" ""&amp;M314&amp;"" and Col4 = date '""&amp;YEAR(C314)&amp;""-""&amp;MONTH(C314)&amp;""-""&amp;DAY(C314)&amp;""'""))&gt;0,""Depositada"",if(sum(QUERY(IMPORTRANGE(""https://docs.google.com/spreadsheets/d/1ykfbEpHEAAZVCgujsGjRFJRCTULkzlWa8UjdyLzkDBM"",""BD M Sangrias!a:i""),""select Col6 whe"&amp;"re Col7 = 'Caixa Atendimento' and Col9 = '""&amp;K314&amp;""' and Col6 = ""&amp;M314&amp;"" and Col4 = date '""&amp;YEAR(C314)&amp;""-""&amp;MONTH(C314)&amp;""-""&amp;DAY(C314)&amp;""'""))&gt;0,""Caixa Atendimento"",""Caixa Sangria"")),""""),""Caixa Sangria"")"),"")</f>
        <v/>
      </c>
      <c r="M314" s="185" t="str">
        <f>IFERROR(__xludf.DUMMYFUNCTION("ifna(VALUE(REGEXEXTRACT(E314,""[0-9.]+[,]+[0-9]+"")))"),"")</f>
        <v/>
      </c>
      <c r="N314" s="185"/>
      <c r="O314" s="185"/>
      <c r="P314" s="185"/>
      <c r="Q314" s="185"/>
      <c r="R314" s="185"/>
      <c r="S314" s="185"/>
      <c r="T314" s="185"/>
      <c r="U314" s="185"/>
      <c r="V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184" t="str">
        <f>IFERROR(__xludf.DUMMYFUNCTION("ifna(IF(and(D315=""Saída"",J315=""Sangria""),if(sum(QUERY(IMPORTRANGE(""https://docs.google.com/spreadsheets/d/1ykfbEpHEAAZVCgujsGjRFJRCTULkzlWa8UjdyLzkDBM"",""BD M Sangrias!a:i""),""select Col6 where Col7 = 'Depositada' and Col9 = '""&amp;K315&amp;""' and Col6 ="&amp;" ""&amp;M315&amp;"" and Col4 = date '""&amp;YEAR(C315)&amp;""-""&amp;MONTH(C315)&amp;""-""&amp;DAY(C315)&amp;""'""))&gt;0,""Depositada"",if(sum(QUERY(IMPORTRANGE(""https://docs.google.com/spreadsheets/d/1ykfbEpHEAAZVCgujsGjRFJRCTULkzlWa8UjdyLzkDBM"",""BD M Sangrias!a:i""),""select Col6 whe"&amp;"re Col7 = 'Caixa Atendimento' and Col9 = '""&amp;K315&amp;""' and Col6 = ""&amp;M315&amp;"" and Col4 = date '""&amp;YEAR(C315)&amp;""-""&amp;MONTH(C315)&amp;""-""&amp;DAY(C315)&amp;""'""))&gt;0,""Caixa Atendimento"",""Caixa Sangria"")),""""),""Caixa Sangria"")"),"")</f>
        <v/>
      </c>
      <c r="M315" s="185" t="str">
        <f>IFERROR(__xludf.DUMMYFUNCTION("ifna(VALUE(REGEXEXTRACT(E315,""[0-9.]+[,]+[0-9]+"")))"),"")</f>
        <v/>
      </c>
      <c r="N315" s="185"/>
      <c r="O315" s="185"/>
      <c r="P315" s="185"/>
      <c r="Q315" s="185"/>
      <c r="R315" s="185"/>
      <c r="S315" s="185"/>
      <c r="T315" s="185"/>
      <c r="U315" s="185"/>
      <c r="V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184" t="str">
        <f>IFERROR(__xludf.DUMMYFUNCTION("ifna(IF(and(D316=""Saída"",J316=""Sangria""),if(sum(QUERY(IMPORTRANGE(""https://docs.google.com/spreadsheets/d/1ykfbEpHEAAZVCgujsGjRFJRCTULkzlWa8UjdyLzkDBM"",""BD M Sangrias!a:i""),""select Col6 where Col7 = 'Depositada' and Col9 = '""&amp;K316&amp;""' and Col6 ="&amp;" ""&amp;M316&amp;"" and Col4 = date '""&amp;YEAR(C316)&amp;""-""&amp;MONTH(C316)&amp;""-""&amp;DAY(C316)&amp;""'""))&gt;0,""Depositada"",if(sum(QUERY(IMPORTRANGE(""https://docs.google.com/spreadsheets/d/1ykfbEpHEAAZVCgujsGjRFJRCTULkzlWa8UjdyLzkDBM"",""BD M Sangrias!a:i""),""select Col6 whe"&amp;"re Col7 = 'Caixa Atendimento' and Col9 = '""&amp;K316&amp;""' and Col6 = ""&amp;M316&amp;"" and Col4 = date '""&amp;YEAR(C316)&amp;""-""&amp;MONTH(C316)&amp;""-""&amp;DAY(C316)&amp;""'""))&gt;0,""Caixa Atendimento"",""Caixa Sangria"")),""""),""Caixa Sangria"")"),"")</f>
        <v/>
      </c>
      <c r="M316" s="185" t="str">
        <f>IFERROR(__xludf.DUMMYFUNCTION("ifna(VALUE(REGEXEXTRACT(E316,""[0-9.]+[,]+[0-9]+"")))"),"")</f>
        <v/>
      </c>
      <c r="N316" s="185"/>
      <c r="O316" s="185"/>
      <c r="P316" s="185"/>
      <c r="Q316" s="185"/>
      <c r="R316" s="185"/>
      <c r="S316" s="185"/>
      <c r="T316" s="185"/>
      <c r="U316" s="185"/>
      <c r="V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184" t="str">
        <f>IFERROR(__xludf.DUMMYFUNCTION("ifna(IF(and(D317=""Saída"",J317=""Sangria""),if(sum(QUERY(IMPORTRANGE(""https://docs.google.com/spreadsheets/d/1ykfbEpHEAAZVCgujsGjRFJRCTULkzlWa8UjdyLzkDBM"",""BD M Sangrias!a:i""),""select Col6 where Col7 = 'Depositada' and Col9 = '""&amp;K317&amp;""' and Col6 ="&amp;" ""&amp;M317&amp;"" and Col4 = date '""&amp;YEAR(C317)&amp;""-""&amp;MONTH(C317)&amp;""-""&amp;DAY(C317)&amp;""'""))&gt;0,""Depositada"",if(sum(QUERY(IMPORTRANGE(""https://docs.google.com/spreadsheets/d/1ykfbEpHEAAZVCgujsGjRFJRCTULkzlWa8UjdyLzkDBM"",""BD M Sangrias!a:i""),""select Col6 whe"&amp;"re Col7 = 'Caixa Atendimento' and Col9 = '""&amp;K317&amp;""' and Col6 = ""&amp;M317&amp;"" and Col4 = date '""&amp;YEAR(C317)&amp;""-""&amp;MONTH(C317)&amp;""-""&amp;DAY(C317)&amp;""'""))&gt;0,""Caixa Atendimento"",""Caixa Sangria"")),""""),""Caixa Sangria"")"),"")</f>
        <v/>
      </c>
      <c r="M317" s="185" t="str">
        <f>IFERROR(__xludf.DUMMYFUNCTION("ifna(VALUE(REGEXEXTRACT(E317,""[0-9.]+[,]+[0-9]+"")))"),"")</f>
        <v/>
      </c>
      <c r="N317" s="185"/>
      <c r="O317" s="185"/>
      <c r="P317" s="185"/>
      <c r="Q317" s="185"/>
      <c r="R317" s="185"/>
      <c r="S317" s="185"/>
      <c r="T317" s="185"/>
      <c r="U317" s="185"/>
      <c r="V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184" t="str">
        <f>IFERROR(__xludf.DUMMYFUNCTION("ifna(IF(and(D318=""Saída"",J318=""Sangria""),if(sum(QUERY(IMPORTRANGE(""https://docs.google.com/spreadsheets/d/1ykfbEpHEAAZVCgujsGjRFJRCTULkzlWa8UjdyLzkDBM"",""BD M Sangrias!a:i""),""select Col6 where Col7 = 'Depositada' and Col9 = '""&amp;K318&amp;""' and Col6 ="&amp;" ""&amp;M318&amp;"" and Col4 = date '""&amp;YEAR(C318)&amp;""-""&amp;MONTH(C318)&amp;""-""&amp;DAY(C318)&amp;""'""))&gt;0,""Depositada"",if(sum(QUERY(IMPORTRANGE(""https://docs.google.com/spreadsheets/d/1ykfbEpHEAAZVCgujsGjRFJRCTULkzlWa8UjdyLzkDBM"",""BD M Sangrias!a:i""),""select Col6 whe"&amp;"re Col7 = 'Caixa Atendimento' and Col9 = '""&amp;K318&amp;""' and Col6 = ""&amp;M318&amp;"" and Col4 = date '""&amp;YEAR(C318)&amp;""-""&amp;MONTH(C318)&amp;""-""&amp;DAY(C318)&amp;""'""))&gt;0,""Caixa Atendimento"",""Caixa Sangria"")),""""),""Caixa Sangria"")"),"")</f>
        <v/>
      </c>
      <c r="M318" s="185" t="str">
        <f>IFERROR(__xludf.DUMMYFUNCTION("ifna(VALUE(REGEXEXTRACT(E318,""[0-9.]+[,]+[0-9]+"")))"),"")</f>
        <v/>
      </c>
      <c r="N318" s="185"/>
      <c r="O318" s="185"/>
      <c r="P318" s="185"/>
      <c r="Q318" s="185"/>
      <c r="R318" s="185"/>
      <c r="S318" s="185"/>
      <c r="T318" s="185"/>
      <c r="U318" s="185"/>
      <c r="V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184" t="str">
        <f>IFERROR(__xludf.DUMMYFUNCTION("ifna(IF(and(D319=""Saída"",J319=""Sangria""),if(sum(QUERY(IMPORTRANGE(""https://docs.google.com/spreadsheets/d/1ykfbEpHEAAZVCgujsGjRFJRCTULkzlWa8UjdyLzkDBM"",""BD M Sangrias!a:i""),""select Col6 where Col7 = 'Depositada' and Col9 = '""&amp;K319&amp;""' and Col6 ="&amp;" ""&amp;M319&amp;"" and Col4 = date '""&amp;YEAR(C319)&amp;""-""&amp;MONTH(C319)&amp;""-""&amp;DAY(C319)&amp;""'""))&gt;0,""Depositada"",if(sum(QUERY(IMPORTRANGE(""https://docs.google.com/spreadsheets/d/1ykfbEpHEAAZVCgujsGjRFJRCTULkzlWa8UjdyLzkDBM"",""BD M Sangrias!a:i""),""select Col6 whe"&amp;"re Col7 = 'Caixa Atendimento' and Col9 = '""&amp;K319&amp;""' and Col6 = ""&amp;M319&amp;"" and Col4 = date '""&amp;YEAR(C319)&amp;""-""&amp;MONTH(C319)&amp;""-""&amp;DAY(C319)&amp;""'""))&gt;0,""Caixa Atendimento"",""Caixa Sangria"")),""""),""Caixa Sangria"")"),"")</f>
        <v/>
      </c>
      <c r="M319" s="185" t="str">
        <f>IFERROR(__xludf.DUMMYFUNCTION("ifna(VALUE(REGEXEXTRACT(E319,""[0-9.]+[,]+[0-9]+"")))"),"")</f>
        <v/>
      </c>
      <c r="N319" s="185"/>
      <c r="O319" s="185"/>
      <c r="P319" s="185"/>
      <c r="Q319" s="185"/>
      <c r="R319" s="185"/>
      <c r="S319" s="185"/>
      <c r="T319" s="185"/>
      <c r="U319" s="185"/>
      <c r="V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184" t="str">
        <f>IFERROR(__xludf.DUMMYFUNCTION("ifna(IF(and(D320=""Saída"",J320=""Sangria""),if(sum(QUERY(IMPORTRANGE(""https://docs.google.com/spreadsheets/d/1ykfbEpHEAAZVCgujsGjRFJRCTULkzlWa8UjdyLzkDBM"",""BD M Sangrias!a:i""),""select Col6 where Col7 = 'Depositada' and Col9 = '""&amp;K320&amp;""' and Col6 ="&amp;" ""&amp;M320&amp;"" and Col4 = date '""&amp;YEAR(C320)&amp;""-""&amp;MONTH(C320)&amp;""-""&amp;DAY(C320)&amp;""'""))&gt;0,""Depositada"",if(sum(QUERY(IMPORTRANGE(""https://docs.google.com/spreadsheets/d/1ykfbEpHEAAZVCgujsGjRFJRCTULkzlWa8UjdyLzkDBM"",""BD M Sangrias!a:i""),""select Col6 whe"&amp;"re Col7 = 'Caixa Atendimento' and Col9 = '""&amp;K320&amp;""' and Col6 = ""&amp;M320&amp;"" and Col4 = date '""&amp;YEAR(C320)&amp;""-""&amp;MONTH(C320)&amp;""-""&amp;DAY(C320)&amp;""'""))&gt;0,""Caixa Atendimento"",""Caixa Sangria"")),""""),""Caixa Sangria"")"),"")</f>
        <v/>
      </c>
      <c r="M320" s="185" t="str">
        <f>IFERROR(__xludf.DUMMYFUNCTION("ifna(VALUE(REGEXEXTRACT(E320,""[0-9.]+[,]+[0-9]+"")))"),"")</f>
        <v/>
      </c>
      <c r="N320" s="185"/>
      <c r="O320" s="185"/>
      <c r="P320" s="185"/>
      <c r="Q320" s="185"/>
      <c r="R320" s="185"/>
      <c r="S320" s="185"/>
      <c r="T320" s="185"/>
      <c r="U320" s="185"/>
      <c r="V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184" t="str">
        <f>IFERROR(__xludf.DUMMYFUNCTION("ifna(IF(and(D321=""Saída"",J321=""Sangria""),if(sum(QUERY(IMPORTRANGE(""https://docs.google.com/spreadsheets/d/1ykfbEpHEAAZVCgujsGjRFJRCTULkzlWa8UjdyLzkDBM"",""BD M Sangrias!a:i""),""select Col6 where Col7 = 'Depositada' and Col9 = '""&amp;K321&amp;""' and Col6 ="&amp;" ""&amp;M321&amp;"" and Col4 = date '""&amp;YEAR(C321)&amp;""-""&amp;MONTH(C321)&amp;""-""&amp;DAY(C321)&amp;""'""))&gt;0,""Depositada"",if(sum(QUERY(IMPORTRANGE(""https://docs.google.com/spreadsheets/d/1ykfbEpHEAAZVCgujsGjRFJRCTULkzlWa8UjdyLzkDBM"",""BD M Sangrias!a:i""),""select Col6 whe"&amp;"re Col7 = 'Caixa Atendimento' and Col9 = '""&amp;K321&amp;""' and Col6 = ""&amp;M321&amp;"" and Col4 = date '""&amp;YEAR(C321)&amp;""-""&amp;MONTH(C321)&amp;""-""&amp;DAY(C321)&amp;""'""))&gt;0,""Caixa Atendimento"",""Caixa Sangria"")),""""),""Caixa Sangria"")"),"")</f>
        <v/>
      </c>
      <c r="M321" s="185" t="str">
        <f>IFERROR(__xludf.DUMMYFUNCTION("ifna(VALUE(REGEXEXTRACT(E321,""[0-9.]+[,]+[0-9]+"")))"),"")</f>
        <v/>
      </c>
      <c r="N321" s="185"/>
      <c r="O321" s="185"/>
      <c r="P321" s="185"/>
      <c r="Q321" s="185"/>
      <c r="R321" s="185"/>
      <c r="S321" s="185"/>
      <c r="T321" s="185"/>
      <c r="U321" s="185"/>
      <c r="V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184" t="str">
        <f>IFERROR(__xludf.DUMMYFUNCTION("ifna(IF(and(D322=""Saída"",J322=""Sangria""),if(sum(QUERY(IMPORTRANGE(""https://docs.google.com/spreadsheets/d/1ykfbEpHEAAZVCgujsGjRFJRCTULkzlWa8UjdyLzkDBM"",""BD M Sangrias!a:i""),""select Col6 where Col7 = 'Depositada' and Col9 = '""&amp;K322&amp;""' and Col6 ="&amp;" ""&amp;M322&amp;"" and Col4 = date '""&amp;YEAR(C322)&amp;""-""&amp;MONTH(C322)&amp;""-""&amp;DAY(C322)&amp;""'""))&gt;0,""Depositada"",if(sum(QUERY(IMPORTRANGE(""https://docs.google.com/spreadsheets/d/1ykfbEpHEAAZVCgujsGjRFJRCTULkzlWa8UjdyLzkDBM"",""BD M Sangrias!a:i""),""select Col6 whe"&amp;"re Col7 = 'Caixa Atendimento' and Col9 = '""&amp;K322&amp;""' and Col6 = ""&amp;M322&amp;"" and Col4 = date '""&amp;YEAR(C322)&amp;""-""&amp;MONTH(C322)&amp;""-""&amp;DAY(C322)&amp;""'""))&gt;0,""Caixa Atendimento"",""Caixa Sangria"")),""""),""Caixa Sangria"")"),"")</f>
        <v/>
      </c>
      <c r="M322" s="185" t="str">
        <f>IFERROR(__xludf.DUMMYFUNCTION("ifna(VALUE(REGEXEXTRACT(E322,""[0-9.]+[,]+[0-9]+"")))"),"")</f>
        <v/>
      </c>
      <c r="N322" s="185"/>
      <c r="O322" s="185"/>
      <c r="P322" s="185"/>
      <c r="Q322" s="185"/>
      <c r="R322" s="185"/>
      <c r="S322" s="185"/>
      <c r="T322" s="185"/>
      <c r="U322" s="185"/>
      <c r="V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184" t="str">
        <f>IFERROR(__xludf.DUMMYFUNCTION("ifna(IF(and(D323=""Saída"",J323=""Sangria""),if(sum(QUERY(IMPORTRANGE(""https://docs.google.com/spreadsheets/d/1ykfbEpHEAAZVCgujsGjRFJRCTULkzlWa8UjdyLzkDBM"",""BD M Sangrias!a:i""),""select Col6 where Col7 = 'Depositada' and Col9 = '""&amp;K323&amp;""' and Col6 ="&amp;" ""&amp;M323&amp;"" and Col4 = date '""&amp;YEAR(C323)&amp;""-""&amp;MONTH(C323)&amp;""-""&amp;DAY(C323)&amp;""'""))&gt;0,""Depositada"",if(sum(QUERY(IMPORTRANGE(""https://docs.google.com/spreadsheets/d/1ykfbEpHEAAZVCgujsGjRFJRCTULkzlWa8UjdyLzkDBM"",""BD M Sangrias!a:i""),""select Col6 whe"&amp;"re Col7 = 'Caixa Atendimento' and Col9 = '""&amp;K323&amp;""' and Col6 = ""&amp;M323&amp;"" and Col4 = date '""&amp;YEAR(C323)&amp;""-""&amp;MONTH(C323)&amp;""-""&amp;DAY(C323)&amp;""'""))&gt;0,""Caixa Atendimento"",""Caixa Sangria"")),""""),""Caixa Sangria"")"),"")</f>
        <v/>
      </c>
      <c r="M323" s="185" t="str">
        <f>IFERROR(__xludf.DUMMYFUNCTION("ifna(VALUE(REGEXEXTRACT(E323,""[0-9.]+[,]+[0-9]+"")))"),"")</f>
        <v/>
      </c>
      <c r="N323" s="185"/>
      <c r="O323" s="185"/>
      <c r="P323" s="185"/>
      <c r="Q323" s="185"/>
      <c r="R323" s="185"/>
      <c r="S323" s="185"/>
      <c r="T323" s="185"/>
      <c r="U323" s="185"/>
      <c r="V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184" t="str">
        <f>IFERROR(__xludf.DUMMYFUNCTION("ifna(IF(and(D324=""Saída"",J324=""Sangria""),if(sum(QUERY(IMPORTRANGE(""https://docs.google.com/spreadsheets/d/1ykfbEpHEAAZVCgujsGjRFJRCTULkzlWa8UjdyLzkDBM"",""BD M Sangrias!a:i""),""select Col6 where Col7 = 'Depositada' and Col9 = '""&amp;K324&amp;""' and Col6 ="&amp;" ""&amp;M324&amp;"" and Col4 = date '""&amp;YEAR(C324)&amp;""-""&amp;MONTH(C324)&amp;""-""&amp;DAY(C324)&amp;""'""))&gt;0,""Depositada"",if(sum(QUERY(IMPORTRANGE(""https://docs.google.com/spreadsheets/d/1ykfbEpHEAAZVCgujsGjRFJRCTULkzlWa8UjdyLzkDBM"",""BD M Sangrias!a:i""),""select Col6 whe"&amp;"re Col7 = 'Caixa Atendimento' and Col9 = '""&amp;K324&amp;""' and Col6 = ""&amp;M324&amp;"" and Col4 = date '""&amp;YEAR(C324)&amp;""-""&amp;MONTH(C324)&amp;""-""&amp;DAY(C324)&amp;""'""))&gt;0,""Caixa Atendimento"",""Caixa Sangria"")),""""),""Caixa Sangria"")"),"")</f>
        <v/>
      </c>
      <c r="M324" s="185" t="str">
        <f>IFERROR(__xludf.DUMMYFUNCTION("ifna(VALUE(REGEXEXTRACT(E324,""[0-9.]+[,]+[0-9]+"")))"),"")</f>
        <v/>
      </c>
      <c r="N324" s="185"/>
      <c r="O324" s="185"/>
      <c r="P324" s="185"/>
      <c r="Q324" s="185"/>
      <c r="R324" s="185"/>
      <c r="S324" s="185"/>
      <c r="T324" s="185"/>
      <c r="U324" s="185"/>
      <c r="V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184" t="str">
        <f>IFERROR(__xludf.DUMMYFUNCTION("ifna(IF(and(D325=""Saída"",J325=""Sangria""),if(sum(QUERY(IMPORTRANGE(""https://docs.google.com/spreadsheets/d/1ykfbEpHEAAZVCgujsGjRFJRCTULkzlWa8UjdyLzkDBM"",""BD M Sangrias!a:i""),""select Col6 where Col7 = 'Depositada' and Col9 = '""&amp;K325&amp;""' and Col6 ="&amp;" ""&amp;M325&amp;"" and Col4 = date '""&amp;YEAR(C325)&amp;""-""&amp;MONTH(C325)&amp;""-""&amp;DAY(C325)&amp;""'""))&gt;0,""Depositada"",if(sum(QUERY(IMPORTRANGE(""https://docs.google.com/spreadsheets/d/1ykfbEpHEAAZVCgujsGjRFJRCTULkzlWa8UjdyLzkDBM"",""BD M Sangrias!a:i""),""select Col6 whe"&amp;"re Col7 = 'Caixa Atendimento' and Col9 = '""&amp;K325&amp;""' and Col6 = ""&amp;M325&amp;"" and Col4 = date '""&amp;YEAR(C325)&amp;""-""&amp;MONTH(C325)&amp;""-""&amp;DAY(C325)&amp;""'""))&gt;0,""Caixa Atendimento"",""Caixa Sangria"")),""""),""Caixa Sangria"")"),"")</f>
        <v/>
      </c>
      <c r="M325" s="185" t="str">
        <f>IFERROR(__xludf.DUMMYFUNCTION("ifna(VALUE(REGEXEXTRACT(E325,""[0-9.]+[,]+[0-9]+"")))"),"")</f>
        <v/>
      </c>
      <c r="N325" s="185"/>
      <c r="O325" s="185"/>
      <c r="P325" s="185"/>
      <c r="Q325" s="185"/>
      <c r="R325" s="185"/>
      <c r="S325" s="185"/>
      <c r="T325" s="185"/>
      <c r="U325" s="185"/>
      <c r="V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184" t="str">
        <f>IFERROR(__xludf.DUMMYFUNCTION("ifna(IF(and(D326=""Saída"",J326=""Sangria""),if(sum(QUERY(IMPORTRANGE(""https://docs.google.com/spreadsheets/d/1ykfbEpHEAAZVCgujsGjRFJRCTULkzlWa8UjdyLzkDBM"",""BD M Sangrias!a:i""),""select Col6 where Col7 = 'Depositada' and Col9 = '""&amp;K326&amp;""' and Col6 ="&amp;" ""&amp;M326&amp;"" and Col4 = date '""&amp;YEAR(C326)&amp;""-""&amp;MONTH(C326)&amp;""-""&amp;DAY(C326)&amp;""'""))&gt;0,""Depositada"",if(sum(QUERY(IMPORTRANGE(""https://docs.google.com/spreadsheets/d/1ykfbEpHEAAZVCgujsGjRFJRCTULkzlWa8UjdyLzkDBM"",""BD M Sangrias!a:i""),""select Col6 whe"&amp;"re Col7 = 'Caixa Atendimento' and Col9 = '""&amp;K326&amp;""' and Col6 = ""&amp;M326&amp;"" and Col4 = date '""&amp;YEAR(C326)&amp;""-""&amp;MONTH(C326)&amp;""-""&amp;DAY(C326)&amp;""'""))&gt;0,""Caixa Atendimento"",""Caixa Sangria"")),""""),""Caixa Sangria"")"),"")</f>
        <v/>
      </c>
      <c r="M326" s="185" t="str">
        <f>IFERROR(__xludf.DUMMYFUNCTION("ifna(VALUE(REGEXEXTRACT(E326,""[0-9.]+[,]+[0-9]+"")))"),"")</f>
        <v/>
      </c>
      <c r="N326" s="185"/>
      <c r="O326" s="185"/>
      <c r="P326" s="185"/>
      <c r="Q326" s="185"/>
      <c r="R326" s="185"/>
      <c r="S326" s="185"/>
      <c r="T326" s="185"/>
      <c r="U326" s="185"/>
      <c r="V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184" t="str">
        <f>IFERROR(__xludf.DUMMYFUNCTION("ifna(IF(and(D327=""Saída"",J327=""Sangria""),if(sum(QUERY(IMPORTRANGE(""https://docs.google.com/spreadsheets/d/1ykfbEpHEAAZVCgujsGjRFJRCTULkzlWa8UjdyLzkDBM"",""BD M Sangrias!a:i""),""select Col6 where Col7 = 'Depositada' and Col9 = '""&amp;K327&amp;""' and Col6 ="&amp;" ""&amp;M327&amp;"" and Col4 = date '""&amp;YEAR(C327)&amp;""-""&amp;MONTH(C327)&amp;""-""&amp;DAY(C327)&amp;""'""))&gt;0,""Depositada"",if(sum(QUERY(IMPORTRANGE(""https://docs.google.com/spreadsheets/d/1ykfbEpHEAAZVCgujsGjRFJRCTULkzlWa8UjdyLzkDBM"",""BD M Sangrias!a:i""),""select Col6 whe"&amp;"re Col7 = 'Caixa Atendimento' and Col9 = '""&amp;K327&amp;""' and Col6 = ""&amp;M327&amp;"" and Col4 = date '""&amp;YEAR(C327)&amp;""-""&amp;MONTH(C327)&amp;""-""&amp;DAY(C327)&amp;""'""))&gt;0,""Caixa Atendimento"",""Caixa Sangria"")),""""),""Caixa Sangria"")"),"")</f>
        <v/>
      </c>
      <c r="M327" s="185" t="str">
        <f>IFERROR(__xludf.DUMMYFUNCTION("ifna(VALUE(REGEXEXTRACT(E327,""[0-9.]+[,]+[0-9]+"")))"),"")</f>
        <v/>
      </c>
      <c r="N327" s="185"/>
      <c r="O327" s="185"/>
      <c r="P327" s="185"/>
      <c r="Q327" s="185"/>
      <c r="R327" s="185"/>
      <c r="S327" s="185"/>
      <c r="T327" s="185"/>
      <c r="U327" s="185"/>
      <c r="V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184" t="str">
        <f>IFERROR(__xludf.DUMMYFUNCTION("ifna(IF(and(D328=""Saída"",J328=""Sangria""),if(sum(QUERY(IMPORTRANGE(""https://docs.google.com/spreadsheets/d/1ykfbEpHEAAZVCgujsGjRFJRCTULkzlWa8UjdyLzkDBM"",""BD M Sangrias!a:i""),""select Col6 where Col7 = 'Depositada' and Col9 = '""&amp;K328&amp;""' and Col6 ="&amp;" ""&amp;M328&amp;"" and Col4 = date '""&amp;YEAR(C328)&amp;""-""&amp;MONTH(C328)&amp;""-""&amp;DAY(C328)&amp;""'""))&gt;0,""Depositada"",if(sum(QUERY(IMPORTRANGE(""https://docs.google.com/spreadsheets/d/1ykfbEpHEAAZVCgujsGjRFJRCTULkzlWa8UjdyLzkDBM"",""BD M Sangrias!a:i""),""select Col6 whe"&amp;"re Col7 = 'Caixa Atendimento' and Col9 = '""&amp;K328&amp;""' and Col6 = ""&amp;M328&amp;"" and Col4 = date '""&amp;YEAR(C328)&amp;""-""&amp;MONTH(C328)&amp;""-""&amp;DAY(C328)&amp;""'""))&gt;0,""Caixa Atendimento"",""Caixa Sangria"")),""""),""Caixa Sangria"")"),"")</f>
        <v/>
      </c>
      <c r="M328" s="185" t="str">
        <f>IFERROR(__xludf.DUMMYFUNCTION("ifna(VALUE(REGEXEXTRACT(E328,""[0-9.]+[,]+[0-9]+"")))"),"")</f>
        <v/>
      </c>
      <c r="N328" s="185"/>
      <c r="O328" s="185"/>
      <c r="P328" s="185"/>
      <c r="Q328" s="185"/>
      <c r="R328" s="185"/>
      <c r="S328" s="185"/>
      <c r="T328" s="185"/>
      <c r="U328" s="185"/>
      <c r="V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184" t="str">
        <f>IFERROR(__xludf.DUMMYFUNCTION("ifna(IF(and(D329=""Saída"",J329=""Sangria""),if(sum(QUERY(IMPORTRANGE(""https://docs.google.com/spreadsheets/d/1ykfbEpHEAAZVCgujsGjRFJRCTULkzlWa8UjdyLzkDBM"",""BD M Sangrias!a:i""),""select Col6 where Col7 = 'Depositada' and Col9 = '""&amp;K329&amp;""' and Col6 ="&amp;" ""&amp;M329&amp;"" and Col4 = date '""&amp;YEAR(C329)&amp;""-""&amp;MONTH(C329)&amp;""-""&amp;DAY(C329)&amp;""'""))&gt;0,""Depositada"",if(sum(QUERY(IMPORTRANGE(""https://docs.google.com/spreadsheets/d/1ykfbEpHEAAZVCgujsGjRFJRCTULkzlWa8UjdyLzkDBM"",""BD M Sangrias!a:i""),""select Col6 whe"&amp;"re Col7 = 'Caixa Atendimento' and Col9 = '""&amp;K329&amp;""' and Col6 = ""&amp;M329&amp;"" and Col4 = date '""&amp;YEAR(C329)&amp;""-""&amp;MONTH(C329)&amp;""-""&amp;DAY(C329)&amp;""'""))&gt;0,""Caixa Atendimento"",""Caixa Sangria"")),""""),""Caixa Sangria"")"),"")</f>
        <v/>
      </c>
      <c r="M329" s="185" t="str">
        <f>IFERROR(__xludf.DUMMYFUNCTION("ifna(VALUE(REGEXEXTRACT(E329,""[0-9.]+[,]+[0-9]+"")))"),"")</f>
        <v/>
      </c>
      <c r="N329" s="185"/>
      <c r="O329" s="185"/>
      <c r="P329" s="185"/>
      <c r="Q329" s="185"/>
      <c r="R329" s="185"/>
      <c r="S329" s="185"/>
      <c r="T329" s="185"/>
      <c r="U329" s="185"/>
      <c r="V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184" t="str">
        <f>IFERROR(__xludf.DUMMYFUNCTION("ifna(IF(and(D330=""Saída"",J330=""Sangria""),if(sum(QUERY(IMPORTRANGE(""https://docs.google.com/spreadsheets/d/1ykfbEpHEAAZVCgujsGjRFJRCTULkzlWa8UjdyLzkDBM"",""BD M Sangrias!a:i""),""select Col6 where Col7 = 'Depositada' and Col9 = '""&amp;K330&amp;""' and Col6 ="&amp;" ""&amp;M330&amp;"" and Col4 = date '""&amp;YEAR(C330)&amp;""-""&amp;MONTH(C330)&amp;""-""&amp;DAY(C330)&amp;""'""))&gt;0,""Depositada"",if(sum(QUERY(IMPORTRANGE(""https://docs.google.com/spreadsheets/d/1ykfbEpHEAAZVCgujsGjRFJRCTULkzlWa8UjdyLzkDBM"",""BD M Sangrias!a:i""),""select Col6 whe"&amp;"re Col7 = 'Caixa Atendimento' and Col9 = '""&amp;K330&amp;""' and Col6 = ""&amp;M330&amp;"" and Col4 = date '""&amp;YEAR(C330)&amp;""-""&amp;MONTH(C330)&amp;""-""&amp;DAY(C330)&amp;""'""))&gt;0,""Caixa Atendimento"",""Caixa Sangria"")),""""),""Caixa Sangria"")"),"")</f>
        <v/>
      </c>
      <c r="M330" s="185" t="str">
        <f>IFERROR(__xludf.DUMMYFUNCTION("ifna(VALUE(REGEXEXTRACT(E330,""[0-9.]+[,]+[0-9]+"")))"),"")</f>
        <v/>
      </c>
      <c r="N330" s="185"/>
      <c r="O330" s="185"/>
      <c r="P330" s="185"/>
      <c r="Q330" s="185"/>
      <c r="R330" s="185"/>
      <c r="S330" s="185"/>
      <c r="T330" s="185"/>
      <c r="U330" s="185"/>
      <c r="V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184" t="str">
        <f>IFERROR(__xludf.DUMMYFUNCTION("ifna(IF(and(D331=""Saída"",J331=""Sangria""),if(sum(QUERY(IMPORTRANGE(""https://docs.google.com/spreadsheets/d/1ykfbEpHEAAZVCgujsGjRFJRCTULkzlWa8UjdyLzkDBM"",""BD M Sangrias!a:i""),""select Col6 where Col7 = 'Depositada' and Col9 = '""&amp;K331&amp;""' and Col6 ="&amp;" ""&amp;M331&amp;"" and Col4 = date '""&amp;YEAR(C331)&amp;""-""&amp;MONTH(C331)&amp;""-""&amp;DAY(C331)&amp;""'""))&gt;0,""Depositada"",if(sum(QUERY(IMPORTRANGE(""https://docs.google.com/spreadsheets/d/1ykfbEpHEAAZVCgujsGjRFJRCTULkzlWa8UjdyLzkDBM"",""BD M Sangrias!a:i""),""select Col6 whe"&amp;"re Col7 = 'Caixa Atendimento' and Col9 = '""&amp;K331&amp;""' and Col6 = ""&amp;M331&amp;"" and Col4 = date '""&amp;YEAR(C331)&amp;""-""&amp;MONTH(C331)&amp;""-""&amp;DAY(C331)&amp;""'""))&gt;0,""Caixa Atendimento"",""Caixa Sangria"")),""""),""Caixa Sangria"")"),"")</f>
        <v/>
      </c>
      <c r="M331" s="185" t="str">
        <f>IFERROR(__xludf.DUMMYFUNCTION("ifna(VALUE(REGEXEXTRACT(E331,""[0-9.]+[,]+[0-9]+"")))"),"")</f>
        <v/>
      </c>
      <c r="N331" s="185"/>
      <c r="O331" s="185"/>
      <c r="P331" s="185"/>
      <c r="Q331" s="185"/>
      <c r="R331" s="185"/>
      <c r="S331" s="185"/>
      <c r="T331" s="185"/>
      <c r="U331" s="185"/>
      <c r="V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184" t="str">
        <f>IFERROR(__xludf.DUMMYFUNCTION("ifna(IF(and(D332=""Saída"",J332=""Sangria""),if(sum(QUERY(IMPORTRANGE(""https://docs.google.com/spreadsheets/d/1ykfbEpHEAAZVCgujsGjRFJRCTULkzlWa8UjdyLzkDBM"",""BD M Sangrias!a:i""),""select Col6 where Col7 = 'Depositada' and Col9 = '""&amp;K332&amp;""' and Col6 ="&amp;" ""&amp;M332&amp;"" and Col4 = date '""&amp;YEAR(C332)&amp;""-""&amp;MONTH(C332)&amp;""-""&amp;DAY(C332)&amp;""'""))&gt;0,""Depositada"",if(sum(QUERY(IMPORTRANGE(""https://docs.google.com/spreadsheets/d/1ykfbEpHEAAZVCgujsGjRFJRCTULkzlWa8UjdyLzkDBM"",""BD M Sangrias!a:i""),""select Col6 whe"&amp;"re Col7 = 'Caixa Atendimento' and Col9 = '""&amp;K332&amp;""' and Col6 = ""&amp;M332&amp;"" and Col4 = date '""&amp;YEAR(C332)&amp;""-""&amp;MONTH(C332)&amp;""-""&amp;DAY(C332)&amp;""'""))&gt;0,""Caixa Atendimento"",""Caixa Sangria"")),""""),""Caixa Sangria"")"),"")</f>
        <v/>
      </c>
      <c r="M332" s="185" t="str">
        <f>IFERROR(__xludf.DUMMYFUNCTION("ifna(VALUE(REGEXEXTRACT(E332,""[0-9.]+[,]+[0-9]+"")))"),"")</f>
        <v/>
      </c>
      <c r="N332" s="185"/>
      <c r="O332" s="185"/>
      <c r="P332" s="185"/>
      <c r="Q332" s="185"/>
      <c r="R332" s="185"/>
      <c r="S332" s="185"/>
      <c r="T332" s="185"/>
      <c r="U332" s="185"/>
      <c r="V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184" t="str">
        <f>IFERROR(__xludf.DUMMYFUNCTION("ifna(IF(and(D333=""Saída"",J333=""Sangria""),if(sum(QUERY(IMPORTRANGE(""https://docs.google.com/spreadsheets/d/1ykfbEpHEAAZVCgujsGjRFJRCTULkzlWa8UjdyLzkDBM"",""BD M Sangrias!a:i""),""select Col6 where Col7 = 'Depositada' and Col9 = '""&amp;K333&amp;""' and Col6 ="&amp;" ""&amp;M333&amp;"" and Col4 = date '""&amp;YEAR(C333)&amp;""-""&amp;MONTH(C333)&amp;""-""&amp;DAY(C333)&amp;""'""))&gt;0,""Depositada"",if(sum(QUERY(IMPORTRANGE(""https://docs.google.com/spreadsheets/d/1ykfbEpHEAAZVCgujsGjRFJRCTULkzlWa8UjdyLzkDBM"",""BD M Sangrias!a:i""),""select Col6 whe"&amp;"re Col7 = 'Caixa Atendimento' and Col9 = '""&amp;K333&amp;""' and Col6 = ""&amp;M333&amp;"" and Col4 = date '""&amp;YEAR(C333)&amp;""-""&amp;MONTH(C333)&amp;""-""&amp;DAY(C333)&amp;""'""))&gt;0,""Caixa Atendimento"",""Caixa Sangria"")),""""),""Caixa Sangria"")"),"")</f>
        <v/>
      </c>
      <c r="M333" s="185" t="str">
        <f>IFERROR(__xludf.DUMMYFUNCTION("ifna(VALUE(REGEXEXTRACT(E333,""[0-9.]+[,]+[0-9]+"")))"),"")</f>
        <v/>
      </c>
      <c r="N333" s="185"/>
      <c r="O333" s="185"/>
      <c r="P333" s="185"/>
      <c r="Q333" s="185"/>
      <c r="R333" s="185"/>
      <c r="S333" s="185"/>
      <c r="T333" s="185"/>
      <c r="U333" s="185"/>
      <c r="V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184" t="str">
        <f>IFERROR(__xludf.DUMMYFUNCTION("ifna(IF(and(D334=""Saída"",J334=""Sangria""),if(sum(QUERY(IMPORTRANGE(""https://docs.google.com/spreadsheets/d/1ykfbEpHEAAZVCgujsGjRFJRCTULkzlWa8UjdyLzkDBM"",""BD M Sangrias!a:i""),""select Col6 where Col7 = 'Depositada' and Col9 = '""&amp;K334&amp;""' and Col6 ="&amp;" ""&amp;M334&amp;"" and Col4 = date '""&amp;YEAR(C334)&amp;""-""&amp;MONTH(C334)&amp;""-""&amp;DAY(C334)&amp;""'""))&gt;0,""Depositada"",if(sum(QUERY(IMPORTRANGE(""https://docs.google.com/spreadsheets/d/1ykfbEpHEAAZVCgujsGjRFJRCTULkzlWa8UjdyLzkDBM"",""BD M Sangrias!a:i""),""select Col6 whe"&amp;"re Col7 = 'Caixa Atendimento' and Col9 = '""&amp;K334&amp;""' and Col6 = ""&amp;M334&amp;"" and Col4 = date '""&amp;YEAR(C334)&amp;""-""&amp;MONTH(C334)&amp;""-""&amp;DAY(C334)&amp;""'""))&gt;0,""Caixa Atendimento"",""Caixa Sangria"")),""""),""Caixa Sangria"")"),"")</f>
        <v/>
      </c>
      <c r="M334" s="185" t="str">
        <f>IFERROR(__xludf.DUMMYFUNCTION("ifna(VALUE(REGEXEXTRACT(E334,""[0-9.]+[,]+[0-9]+"")))"),"")</f>
        <v/>
      </c>
      <c r="N334" s="185"/>
      <c r="O334" s="185"/>
      <c r="P334" s="185"/>
      <c r="Q334" s="185"/>
      <c r="R334" s="185"/>
      <c r="S334" s="185"/>
      <c r="T334" s="185"/>
      <c r="U334" s="185"/>
      <c r="V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184" t="str">
        <f>IFERROR(__xludf.DUMMYFUNCTION("ifna(IF(and(D335=""Saída"",J335=""Sangria""),if(sum(QUERY(IMPORTRANGE(""https://docs.google.com/spreadsheets/d/1ykfbEpHEAAZVCgujsGjRFJRCTULkzlWa8UjdyLzkDBM"",""BD M Sangrias!a:i""),""select Col6 where Col7 = 'Depositada' and Col9 = '""&amp;K335&amp;""' and Col6 ="&amp;" ""&amp;M335&amp;"" and Col4 = date '""&amp;YEAR(C335)&amp;""-""&amp;MONTH(C335)&amp;""-""&amp;DAY(C335)&amp;""'""))&gt;0,""Depositada"",if(sum(QUERY(IMPORTRANGE(""https://docs.google.com/spreadsheets/d/1ykfbEpHEAAZVCgujsGjRFJRCTULkzlWa8UjdyLzkDBM"",""BD M Sangrias!a:i""),""select Col6 whe"&amp;"re Col7 = 'Caixa Atendimento' and Col9 = '""&amp;K335&amp;""' and Col6 = ""&amp;M335&amp;"" and Col4 = date '""&amp;YEAR(C335)&amp;""-""&amp;MONTH(C335)&amp;""-""&amp;DAY(C335)&amp;""'""))&gt;0,""Caixa Atendimento"",""Caixa Sangria"")),""""),""Caixa Sangria"")"),"")</f>
        <v/>
      </c>
      <c r="M335" s="185" t="str">
        <f>IFERROR(__xludf.DUMMYFUNCTION("ifna(VALUE(REGEXEXTRACT(E335,""[0-9.]+[,]+[0-9]+"")))"),"")</f>
        <v/>
      </c>
      <c r="N335" s="185"/>
      <c r="O335" s="185"/>
      <c r="P335" s="185"/>
      <c r="Q335" s="185"/>
      <c r="R335" s="185"/>
      <c r="S335" s="185"/>
      <c r="T335" s="185"/>
      <c r="U335" s="185"/>
      <c r="V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184" t="str">
        <f>IFERROR(__xludf.DUMMYFUNCTION("ifna(IF(and(D336=""Saída"",J336=""Sangria""),if(sum(QUERY(IMPORTRANGE(""https://docs.google.com/spreadsheets/d/1ykfbEpHEAAZVCgujsGjRFJRCTULkzlWa8UjdyLzkDBM"",""BD M Sangrias!a:i""),""select Col6 where Col7 = 'Depositada' and Col9 = '""&amp;K336&amp;""' and Col6 ="&amp;" ""&amp;M336&amp;"" and Col4 = date '""&amp;YEAR(C336)&amp;""-""&amp;MONTH(C336)&amp;""-""&amp;DAY(C336)&amp;""'""))&gt;0,""Depositada"",if(sum(QUERY(IMPORTRANGE(""https://docs.google.com/spreadsheets/d/1ykfbEpHEAAZVCgujsGjRFJRCTULkzlWa8UjdyLzkDBM"",""BD M Sangrias!a:i""),""select Col6 whe"&amp;"re Col7 = 'Caixa Atendimento' and Col9 = '""&amp;K336&amp;""' and Col6 = ""&amp;M336&amp;"" and Col4 = date '""&amp;YEAR(C336)&amp;""-""&amp;MONTH(C336)&amp;""-""&amp;DAY(C336)&amp;""'""))&gt;0,""Caixa Atendimento"",""Caixa Sangria"")),""""),""Caixa Sangria"")"),"")</f>
        <v/>
      </c>
      <c r="M336" s="185" t="str">
        <f>IFERROR(__xludf.DUMMYFUNCTION("ifna(VALUE(REGEXEXTRACT(E336,""[0-9.]+[,]+[0-9]+"")))"),"")</f>
        <v/>
      </c>
      <c r="N336" s="185"/>
      <c r="O336" s="185"/>
      <c r="P336" s="185"/>
      <c r="Q336" s="185"/>
      <c r="R336" s="185"/>
      <c r="S336" s="185"/>
      <c r="T336" s="185"/>
      <c r="U336" s="185"/>
      <c r="V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184" t="str">
        <f>IFERROR(__xludf.DUMMYFUNCTION("ifna(IF(and(D337=""Saída"",J337=""Sangria""),if(sum(QUERY(IMPORTRANGE(""https://docs.google.com/spreadsheets/d/1ykfbEpHEAAZVCgujsGjRFJRCTULkzlWa8UjdyLzkDBM"",""BD M Sangrias!a:i""),""select Col6 where Col7 = 'Depositada' and Col9 = '""&amp;K337&amp;""' and Col6 ="&amp;" ""&amp;M337&amp;"" and Col4 = date '""&amp;YEAR(C337)&amp;""-""&amp;MONTH(C337)&amp;""-""&amp;DAY(C337)&amp;""'""))&gt;0,""Depositada"",if(sum(QUERY(IMPORTRANGE(""https://docs.google.com/spreadsheets/d/1ykfbEpHEAAZVCgujsGjRFJRCTULkzlWa8UjdyLzkDBM"",""BD M Sangrias!a:i""),""select Col6 whe"&amp;"re Col7 = 'Caixa Atendimento' and Col9 = '""&amp;K337&amp;""' and Col6 = ""&amp;M337&amp;"" and Col4 = date '""&amp;YEAR(C337)&amp;""-""&amp;MONTH(C337)&amp;""-""&amp;DAY(C337)&amp;""'""))&gt;0,""Caixa Atendimento"",""Caixa Sangria"")),""""),""Caixa Sangria"")"),"")</f>
        <v/>
      </c>
      <c r="M337" s="185" t="str">
        <f>IFERROR(__xludf.DUMMYFUNCTION("ifna(VALUE(REGEXEXTRACT(E337,""[0-9.]+[,]+[0-9]+"")))"),"")</f>
        <v/>
      </c>
      <c r="N337" s="185"/>
      <c r="O337" s="185"/>
      <c r="P337" s="185"/>
      <c r="Q337" s="185"/>
      <c r="R337" s="185"/>
      <c r="S337" s="185"/>
      <c r="T337" s="185"/>
      <c r="U337" s="185"/>
      <c r="V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184" t="str">
        <f>IFERROR(__xludf.DUMMYFUNCTION("ifna(IF(and(D338=""Saída"",J338=""Sangria""),if(sum(QUERY(IMPORTRANGE(""https://docs.google.com/spreadsheets/d/1ykfbEpHEAAZVCgujsGjRFJRCTULkzlWa8UjdyLzkDBM"",""BD M Sangrias!a:i""),""select Col6 where Col7 = 'Depositada' and Col9 = '""&amp;K338&amp;""' and Col6 ="&amp;" ""&amp;M338&amp;"" and Col4 = date '""&amp;YEAR(C338)&amp;""-""&amp;MONTH(C338)&amp;""-""&amp;DAY(C338)&amp;""'""))&gt;0,""Depositada"",if(sum(QUERY(IMPORTRANGE(""https://docs.google.com/spreadsheets/d/1ykfbEpHEAAZVCgujsGjRFJRCTULkzlWa8UjdyLzkDBM"",""BD M Sangrias!a:i""),""select Col6 whe"&amp;"re Col7 = 'Caixa Atendimento' and Col9 = '""&amp;K338&amp;""' and Col6 = ""&amp;M338&amp;"" and Col4 = date '""&amp;YEAR(C338)&amp;""-""&amp;MONTH(C338)&amp;""-""&amp;DAY(C338)&amp;""'""))&gt;0,""Caixa Atendimento"",""Caixa Sangria"")),""""),""Caixa Sangria"")"),"")</f>
        <v/>
      </c>
      <c r="M338" s="185" t="str">
        <f>IFERROR(__xludf.DUMMYFUNCTION("ifna(VALUE(REGEXEXTRACT(E338,""[0-9.]+[,]+[0-9]+"")))"),"")</f>
        <v/>
      </c>
      <c r="N338" s="185"/>
      <c r="O338" s="185"/>
      <c r="P338" s="185"/>
      <c r="Q338" s="185"/>
      <c r="R338" s="185"/>
      <c r="S338" s="185"/>
      <c r="T338" s="185"/>
      <c r="U338" s="185"/>
      <c r="V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184" t="str">
        <f>IFERROR(__xludf.DUMMYFUNCTION("ifna(IF(and(D339=""Saída"",J339=""Sangria""),if(sum(QUERY(IMPORTRANGE(""https://docs.google.com/spreadsheets/d/1ykfbEpHEAAZVCgujsGjRFJRCTULkzlWa8UjdyLzkDBM"",""BD M Sangrias!a:i""),""select Col6 where Col7 = 'Depositada' and Col9 = '""&amp;K339&amp;""' and Col6 ="&amp;" ""&amp;M339&amp;"" and Col4 = date '""&amp;YEAR(C339)&amp;""-""&amp;MONTH(C339)&amp;""-""&amp;DAY(C339)&amp;""'""))&gt;0,""Depositada"",if(sum(QUERY(IMPORTRANGE(""https://docs.google.com/spreadsheets/d/1ykfbEpHEAAZVCgujsGjRFJRCTULkzlWa8UjdyLzkDBM"",""BD M Sangrias!a:i""),""select Col6 whe"&amp;"re Col7 = 'Caixa Atendimento' and Col9 = '""&amp;K339&amp;""' and Col6 = ""&amp;M339&amp;"" and Col4 = date '""&amp;YEAR(C339)&amp;""-""&amp;MONTH(C339)&amp;""-""&amp;DAY(C339)&amp;""'""))&gt;0,""Caixa Atendimento"",""Caixa Sangria"")),""""),""Caixa Sangria"")"),"")</f>
        <v/>
      </c>
      <c r="M339" s="185" t="str">
        <f>IFERROR(__xludf.DUMMYFUNCTION("ifna(VALUE(REGEXEXTRACT(E339,""[0-9.]+[,]+[0-9]+"")))"),"")</f>
        <v/>
      </c>
      <c r="N339" s="185"/>
      <c r="O339" s="185"/>
      <c r="P339" s="185"/>
      <c r="Q339" s="185"/>
      <c r="R339" s="185"/>
      <c r="S339" s="185"/>
      <c r="T339" s="185"/>
      <c r="U339" s="185"/>
      <c r="V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184" t="str">
        <f>IFERROR(__xludf.DUMMYFUNCTION("ifna(IF(and(D340=""Saída"",J340=""Sangria""),if(sum(QUERY(IMPORTRANGE(""https://docs.google.com/spreadsheets/d/1ykfbEpHEAAZVCgujsGjRFJRCTULkzlWa8UjdyLzkDBM"",""BD M Sangrias!a:i""),""select Col6 where Col7 = 'Depositada' and Col9 = '""&amp;K340&amp;""' and Col6 ="&amp;" ""&amp;M340&amp;"" and Col4 = date '""&amp;YEAR(C340)&amp;""-""&amp;MONTH(C340)&amp;""-""&amp;DAY(C340)&amp;""'""))&gt;0,""Depositada"",if(sum(QUERY(IMPORTRANGE(""https://docs.google.com/spreadsheets/d/1ykfbEpHEAAZVCgujsGjRFJRCTULkzlWa8UjdyLzkDBM"",""BD M Sangrias!a:i""),""select Col6 whe"&amp;"re Col7 = 'Caixa Atendimento' and Col9 = '""&amp;K340&amp;""' and Col6 = ""&amp;M340&amp;"" and Col4 = date '""&amp;YEAR(C340)&amp;""-""&amp;MONTH(C340)&amp;""-""&amp;DAY(C340)&amp;""'""))&gt;0,""Caixa Atendimento"",""Caixa Sangria"")),""""),""Caixa Sangria"")"),"")</f>
        <v/>
      </c>
      <c r="M340" s="185" t="str">
        <f>IFERROR(__xludf.DUMMYFUNCTION("ifna(VALUE(REGEXEXTRACT(E340,""[0-9.]+[,]+[0-9]+"")))"),"")</f>
        <v/>
      </c>
      <c r="N340" s="185"/>
      <c r="O340" s="185"/>
      <c r="P340" s="185"/>
      <c r="Q340" s="185"/>
      <c r="R340" s="185"/>
      <c r="S340" s="185"/>
      <c r="T340" s="185"/>
      <c r="U340" s="185"/>
      <c r="V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184" t="str">
        <f>IFERROR(__xludf.DUMMYFUNCTION("ifna(IF(and(D341=""Saída"",J341=""Sangria""),if(sum(QUERY(IMPORTRANGE(""https://docs.google.com/spreadsheets/d/1ykfbEpHEAAZVCgujsGjRFJRCTULkzlWa8UjdyLzkDBM"",""BD M Sangrias!a:i""),""select Col6 where Col7 = 'Depositada' and Col9 = '""&amp;K341&amp;""' and Col6 ="&amp;" ""&amp;M341&amp;"" and Col4 = date '""&amp;YEAR(C341)&amp;""-""&amp;MONTH(C341)&amp;""-""&amp;DAY(C341)&amp;""'""))&gt;0,""Depositada"",if(sum(QUERY(IMPORTRANGE(""https://docs.google.com/spreadsheets/d/1ykfbEpHEAAZVCgujsGjRFJRCTULkzlWa8UjdyLzkDBM"",""BD M Sangrias!a:i""),""select Col6 whe"&amp;"re Col7 = 'Caixa Atendimento' and Col9 = '""&amp;K341&amp;""' and Col6 = ""&amp;M341&amp;"" and Col4 = date '""&amp;YEAR(C341)&amp;""-""&amp;MONTH(C341)&amp;""-""&amp;DAY(C341)&amp;""'""))&gt;0,""Caixa Atendimento"",""Caixa Sangria"")),""""),""Caixa Sangria"")"),"")</f>
        <v/>
      </c>
      <c r="M341" s="185" t="str">
        <f>IFERROR(__xludf.DUMMYFUNCTION("ifna(VALUE(REGEXEXTRACT(E341,""[0-9.]+[,]+[0-9]+"")))"),"")</f>
        <v/>
      </c>
      <c r="N341" s="185"/>
      <c r="O341" s="185"/>
      <c r="P341" s="185"/>
      <c r="Q341" s="185"/>
      <c r="R341" s="185"/>
      <c r="S341" s="185"/>
      <c r="T341" s="185"/>
      <c r="U341" s="185"/>
      <c r="V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184" t="str">
        <f>IFERROR(__xludf.DUMMYFUNCTION("ifna(IF(and(D342=""Saída"",J342=""Sangria""),if(sum(QUERY(IMPORTRANGE(""https://docs.google.com/spreadsheets/d/1ykfbEpHEAAZVCgujsGjRFJRCTULkzlWa8UjdyLzkDBM"",""BD M Sangrias!a:i""),""select Col6 where Col7 = 'Depositada' and Col9 = '""&amp;K342&amp;""' and Col6 ="&amp;" ""&amp;M342&amp;"" and Col4 = date '""&amp;YEAR(C342)&amp;""-""&amp;MONTH(C342)&amp;""-""&amp;DAY(C342)&amp;""'""))&gt;0,""Depositada"",if(sum(QUERY(IMPORTRANGE(""https://docs.google.com/spreadsheets/d/1ykfbEpHEAAZVCgujsGjRFJRCTULkzlWa8UjdyLzkDBM"",""BD M Sangrias!a:i""),""select Col6 whe"&amp;"re Col7 = 'Caixa Atendimento' and Col9 = '""&amp;K342&amp;""' and Col6 = ""&amp;M342&amp;"" and Col4 = date '""&amp;YEAR(C342)&amp;""-""&amp;MONTH(C342)&amp;""-""&amp;DAY(C342)&amp;""'""))&gt;0,""Caixa Atendimento"",""Caixa Sangria"")),""""),""Caixa Sangria"")"),"")</f>
        <v/>
      </c>
      <c r="M342" s="185" t="str">
        <f>IFERROR(__xludf.DUMMYFUNCTION("ifna(VALUE(REGEXEXTRACT(E342,""[0-9.]+[,]+[0-9]+"")))"),"")</f>
        <v/>
      </c>
      <c r="N342" s="185"/>
      <c r="O342" s="185"/>
      <c r="P342" s="185"/>
      <c r="Q342" s="185"/>
      <c r="R342" s="185"/>
      <c r="S342" s="185"/>
      <c r="T342" s="185"/>
      <c r="U342" s="185"/>
      <c r="V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184" t="str">
        <f>IFERROR(__xludf.DUMMYFUNCTION("ifna(IF(and(D343=""Saída"",J343=""Sangria""),if(sum(QUERY(IMPORTRANGE(""https://docs.google.com/spreadsheets/d/1ykfbEpHEAAZVCgujsGjRFJRCTULkzlWa8UjdyLzkDBM"",""BD M Sangrias!a:i""),""select Col6 where Col7 = 'Depositada' and Col9 = '""&amp;K343&amp;""' and Col6 ="&amp;" ""&amp;M343&amp;"" and Col4 = date '""&amp;YEAR(C343)&amp;""-""&amp;MONTH(C343)&amp;""-""&amp;DAY(C343)&amp;""'""))&gt;0,""Depositada"",if(sum(QUERY(IMPORTRANGE(""https://docs.google.com/spreadsheets/d/1ykfbEpHEAAZVCgujsGjRFJRCTULkzlWa8UjdyLzkDBM"",""BD M Sangrias!a:i""),""select Col6 whe"&amp;"re Col7 = 'Caixa Atendimento' and Col9 = '""&amp;K343&amp;""' and Col6 = ""&amp;M343&amp;"" and Col4 = date '""&amp;YEAR(C343)&amp;""-""&amp;MONTH(C343)&amp;""-""&amp;DAY(C343)&amp;""'""))&gt;0,""Caixa Atendimento"",""Caixa Sangria"")),""""),""Caixa Sangria"")"),"")</f>
        <v/>
      </c>
      <c r="M343" s="185" t="str">
        <f>IFERROR(__xludf.DUMMYFUNCTION("ifna(VALUE(REGEXEXTRACT(E343,""[0-9.]+[,]+[0-9]+"")))"),"")</f>
        <v/>
      </c>
      <c r="N343" s="185"/>
      <c r="O343" s="185"/>
      <c r="P343" s="185"/>
      <c r="Q343" s="185"/>
      <c r="R343" s="185"/>
      <c r="S343" s="185"/>
      <c r="T343" s="185"/>
      <c r="U343" s="185"/>
      <c r="V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184" t="str">
        <f>IFERROR(__xludf.DUMMYFUNCTION("ifna(IF(and(D344=""Saída"",J344=""Sangria""),if(sum(QUERY(IMPORTRANGE(""https://docs.google.com/spreadsheets/d/1ykfbEpHEAAZVCgujsGjRFJRCTULkzlWa8UjdyLzkDBM"",""BD M Sangrias!a:i""),""select Col6 where Col7 = 'Depositada' and Col9 = '""&amp;K344&amp;""' and Col6 ="&amp;" ""&amp;M344&amp;"" and Col4 = date '""&amp;YEAR(C344)&amp;""-""&amp;MONTH(C344)&amp;""-""&amp;DAY(C344)&amp;""'""))&gt;0,""Depositada"",if(sum(QUERY(IMPORTRANGE(""https://docs.google.com/spreadsheets/d/1ykfbEpHEAAZVCgujsGjRFJRCTULkzlWa8UjdyLzkDBM"",""BD M Sangrias!a:i""),""select Col6 whe"&amp;"re Col7 = 'Caixa Atendimento' and Col9 = '""&amp;K344&amp;""' and Col6 = ""&amp;M344&amp;"" and Col4 = date '""&amp;YEAR(C344)&amp;""-""&amp;MONTH(C344)&amp;""-""&amp;DAY(C344)&amp;""'""))&gt;0,""Caixa Atendimento"",""Caixa Sangria"")),""""),""Caixa Sangria"")"),"")</f>
        <v/>
      </c>
      <c r="M344" s="185" t="str">
        <f>IFERROR(__xludf.DUMMYFUNCTION("ifna(VALUE(REGEXEXTRACT(E344,""[0-9.]+[,]+[0-9]+"")))"),"")</f>
        <v/>
      </c>
      <c r="N344" s="185"/>
      <c r="O344" s="185"/>
      <c r="P344" s="185"/>
      <c r="Q344" s="185"/>
      <c r="R344" s="185"/>
      <c r="S344" s="185"/>
      <c r="T344" s="185"/>
      <c r="U344" s="185"/>
      <c r="V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184" t="str">
        <f>IFERROR(__xludf.DUMMYFUNCTION("ifna(IF(and(D345=""Saída"",J345=""Sangria""),if(sum(QUERY(IMPORTRANGE(""https://docs.google.com/spreadsheets/d/1ykfbEpHEAAZVCgujsGjRFJRCTULkzlWa8UjdyLzkDBM"",""BD M Sangrias!a:i""),""select Col6 where Col7 = 'Depositada' and Col9 = '""&amp;K345&amp;""' and Col6 ="&amp;" ""&amp;M345&amp;"" and Col4 = date '""&amp;YEAR(C345)&amp;""-""&amp;MONTH(C345)&amp;""-""&amp;DAY(C345)&amp;""'""))&gt;0,""Depositada"",if(sum(QUERY(IMPORTRANGE(""https://docs.google.com/spreadsheets/d/1ykfbEpHEAAZVCgujsGjRFJRCTULkzlWa8UjdyLzkDBM"",""BD M Sangrias!a:i""),""select Col6 whe"&amp;"re Col7 = 'Caixa Atendimento' and Col9 = '""&amp;K345&amp;""' and Col6 = ""&amp;M345&amp;"" and Col4 = date '""&amp;YEAR(C345)&amp;""-""&amp;MONTH(C345)&amp;""-""&amp;DAY(C345)&amp;""'""))&gt;0,""Caixa Atendimento"",""Caixa Sangria"")),""""),""Caixa Sangria"")"),"")</f>
        <v/>
      </c>
      <c r="M345" s="185" t="str">
        <f>IFERROR(__xludf.DUMMYFUNCTION("ifna(VALUE(REGEXEXTRACT(E345,""[0-9.]+[,]+[0-9]+"")))"),"")</f>
        <v/>
      </c>
      <c r="N345" s="185"/>
      <c r="O345" s="185"/>
      <c r="P345" s="185"/>
      <c r="Q345" s="185"/>
      <c r="R345" s="185"/>
      <c r="S345" s="185"/>
      <c r="T345" s="185"/>
      <c r="U345" s="185"/>
      <c r="V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184" t="str">
        <f>IFERROR(__xludf.DUMMYFUNCTION("ifna(IF(and(D346=""Saída"",J346=""Sangria""),if(sum(QUERY(IMPORTRANGE(""https://docs.google.com/spreadsheets/d/1ykfbEpHEAAZVCgujsGjRFJRCTULkzlWa8UjdyLzkDBM"",""BD M Sangrias!a:i""),""select Col6 where Col7 = 'Depositada' and Col9 = '""&amp;K346&amp;""' and Col6 ="&amp;" ""&amp;M346&amp;"" and Col4 = date '""&amp;YEAR(C346)&amp;""-""&amp;MONTH(C346)&amp;""-""&amp;DAY(C346)&amp;""'""))&gt;0,""Depositada"",if(sum(QUERY(IMPORTRANGE(""https://docs.google.com/spreadsheets/d/1ykfbEpHEAAZVCgujsGjRFJRCTULkzlWa8UjdyLzkDBM"",""BD M Sangrias!a:i""),""select Col6 whe"&amp;"re Col7 = 'Caixa Atendimento' and Col9 = '""&amp;K346&amp;""' and Col6 = ""&amp;M346&amp;"" and Col4 = date '""&amp;YEAR(C346)&amp;""-""&amp;MONTH(C346)&amp;""-""&amp;DAY(C346)&amp;""'""))&gt;0,""Caixa Atendimento"",""Caixa Sangria"")),""""),""Caixa Sangria"")"),"")</f>
        <v/>
      </c>
      <c r="M346" s="185" t="str">
        <f>IFERROR(__xludf.DUMMYFUNCTION("ifna(VALUE(REGEXEXTRACT(E346,""[0-9.]+[,]+[0-9]+"")))"),"")</f>
        <v/>
      </c>
      <c r="N346" s="185"/>
      <c r="O346" s="185"/>
      <c r="P346" s="185"/>
      <c r="Q346" s="185"/>
      <c r="R346" s="185"/>
      <c r="S346" s="185"/>
      <c r="T346" s="185"/>
      <c r="U346" s="185"/>
      <c r="V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184" t="str">
        <f>IFERROR(__xludf.DUMMYFUNCTION("ifna(IF(and(D347=""Saída"",J347=""Sangria""),if(sum(QUERY(IMPORTRANGE(""https://docs.google.com/spreadsheets/d/1ykfbEpHEAAZVCgujsGjRFJRCTULkzlWa8UjdyLzkDBM"",""BD M Sangrias!a:i""),""select Col6 where Col7 = 'Depositada' and Col9 = '""&amp;K347&amp;""' and Col6 ="&amp;" ""&amp;M347&amp;"" and Col4 = date '""&amp;YEAR(C347)&amp;""-""&amp;MONTH(C347)&amp;""-""&amp;DAY(C347)&amp;""'""))&gt;0,""Depositada"",if(sum(QUERY(IMPORTRANGE(""https://docs.google.com/spreadsheets/d/1ykfbEpHEAAZVCgujsGjRFJRCTULkzlWa8UjdyLzkDBM"",""BD M Sangrias!a:i""),""select Col6 whe"&amp;"re Col7 = 'Caixa Atendimento' and Col9 = '""&amp;K347&amp;""' and Col6 = ""&amp;M347&amp;"" and Col4 = date '""&amp;YEAR(C347)&amp;""-""&amp;MONTH(C347)&amp;""-""&amp;DAY(C347)&amp;""'""))&gt;0,""Caixa Atendimento"",""Caixa Sangria"")),""""),""Caixa Sangria"")"),"")</f>
        <v/>
      </c>
      <c r="M347" s="185" t="str">
        <f>IFERROR(__xludf.DUMMYFUNCTION("ifna(VALUE(REGEXEXTRACT(E347,""[0-9.]+[,]+[0-9]+"")))"),"")</f>
        <v/>
      </c>
      <c r="N347" s="185"/>
      <c r="O347" s="185"/>
      <c r="P347" s="185"/>
      <c r="Q347" s="185"/>
      <c r="R347" s="185"/>
      <c r="S347" s="185"/>
      <c r="T347" s="185"/>
      <c r="U347" s="185"/>
      <c r="V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184" t="str">
        <f>IFERROR(__xludf.DUMMYFUNCTION("ifna(IF(and(D348=""Saída"",J348=""Sangria""),if(sum(QUERY(IMPORTRANGE(""https://docs.google.com/spreadsheets/d/1ykfbEpHEAAZVCgujsGjRFJRCTULkzlWa8UjdyLzkDBM"",""BD M Sangrias!a:i""),""select Col6 where Col7 = 'Depositada' and Col9 = '""&amp;K348&amp;""' and Col6 ="&amp;" ""&amp;M348&amp;"" and Col4 = date '""&amp;YEAR(C348)&amp;""-""&amp;MONTH(C348)&amp;""-""&amp;DAY(C348)&amp;""'""))&gt;0,""Depositada"",if(sum(QUERY(IMPORTRANGE(""https://docs.google.com/spreadsheets/d/1ykfbEpHEAAZVCgujsGjRFJRCTULkzlWa8UjdyLzkDBM"",""BD M Sangrias!a:i""),""select Col6 whe"&amp;"re Col7 = 'Caixa Atendimento' and Col9 = '""&amp;K348&amp;""' and Col6 = ""&amp;M348&amp;"" and Col4 = date '""&amp;YEAR(C348)&amp;""-""&amp;MONTH(C348)&amp;""-""&amp;DAY(C348)&amp;""'""))&gt;0,""Caixa Atendimento"",""Caixa Sangria"")),""""),""Caixa Sangria"")"),"")</f>
        <v/>
      </c>
      <c r="M348" s="185" t="str">
        <f>IFERROR(__xludf.DUMMYFUNCTION("ifna(VALUE(REGEXEXTRACT(E348,""[0-9.]+[,]+[0-9]+"")))"),"")</f>
        <v/>
      </c>
      <c r="N348" s="185"/>
      <c r="O348" s="185"/>
      <c r="P348" s="185"/>
      <c r="Q348" s="185"/>
      <c r="R348" s="185"/>
      <c r="S348" s="185"/>
      <c r="T348" s="185"/>
      <c r="U348" s="185"/>
      <c r="V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184" t="str">
        <f>IFERROR(__xludf.DUMMYFUNCTION("ifna(IF(and(D349=""Saída"",J349=""Sangria""),if(sum(QUERY(IMPORTRANGE(""https://docs.google.com/spreadsheets/d/1ykfbEpHEAAZVCgujsGjRFJRCTULkzlWa8UjdyLzkDBM"",""BD M Sangrias!a:i""),""select Col6 where Col7 = 'Depositada' and Col9 = '""&amp;K349&amp;""' and Col6 ="&amp;" ""&amp;M349&amp;"" and Col4 = date '""&amp;YEAR(C349)&amp;""-""&amp;MONTH(C349)&amp;""-""&amp;DAY(C349)&amp;""'""))&gt;0,""Depositada"",if(sum(QUERY(IMPORTRANGE(""https://docs.google.com/spreadsheets/d/1ykfbEpHEAAZVCgujsGjRFJRCTULkzlWa8UjdyLzkDBM"",""BD M Sangrias!a:i""),""select Col6 whe"&amp;"re Col7 = 'Caixa Atendimento' and Col9 = '""&amp;K349&amp;""' and Col6 = ""&amp;M349&amp;"" and Col4 = date '""&amp;YEAR(C349)&amp;""-""&amp;MONTH(C349)&amp;""-""&amp;DAY(C349)&amp;""'""))&gt;0,""Caixa Atendimento"",""Caixa Sangria"")),""""),""Caixa Sangria"")"),"")</f>
        <v/>
      </c>
      <c r="M349" s="185" t="str">
        <f>IFERROR(__xludf.DUMMYFUNCTION("ifna(VALUE(REGEXEXTRACT(E349,""[0-9.]+[,]+[0-9]+"")))"),"")</f>
        <v/>
      </c>
      <c r="N349" s="185"/>
      <c r="O349" s="185"/>
      <c r="P349" s="185"/>
      <c r="Q349" s="185"/>
      <c r="R349" s="185"/>
      <c r="S349" s="185"/>
      <c r="T349" s="185"/>
      <c r="U349" s="185"/>
      <c r="V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184" t="str">
        <f>IFERROR(__xludf.DUMMYFUNCTION("ifna(IF(and(D350=""Saída"",J350=""Sangria""),if(sum(QUERY(IMPORTRANGE(""https://docs.google.com/spreadsheets/d/1ykfbEpHEAAZVCgujsGjRFJRCTULkzlWa8UjdyLzkDBM"",""BD M Sangrias!a:i""),""select Col6 where Col7 = 'Depositada' and Col9 = '""&amp;K350&amp;""' and Col6 ="&amp;" ""&amp;M350&amp;"" and Col4 = date '""&amp;YEAR(C350)&amp;""-""&amp;MONTH(C350)&amp;""-""&amp;DAY(C350)&amp;""'""))&gt;0,""Depositada"",if(sum(QUERY(IMPORTRANGE(""https://docs.google.com/spreadsheets/d/1ykfbEpHEAAZVCgujsGjRFJRCTULkzlWa8UjdyLzkDBM"",""BD M Sangrias!a:i""),""select Col6 whe"&amp;"re Col7 = 'Caixa Atendimento' and Col9 = '""&amp;K350&amp;""' and Col6 = ""&amp;M350&amp;"" and Col4 = date '""&amp;YEAR(C350)&amp;""-""&amp;MONTH(C350)&amp;""-""&amp;DAY(C350)&amp;""'""))&gt;0,""Caixa Atendimento"",""Caixa Sangria"")),""""),""Caixa Sangria"")"),"")</f>
        <v/>
      </c>
      <c r="M350" s="185" t="str">
        <f>IFERROR(__xludf.DUMMYFUNCTION("ifna(VALUE(REGEXEXTRACT(E350,""[0-9.]+[,]+[0-9]+"")))"),"")</f>
        <v/>
      </c>
      <c r="N350" s="185"/>
      <c r="O350" s="185"/>
      <c r="P350" s="185"/>
      <c r="Q350" s="185"/>
      <c r="R350" s="185"/>
      <c r="S350" s="185"/>
      <c r="T350" s="185"/>
      <c r="U350" s="185"/>
      <c r="V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184" t="str">
        <f>IFERROR(__xludf.DUMMYFUNCTION("ifna(IF(and(D351=""Saída"",J351=""Sangria""),if(sum(QUERY(IMPORTRANGE(""https://docs.google.com/spreadsheets/d/1ykfbEpHEAAZVCgujsGjRFJRCTULkzlWa8UjdyLzkDBM"",""BD M Sangrias!a:i""),""select Col6 where Col7 = 'Depositada' and Col9 = '""&amp;K351&amp;""' and Col6 ="&amp;" ""&amp;M351&amp;"" and Col4 = date '""&amp;YEAR(C351)&amp;""-""&amp;MONTH(C351)&amp;""-""&amp;DAY(C351)&amp;""'""))&gt;0,""Depositada"",if(sum(QUERY(IMPORTRANGE(""https://docs.google.com/spreadsheets/d/1ykfbEpHEAAZVCgujsGjRFJRCTULkzlWa8UjdyLzkDBM"",""BD M Sangrias!a:i""),""select Col6 whe"&amp;"re Col7 = 'Caixa Atendimento' and Col9 = '""&amp;K351&amp;""' and Col6 = ""&amp;M351&amp;"" and Col4 = date '""&amp;YEAR(C351)&amp;""-""&amp;MONTH(C351)&amp;""-""&amp;DAY(C351)&amp;""'""))&gt;0,""Caixa Atendimento"",""Caixa Sangria"")),""""),""Caixa Sangria"")"),"")</f>
        <v/>
      </c>
      <c r="M351" s="185" t="str">
        <f>IFERROR(__xludf.DUMMYFUNCTION("ifna(VALUE(REGEXEXTRACT(E351,""[0-9.]+[,]+[0-9]+"")))"),"")</f>
        <v/>
      </c>
      <c r="N351" s="185"/>
      <c r="O351" s="185"/>
      <c r="P351" s="185"/>
      <c r="Q351" s="185"/>
      <c r="R351" s="185"/>
      <c r="S351" s="185"/>
      <c r="T351" s="185"/>
      <c r="U351" s="185"/>
      <c r="V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184" t="str">
        <f>IFERROR(__xludf.DUMMYFUNCTION("ifna(IF(and(D352=""Saída"",J352=""Sangria""),if(sum(QUERY(IMPORTRANGE(""https://docs.google.com/spreadsheets/d/1ykfbEpHEAAZVCgujsGjRFJRCTULkzlWa8UjdyLzkDBM"",""BD M Sangrias!a:i""),""select Col6 where Col7 = 'Depositada' and Col9 = '""&amp;K352&amp;""' and Col6 ="&amp;" ""&amp;M352&amp;"" and Col4 = date '""&amp;YEAR(C352)&amp;""-""&amp;MONTH(C352)&amp;""-""&amp;DAY(C352)&amp;""'""))&gt;0,""Depositada"",if(sum(QUERY(IMPORTRANGE(""https://docs.google.com/spreadsheets/d/1ykfbEpHEAAZVCgujsGjRFJRCTULkzlWa8UjdyLzkDBM"",""BD M Sangrias!a:i""),""select Col6 whe"&amp;"re Col7 = 'Caixa Atendimento' and Col9 = '""&amp;K352&amp;""' and Col6 = ""&amp;M352&amp;"" and Col4 = date '""&amp;YEAR(C352)&amp;""-""&amp;MONTH(C352)&amp;""-""&amp;DAY(C352)&amp;""'""))&gt;0,""Caixa Atendimento"",""Caixa Sangria"")),""""),""Caixa Sangria"")"),"")</f>
        <v/>
      </c>
      <c r="M352" s="185" t="str">
        <f>IFERROR(__xludf.DUMMYFUNCTION("ifna(VALUE(REGEXEXTRACT(E352,""[0-9.]+[,]+[0-9]+"")))"),"")</f>
        <v/>
      </c>
      <c r="N352" s="185"/>
      <c r="O352" s="185"/>
      <c r="P352" s="185"/>
      <c r="Q352" s="185"/>
      <c r="R352" s="185"/>
      <c r="S352" s="185"/>
      <c r="T352" s="185"/>
      <c r="U352" s="185"/>
      <c r="V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184" t="str">
        <f>IFERROR(__xludf.DUMMYFUNCTION("ifna(IF(and(D353=""Saída"",J353=""Sangria""),if(sum(QUERY(IMPORTRANGE(""https://docs.google.com/spreadsheets/d/1ykfbEpHEAAZVCgujsGjRFJRCTULkzlWa8UjdyLzkDBM"",""BD M Sangrias!a:i""),""select Col6 where Col7 = 'Depositada' and Col9 = '""&amp;K353&amp;""' and Col6 ="&amp;" ""&amp;M353&amp;"" and Col4 = date '""&amp;YEAR(C353)&amp;""-""&amp;MONTH(C353)&amp;""-""&amp;DAY(C353)&amp;""'""))&gt;0,""Depositada"",if(sum(QUERY(IMPORTRANGE(""https://docs.google.com/spreadsheets/d/1ykfbEpHEAAZVCgujsGjRFJRCTULkzlWa8UjdyLzkDBM"",""BD M Sangrias!a:i""),""select Col6 whe"&amp;"re Col7 = 'Caixa Atendimento' and Col9 = '""&amp;K353&amp;""' and Col6 = ""&amp;M353&amp;"" and Col4 = date '""&amp;YEAR(C353)&amp;""-""&amp;MONTH(C353)&amp;""-""&amp;DAY(C353)&amp;""'""))&gt;0,""Caixa Atendimento"",""Caixa Sangria"")),""""),""Caixa Sangria"")"),"")</f>
        <v/>
      </c>
      <c r="M353" s="185" t="str">
        <f>IFERROR(__xludf.DUMMYFUNCTION("ifna(VALUE(REGEXEXTRACT(E353,""[0-9.]+[,]+[0-9]+"")))"),"")</f>
        <v/>
      </c>
      <c r="N353" s="185"/>
      <c r="O353" s="185"/>
      <c r="P353" s="185"/>
      <c r="Q353" s="185"/>
      <c r="R353" s="185"/>
      <c r="S353" s="185"/>
      <c r="T353" s="185"/>
      <c r="U353" s="185"/>
      <c r="V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184" t="str">
        <f>IFERROR(__xludf.DUMMYFUNCTION("ifna(IF(and(D354=""Saída"",J354=""Sangria""),if(sum(QUERY(IMPORTRANGE(""https://docs.google.com/spreadsheets/d/1ykfbEpHEAAZVCgujsGjRFJRCTULkzlWa8UjdyLzkDBM"",""BD M Sangrias!a:i""),""select Col6 where Col7 = 'Depositada' and Col9 = '""&amp;K354&amp;""' and Col6 ="&amp;" ""&amp;M354&amp;"" and Col4 = date '""&amp;YEAR(C354)&amp;""-""&amp;MONTH(C354)&amp;""-""&amp;DAY(C354)&amp;""'""))&gt;0,""Depositada"",if(sum(QUERY(IMPORTRANGE(""https://docs.google.com/spreadsheets/d/1ykfbEpHEAAZVCgujsGjRFJRCTULkzlWa8UjdyLzkDBM"",""BD M Sangrias!a:i""),""select Col6 whe"&amp;"re Col7 = 'Caixa Atendimento' and Col9 = '""&amp;K354&amp;""' and Col6 = ""&amp;M354&amp;"" and Col4 = date '""&amp;YEAR(C354)&amp;""-""&amp;MONTH(C354)&amp;""-""&amp;DAY(C354)&amp;""'""))&gt;0,""Caixa Atendimento"",""Caixa Sangria"")),""""),""Caixa Sangria"")"),"")</f>
        <v/>
      </c>
      <c r="M354" s="185" t="str">
        <f>IFERROR(__xludf.DUMMYFUNCTION("ifna(VALUE(REGEXEXTRACT(E354,""[0-9.]+[,]+[0-9]+"")))"),"")</f>
        <v/>
      </c>
      <c r="N354" s="185"/>
      <c r="O354" s="185"/>
      <c r="P354" s="185"/>
      <c r="Q354" s="185"/>
      <c r="R354" s="185"/>
      <c r="S354" s="185"/>
      <c r="T354" s="185"/>
      <c r="U354" s="185"/>
      <c r="V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184" t="str">
        <f>IFERROR(__xludf.DUMMYFUNCTION("ifna(IF(and(D355=""Saída"",J355=""Sangria""),if(sum(QUERY(IMPORTRANGE(""https://docs.google.com/spreadsheets/d/1ykfbEpHEAAZVCgujsGjRFJRCTULkzlWa8UjdyLzkDBM"",""BD M Sangrias!a:i""),""select Col6 where Col7 = 'Depositada' and Col9 = '""&amp;K355&amp;""' and Col6 ="&amp;" ""&amp;M355&amp;"" and Col4 = date '""&amp;YEAR(C355)&amp;""-""&amp;MONTH(C355)&amp;""-""&amp;DAY(C355)&amp;""'""))&gt;0,""Depositada"",if(sum(QUERY(IMPORTRANGE(""https://docs.google.com/spreadsheets/d/1ykfbEpHEAAZVCgujsGjRFJRCTULkzlWa8UjdyLzkDBM"",""BD M Sangrias!a:i""),""select Col6 whe"&amp;"re Col7 = 'Caixa Atendimento' and Col9 = '""&amp;K355&amp;""' and Col6 = ""&amp;M355&amp;"" and Col4 = date '""&amp;YEAR(C355)&amp;""-""&amp;MONTH(C355)&amp;""-""&amp;DAY(C355)&amp;""'""))&gt;0,""Caixa Atendimento"",""Caixa Sangria"")),""""),""Caixa Sangria"")"),"")</f>
        <v/>
      </c>
      <c r="M355" s="185" t="str">
        <f>IFERROR(__xludf.DUMMYFUNCTION("ifna(VALUE(REGEXEXTRACT(E355,""[0-9.]+[,]+[0-9]+"")))"),"")</f>
        <v/>
      </c>
      <c r="N355" s="185"/>
      <c r="O355" s="185"/>
      <c r="P355" s="185"/>
      <c r="Q355" s="185"/>
      <c r="R355" s="185"/>
      <c r="S355" s="185"/>
      <c r="T355" s="185"/>
      <c r="U355" s="185"/>
      <c r="V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184" t="str">
        <f>IFERROR(__xludf.DUMMYFUNCTION("ifna(IF(and(D356=""Saída"",J356=""Sangria""),if(sum(QUERY(IMPORTRANGE(""https://docs.google.com/spreadsheets/d/1ykfbEpHEAAZVCgujsGjRFJRCTULkzlWa8UjdyLzkDBM"",""BD M Sangrias!a:i""),""select Col6 where Col7 = 'Depositada' and Col9 = '""&amp;K356&amp;""' and Col6 ="&amp;" ""&amp;M356&amp;"" and Col4 = date '""&amp;YEAR(C356)&amp;""-""&amp;MONTH(C356)&amp;""-""&amp;DAY(C356)&amp;""'""))&gt;0,""Depositada"",if(sum(QUERY(IMPORTRANGE(""https://docs.google.com/spreadsheets/d/1ykfbEpHEAAZVCgujsGjRFJRCTULkzlWa8UjdyLzkDBM"",""BD M Sangrias!a:i""),""select Col6 whe"&amp;"re Col7 = 'Caixa Atendimento' and Col9 = '""&amp;K356&amp;""' and Col6 = ""&amp;M356&amp;"" and Col4 = date '""&amp;YEAR(C356)&amp;""-""&amp;MONTH(C356)&amp;""-""&amp;DAY(C356)&amp;""'""))&gt;0,""Caixa Atendimento"",""Caixa Sangria"")),""""),""Caixa Sangria"")"),"")</f>
        <v/>
      </c>
      <c r="M356" s="185" t="str">
        <f>IFERROR(__xludf.DUMMYFUNCTION("ifna(VALUE(REGEXEXTRACT(E356,""[0-9.]+[,]+[0-9]+"")))"),"")</f>
        <v/>
      </c>
      <c r="N356" s="185"/>
      <c r="O356" s="185"/>
      <c r="P356" s="185"/>
      <c r="Q356" s="185"/>
      <c r="R356" s="185"/>
      <c r="S356" s="185"/>
      <c r="T356" s="185"/>
      <c r="U356" s="185"/>
      <c r="V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184" t="str">
        <f>IFERROR(__xludf.DUMMYFUNCTION("ifna(IF(and(D357=""Saída"",J357=""Sangria""),if(sum(QUERY(IMPORTRANGE(""https://docs.google.com/spreadsheets/d/1ykfbEpHEAAZVCgujsGjRFJRCTULkzlWa8UjdyLzkDBM"",""BD M Sangrias!a:i""),""select Col6 where Col7 = 'Depositada' and Col9 = '""&amp;K357&amp;""' and Col6 ="&amp;" ""&amp;M357&amp;"" and Col4 = date '""&amp;YEAR(C357)&amp;""-""&amp;MONTH(C357)&amp;""-""&amp;DAY(C357)&amp;""'""))&gt;0,""Depositada"",if(sum(QUERY(IMPORTRANGE(""https://docs.google.com/spreadsheets/d/1ykfbEpHEAAZVCgujsGjRFJRCTULkzlWa8UjdyLzkDBM"",""BD M Sangrias!a:i""),""select Col6 whe"&amp;"re Col7 = 'Caixa Atendimento' and Col9 = '""&amp;K357&amp;""' and Col6 = ""&amp;M357&amp;"" and Col4 = date '""&amp;YEAR(C357)&amp;""-""&amp;MONTH(C357)&amp;""-""&amp;DAY(C357)&amp;""'""))&gt;0,""Caixa Atendimento"",""Caixa Sangria"")),""""),""Caixa Sangria"")"),"")</f>
        <v/>
      </c>
      <c r="M357" s="185" t="str">
        <f>IFERROR(__xludf.DUMMYFUNCTION("ifna(VALUE(REGEXEXTRACT(E357,""[0-9.]+[,]+[0-9]+"")))"),"")</f>
        <v/>
      </c>
      <c r="N357" s="185"/>
      <c r="O357" s="185"/>
      <c r="P357" s="185"/>
      <c r="Q357" s="185"/>
      <c r="R357" s="185"/>
      <c r="S357" s="185"/>
      <c r="T357" s="185"/>
      <c r="U357" s="185"/>
      <c r="V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184" t="str">
        <f>IFERROR(__xludf.DUMMYFUNCTION("ifna(IF(and(D358=""Saída"",J358=""Sangria""),if(sum(QUERY(IMPORTRANGE(""https://docs.google.com/spreadsheets/d/1ykfbEpHEAAZVCgujsGjRFJRCTULkzlWa8UjdyLzkDBM"",""BD M Sangrias!a:i""),""select Col6 where Col7 = 'Depositada' and Col9 = '""&amp;K358&amp;""' and Col6 ="&amp;" ""&amp;M358&amp;"" and Col4 = date '""&amp;YEAR(C358)&amp;""-""&amp;MONTH(C358)&amp;""-""&amp;DAY(C358)&amp;""'""))&gt;0,""Depositada"",if(sum(QUERY(IMPORTRANGE(""https://docs.google.com/spreadsheets/d/1ykfbEpHEAAZVCgujsGjRFJRCTULkzlWa8UjdyLzkDBM"",""BD M Sangrias!a:i""),""select Col6 whe"&amp;"re Col7 = 'Caixa Atendimento' and Col9 = '""&amp;K358&amp;""' and Col6 = ""&amp;M358&amp;"" and Col4 = date '""&amp;YEAR(C358)&amp;""-""&amp;MONTH(C358)&amp;""-""&amp;DAY(C358)&amp;""'""))&gt;0,""Caixa Atendimento"",""Caixa Sangria"")),""""),""Caixa Sangria"")"),"")</f>
        <v/>
      </c>
      <c r="M358" s="185" t="str">
        <f>IFERROR(__xludf.DUMMYFUNCTION("ifna(VALUE(REGEXEXTRACT(E358,""[0-9.]+[,]+[0-9]+"")))"),"")</f>
        <v/>
      </c>
      <c r="N358" s="185"/>
      <c r="O358" s="185"/>
      <c r="P358" s="185"/>
      <c r="Q358" s="185"/>
      <c r="R358" s="185"/>
      <c r="S358" s="185"/>
      <c r="T358" s="185"/>
      <c r="U358" s="185"/>
      <c r="V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184" t="str">
        <f>IFERROR(__xludf.DUMMYFUNCTION("ifna(IF(and(D359=""Saída"",J359=""Sangria""),if(sum(QUERY(IMPORTRANGE(""https://docs.google.com/spreadsheets/d/1ykfbEpHEAAZVCgujsGjRFJRCTULkzlWa8UjdyLzkDBM"",""BD M Sangrias!a:i""),""select Col6 where Col7 = 'Depositada' and Col9 = '""&amp;K359&amp;""' and Col6 ="&amp;" ""&amp;M359&amp;"" and Col4 = date '""&amp;YEAR(C359)&amp;""-""&amp;MONTH(C359)&amp;""-""&amp;DAY(C359)&amp;""'""))&gt;0,""Depositada"",if(sum(QUERY(IMPORTRANGE(""https://docs.google.com/spreadsheets/d/1ykfbEpHEAAZVCgujsGjRFJRCTULkzlWa8UjdyLzkDBM"",""BD M Sangrias!a:i""),""select Col6 whe"&amp;"re Col7 = 'Caixa Atendimento' and Col9 = '""&amp;K359&amp;""' and Col6 = ""&amp;M359&amp;"" and Col4 = date '""&amp;YEAR(C359)&amp;""-""&amp;MONTH(C359)&amp;""-""&amp;DAY(C359)&amp;""'""))&gt;0,""Caixa Atendimento"",""Caixa Sangria"")),""""),""Caixa Sangria"")"),"")</f>
        <v/>
      </c>
      <c r="M359" s="185" t="str">
        <f>IFERROR(__xludf.DUMMYFUNCTION("ifna(VALUE(REGEXEXTRACT(E359,""[0-9.]+[,]+[0-9]+"")))"),"")</f>
        <v/>
      </c>
      <c r="N359" s="185"/>
      <c r="O359" s="185"/>
      <c r="P359" s="185"/>
      <c r="Q359" s="185"/>
      <c r="R359" s="185"/>
      <c r="S359" s="185"/>
      <c r="T359" s="185"/>
      <c r="U359" s="185"/>
      <c r="V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184" t="str">
        <f>IFERROR(__xludf.DUMMYFUNCTION("ifna(IF(and(D360=""Saída"",J360=""Sangria""),if(sum(QUERY(IMPORTRANGE(""https://docs.google.com/spreadsheets/d/1ykfbEpHEAAZVCgujsGjRFJRCTULkzlWa8UjdyLzkDBM"",""BD M Sangrias!a:i""),""select Col6 where Col7 = 'Depositada' and Col9 = '""&amp;K360&amp;""' and Col6 ="&amp;" ""&amp;M360&amp;"" and Col4 = date '""&amp;YEAR(C360)&amp;""-""&amp;MONTH(C360)&amp;""-""&amp;DAY(C360)&amp;""'""))&gt;0,""Depositada"",if(sum(QUERY(IMPORTRANGE(""https://docs.google.com/spreadsheets/d/1ykfbEpHEAAZVCgujsGjRFJRCTULkzlWa8UjdyLzkDBM"",""BD M Sangrias!a:i""),""select Col6 whe"&amp;"re Col7 = 'Caixa Atendimento' and Col9 = '""&amp;K360&amp;""' and Col6 = ""&amp;M360&amp;"" and Col4 = date '""&amp;YEAR(C360)&amp;""-""&amp;MONTH(C360)&amp;""-""&amp;DAY(C360)&amp;""'""))&gt;0,""Caixa Atendimento"",""Caixa Sangria"")),""""),""Caixa Sangria"")"),"")</f>
        <v/>
      </c>
      <c r="M360" s="185" t="str">
        <f>IFERROR(__xludf.DUMMYFUNCTION("ifna(VALUE(REGEXEXTRACT(E360,""[0-9.]+[,]+[0-9]+"")))"),"")</f>
        <v/>
      </c>
      <c r="N360" s="185"/>
      <c r="O360" s="185"/>
      <c r="P360" s="185"/>
      <c r="Q360" s="185"/>
      <c r="R360" s="185"/>
      <c r="S360" s="185"/>
      <c r="T360" s="185"/>
      <c r="U360" s="185"/>
      <c r="V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184" t="str">
        <f>IFERROR(__xludf.DUMMYFUNCTION("ifna(IF(and(D361=""Saída"",J361=""Sangria""),if(sum(QUERY(IMPORTRANGE(""https://docs.google.com/spreadsheets/d/1ykfbEpHEAAZVCgujsGjRFJRCTULkzlWa8UjdyLzkDBM"",""BD M Sangrias!a:i""),""select Col6 where Col7 = 'Depositada' and Col9 = '""&amp;K361&amp;""' and Col6 ="&amp;" ""&amp;M361&amp;"" and Col4 = date '""&amp;YEAR(C361)&amp;""-""&amp;MONTH(C361)&amp;""-""&amp;DAY(C361)&amp;""'""))&gt;0,""Depositada"",if(sum(QUERY(IMPORTRANGE(""https://docs.google.com/spreadsheets/d/1ykfbEpHEAAZVCgujsGjRFJRCTULkzlWa8UjdyLzkDBM"",""BD M Sangrias!a:i""),""select Col6 whe"&amp;"re Col7 = 'Caixa Atendimento' and Col9 = '""&amp;K361&amp;""' and Col6 = ""&amp;M361&amp;"" and Col4 = date '""&amp;YEAR(C361)&amp;""-""&amp;MONTH(C361)&amp;""-""&amp;DAY(C361)&amp;""'""))&gt;0,""Caixa Atendimento"",""Caixa Sangria"")),""""),""Caixa Sangria"")"),"")</f>
        <v/>
      </c>
      <c r="M361" s="185" t="str">
        <f>IFERROR(__xludf.DUMMYFUNCTION("ifna(VALUE(REGEXEXTRACT(E361,""[0-9.]+[,]+[0-9]+"")))"),"")</f>
        <v/>
      </c>
      <c r="N361" s="185"/>
      <c r="O361" s="185"/>
      <c r="P361" s="185"/>
      <c r="Q361" s="185"/>
      <c r="R361" s="185"/>
      <c r="S361" s="185"/>
      <c r="T361" s="185"/>
      <c r="U361" s="185"/>
      <c r="V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184" t="str">
        <f>IFERROR(__xludf.DUMMYFUNCTION("ifna(IF(and(D362=""Saída"",J362=""Sangria""),if(sum(QUERY(IMPORTRANGE(""https://docs.google.com/spreadsheets/d/1ykfbEpHEAAZVCgujsGjRFJRCTULkzlWa8UjdyLzkDBM"",""BD M Sangrias!a:i""),""select Col6 where Col7 = 'Depositada' and Col9 = '""&amp;K362&amp;""' and Col6 ="&amp;" ""&amp;M362&amp;"" and Col4 = date '""&amp;YEAR(C362)&amp;""-""&amp;MONTH(C362)&amp;""-""&amp;DAY(C362)&amp;""'""))&gt;0,""Depositada"",if(sum(QUERY(IMPORTRANGE(""https://docs.google.com/spreadsheets/d/1ykfbEpHEAAZVCgujsGjRFJRCTULkzlWa8UjdyLzkDBM"",""BD M Sangrias!a:i""),""select Col6 whe"&amp;"re Col7 = 'Caixa Atendimento' and Col9 = '""&amp;K362&amp;""' and Col6 = ""&amp;M362&amp;"" and Col4 = date '""&amp;YEAR(C362)&amp;""-""&amp;MONTH(C362)&amp;""-""&amp;DAY(C362)&amp;""'""))&gt;0,""Caixa Atendimento"",""Caixa Sangria"")),""""),""Caixa Sangria"")"),"")</f>
        <v/>
      </c>
      <c r="M362" s="185" t="str">
        <f>IFERROR(__xludf.DUMMYFUNCTION("ifna(VALUE(REGEXEXTRACT(E362,""[0-9.]+[,]+[0-9]+"")))"),"")</f>
        <v/>
      </c>
      <c r="N362" s="185"/>
      <c r="O362" s="185"/>
      <c r="P362" s="185"/>
      <c r="Q362" s="185"/>
      <c r="R362" s="185"/>
      <c r="S362" s="185"/>
      <c r="T362" s="185"/>
      <c r="U362" s="185"/>
      <c r="V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184" t="str">
        <f>IFERROR(__xludf.DUMMYFUNCTION("ifna(IF(and(D363=""Saída"",J363=""Sangria""),if(sum(QUERY(IMPORTRANGE(""https://docs.google.com/spreadsheets/d/1ykfbEpHEAAZVCgujsGjRFJRCTULkzlWa8UjdyLzkDBM"",""BD M Sangrias!a:i""),""select Col6 where Col7 = 'Depositada' and Col9 = '""&amp;K363&amp;""' and Col6 ="&amp;" ""&amp;M363&amp;"" and Col4 = date '""&amp;YEAR(C363)&amp;""-""&amp;MONTH(C363)&amp;""-""&amp;DAY(C363)&amp;""'""))&gt;0,""Depositada"",if(sum(QUERY(IMPORTRANGE(""https://docs.google.com/spreadsheets/d/1ykfbEpHEAAZVCgujsGjRFJRCTULkzlWa8UjdyLzkDBM"",""BD M Sangrias!a:i""),""select Col6 whe"&amp;"re Col7 = 'Caixa Atendimento' and Col9 = '""&amp;K363&amp;""' and Col6 = ""&amp;M363&amp;"" and Col4 = date '""&amp;YEAR(C363)&amp;""-""&amp;MONTH(C363)&amp;""-""&amp;DAY(C363)&amp;""'""))&gt;0,""Caixa Atendimento"",""Caixa Sangria"")),""""),""Caixa Sangria"")"),"")</f>
        <v/>
      </c>
      <c r="M363" s="185" t="str">
        <f>IFERROR(__xludf.DUMMYFUNCTION("ifna(VALUE(REGEXEXTRACT(E363,""[0-9.]+[,]+[0-9]+"")))"),"")</f>
        <v/>
      </c>
      <c r="N363" s="185"/>
      <c r="O363" s="185"/>
      <c r="P363" s="185"/>
      <c r="Q363" s="185"/>
      <c r="R363" s="185"/>
      <c r="S363" s="185"/>
      <c r="T363" s="185"/>
      <c r="U363" s="185"/>
      <c r="V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184" t="str">
        <f>IFERROR(__xludf.DUMMYFUNCTION("ifna(IF(and(D364=""Saída"",J364=""Sangria""),if(sum(QUERY(IMPORTRANGE(""https://docs.google.com/spreadsheets/d/1ykfbEpHEAAZVCgujsGjRFJRCTULkzlWa8UjdyLzkDBM"",""BD M Sangrias!a:i""),""select Col6 where Col7 = 'Depositada' and Col9 = '""&amp;K364&amp;""' and Col6 ="&amp;" ""&amp;M364&amp;"" and Col4 = date '""&amp;YEAR(C364)&amp;""-""&amp;MONTH(C364)&amp;""-""&amp;DAY(C364)&amp;""'""))&gt;0,""Depositada"",if(sum(QUERY(IMPORTRANGE(""https://docs.google.com/spreadsheets/d/1ykfbEpHEAAZVCgujsGjRFJRCTULkzlWa8UjdyLzkDBM"",""BD M Sangrias!a:i""),""select Col6 whe"&amp;"re Col7 = 'Caixa Atendimento' and Col9 = '""&amp;K364&amp;""' and Col6 = ""&amp;M364&amp;"" and Col4 = date '""&amp;YEAR(C364)&amp;""-""&amp;MONTH(C364)&amp;""-""&amp;DAY(C364)&amp;""'""))&gt;0,""Caixa Atendimento"",""Caixa Sangria"")),""""),""Caixa Sangria"")"),"")</f>
        <v/>
      </c>
      <c r="M364" s="185" t="str">
        <f>IFERROR(__xludf.DUMMYFUNCTION("ifna(VALUE(REGEXEXTRACT(E364,""[0-9.]+[,]+[0-9]+"")))"),"")</f>
        <v/>
      </c>
      <c r="N364" s="185"/>
      <c r="O364" s="185"/>
      <c r="P364" s="185"/>
      <c r="Q364" s="185"/>
      <c r="R364" s="185"/>
      <c r="S364" s="185"/>
      <c r="T364" s="185"/>
      <c r="U364" s="185"/>
      <c r="V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184" t="str">
        <f>IFERROR(__xludf.DUMMYFUNCTION("ifna(IF(and(D365=""Saída"",J365=""Sangria""),if(sum(QUERY(IMPORTRANGE(""https://docs.google.com/spreadsheets/d/1ykfbEpHEAAZVCgujsGjRFJRCTULkzlWa8UjdyLzkDBM"",""BD M Sangrias!a:i""),""select Col6 where Col7 = 'Depositada' and Col9 = '""&amp;K365&amp;""' and Col6 ="&amp;" ""&amp;M365&amp;"" and Col4 = date '""&amp;YEAR(C365)&amp;""-""&amp;MONTH(C365)&amp;""-""&amp;DAY(C365)&amp;""'""))&gt;0,""Depositada"",if(sum(QUERY(IMPORTRANGE(""https://docs.google.com/spreadsheets/d/1ykfbEpHEAAZVCgujsGjRFJRCTULkzlWa8UjdyLzkDBM"",""BD M Sangrias!a:i""),""select Col6 whe"&amp;"re Col7 = 'Caixa Atendimento' and Col9 = '""&amp;K365&amp;""' and Col6 = ""&amp;M365&amp;"" and Col4 = date '""&amp;YEAR(C365)&amp;""-""&amp;MONTH(C365)&amp;""-""&amp;DAY(C365)&amp;""'""))&gt;0,""Caixa Atendimento"",""Caixa Sangria"")),""""),""Caixa Sangria"")"),"")</f>
        <v/>
      </c>
      <c r="M365" s="185" t="str">
        <f>IFERROR(__xludf.DUMMYFUNCTION("ifna(VALUE(REGEXEXTRACT(E365,""[0-9.]+[,]+[0-9]+"")))"),"")</f>
        <v/>
      </c>
      <c r="N365" s="185"/>
      <c r="O365" s="185"/>
      <c r="P365" s="185"/>
      <c r="Q365" s="185"/>
      <c r="R365" s="185"/>
      <c r="S365" s="185"/>
      <c r="T365" s="185"/>
      <c r="U365" s="185"/>
      <c r="V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184" t="str">
        <f>IFERROR(__xludf.DUMMYFUNCTION("ifna(IF(and(D366=""Saída"",J366=""Sangria""),if(sum(QUERY(IMPORTRANGE(""https://docs.google.com/spreadsheets/d/1ykfbEpHEAAZVCgujsGjRFJRCTULkzlWa8UjdyLzkDBM"",""BD M Sangrias!a:i""),""select Col6 where Col7 = 'Depositada' and Col9 = '""&amp;K366&amp;""' and Col6 ="&amp;" ""&amp;M366&amp;"" and Col4 = date '""&amp;YEAR(C366)&amp;""-""&amp;MONTH(C366)&amp;""-""&amp;DAY(C366)&amp;""'""))&gt;0,""Depositada"",if(sum(QUERY(IMPORTRANGE(""https://docs.google.com/spreadsheets/d/1ykfbEpHEAAZVCgujsGjRFJRCTULkzlWa8UjdyLzkDBM"",""BD M Sangrias!a:i""),""select Col6 whe"&amp;"re Col7 = 'Caixa Atendimento' and Col9 = '""&amp;K366&amp;""' and Col6 = ""&amp;M366&amp;"" and Col4 = date '""&amp;YEAR(C366)&amp;""-""&amp;MONTH(C366)&amp;""-""&amp;DAY(C366)&amp;""'""))&gt;0,""Caixa Atendimento"",""Caixa Sangria"")),""""),""Caixa Sangria"")"),"")</f>
        <v/>
      </c>
      <c r="M366" s="185" t="str">
        <f>IFERROR(__xludf.DUMMYFUNCTION("ifna(VALUE(REGEXEXTRACT(E366,""[0-9.]+[,]+[0-9]+"")))"),"")</f>
        <v/>
      </c>
      <c r="N366" s="185"/>
      <c r="O366" s="185"/>
      <c r="P366" s="185"/>
      <c r="Q366" s="185"/>
      <c r="R366" s="185"/>
      <c r="S366" s="185"/>
      <c r="T366" s="185"/>
      <c r="U366" s="185"/>
      <c r="V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184" t="str">
        <f>IFERROR(__xludf.DUMMYFUNCTION("ifna(IF(and(D367=""Saída"",J367=""Sangria""),if(sum(QUERY(IMPORTRANGE(""https://docs.google.com/spreadsheets/d/1ykfbEpHEAAZVCgujsGjRFJRCTULkzlWa8UjdyLzkDBM"",""BD M Sangrias!a:i""),""select Col6 where Col7 = 'Depositada' and Col9 = '""&amp;K367&amp;""' and Col6 ="&amp;" ""&amp;M367&amp;"" and Col4 = date '""&amp;YEAR(C367)&amp;""-""&amp;MONTH(C367)&amp;""-""&amp;DAY(C367)&amp;""'""))&gt;0,""Depositada"",if(sum(QUERY(IMPORTRANGE(""https://docs.google.com/spreadsheets/d/1ykfbEpHEAAZVCgujsGjRFJRCTULkzlWa8UjdyLzkDBM"",""BD M Sangrias!a:i""),""select Col6 whe"&amp;"re Col7 = 'Caixa Atendimento' and Col9 = '""&amp;K367&amp;""' and Col6 = ""&amp;M367&amp;"" and Col4 = date '""&amp;YEAR(C367)&amp;""-""&amp;MONTH(C367)&amp;""-""&amp;DAY(C367)&amp;""'""))&gt;0,""Caixa Atendimento"",""Caixa Sangria"")),""""),""Caixa Sangria"")"),"")</f>
        <v/>
      </c>
      <c r="M367" s="185" t="str">
        <f>IFERROR(__xludf.DUMMYFUNCTION("ifna(VALUE(REGEXEXTRACT(E367,""[0-9.]+[,]+[0-9]+"")))"),"")</f>
        <v/>
      </c>
      <c r="N367" s="185"/>
      <c r="O367" s="185"/>
      <c r="P367" s="185"/>
      <c r="Q367" s="185"/>
      <c r="R367" s="185"/>
      <c r="S367" s="185"/>
      <c r="T367" s="185"/>
      <c r="U367" s="185"/>
      <c r="V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184" t="str">
        <f>IFERROR(__xludf.DUMMYFUNCTION("ifna(IF(and(D368=""Saída"",J368=""Sangria""),if(sum(QUERY(IMPORTRANGE(""https://docs.google.com/spreadsheets/d/1ykfbEpHEAAZVCgujsGjRFJRCTULkzlWa8UjdyLzkDBM"",""BD M Sangrias!a:i""),""select Col6 where Col7 = 'Depositada' and Col9 = '""&amp;K368&amp;""' and Col6 ="&amp;" ""&amp;M368&amp;"" and Col4 = date '""&amp;YEAR(C368)&amp;""-""&amp;MONTH(C368)&amp;""-""&amp;DAY(C368)&amp;""'""))&gt;0,""Depositada"",if(sum(QUERY(IMPORTRANGE(""https://docs.google.com/spreadsheets/d/1ykfbEpHEAAZVCgujsGjRFJRCTULkzlWa8UjdyLzkDBM"",""BD M Sangrias!a:i""),""select Col6 whe"&amp;"re Col7 = 'Caixa Atendimento' and Col9 = '""&amp;K368&amp;""' and Col6 = ""&amp;M368&amp;"" and Col4 = date '""&amp;YEAR(C368)&amp;""-""&amp;MONTH(C368)&amp;""-""&amp;DAY(C368)&amp;""'""))&gt;0,""Caixa Atendimento"",""Caixa Sangria"")),""""),""Caixa Sangria"")"),"")</f>
        <v/>
      </c>
      <c r="M368" s="185" t="str">
        <f>IFERROR(__xludf.DUMMYFUNCTION("ifna(VALUE(REGEXEXTRACT(E368,""[0-9.]+[,]+[0-9]+"")))"),"")</f>
        <v/>
      </c>
      <c r="N368" s="185"/>
      <c r="O368" s="185"/>
      <c r="P368" s="185"/>
      <c r="Q368" s="185"/>
      <c r="R368" s="185"/>
      <c r="S368" s="185"/>
      <c r="T368" s="185"/>
      <c r="U368" s="185"/>
      <c r="V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184" t="str">
        <f>IFERROR(__xludf.DUMMYFUNCTION("ifna(IF(and(D369=""Saída"",J369=""Sangria""),if(sum(QUERY(IMPORTRANGE(""https://docs.google.com/spreadsheets/d/1ykfbEpHEAAZVCgujsGjRFJRCTULkzlWa8UjdyLzkDBM"",""BD M Sangrias!a:i""),""select Col6 where Col7 = 'Depositada' and Col9 = '""&amp;K369&amp;""' and Col6 ="&amp;" ""&amp;M369&amp;"" and Col4 = date '""&amp;YEAR(C369)&amp;""-""&amp;MONTH(C369)&amp;""-""&amp;DAY(C369)&amp;""'""))&gt;0,""Depositada"",if(sum(QUERY(IMPORTRANGE(""https://docs.google.com/spreadsheets/d/1ykfbEpHEAAZVCgujsGjRFJRCTULkzlWa8UjdyLzkDBM"",""BD M Sangrias!a:i""),""select Col6 whe"&amp;"re Col7 = 'Caixa Atendimento' and Col9 = '""&amp;K369&amp;""' and Col6 = ""&amp;M369&amp;"" and Col4 = date '""&amp;YEAR(C369)&amp;""-""&amp;MONTH(C369)&amp;""-""&amp;DAY(C369)&amp;""'""))&gt;0,""Caixa Atendimento"",""Caixa Sangria"")),""""),""Caixa Sangria"")"),"")</f>
        <v/>
      </c>
      <c r="M369" s="185" t="str">
        <f>IFERROR(__xludf.DUMMYFUNCTION("ifna(VALUE(REGEXEXTRACT(E369,""[0-9.]+[,]+[0-9]+"")))"),"")</f>
        <v/>
      </c>
      <c r="N369" s="185"/>
      <c r="O369" s="185"/>
      <c r="P369" s="185"/>
      <c r="Q369" s="185"/>
      <c r="R369" s="185"/>
      <c r="S369" s="185"/>
      <c r="T369" s="185"/>
      <c r="U369" s="185"/>
      <c r="V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184" t="str">
        <f>IFERROR(__xludf.DUMMYFUNCTION("ifna(IF(and(D370=""Saída"",J370=""Sangria""),if(sum(QUERY(IMPORTRANGE(""https://docs.google.com/spreadsheets/d/1ykfbEpHEAAZVCgujsGjRFJRCTULkzlWa8UjdyLzkDBM"",""BD M Sangrias!a:i""),""select Col6 where Col7 = 'Depositada' and Col9 = '""&amp;K370&amp;""' and Col6 ="&amp;" ""&amp;M370&amp;"" and Col4 = date '""&amp;YEAR(C370)&amp;""-""&amp;MONTH(C370)&amp;""-""&amp;DAY(C370)&amp;""'""))&gt;0,""Depositada"",if(sum(QUERY(IMPORTRANGE(""https://docs.google.com/spreadsheets/d/1ykfbEpHEAAZVCgujsGjRFJRCTULkzlWa8UjdyLzkDBM"",""BD M Sangrias!a:i""),""select Col6 whe"&amp;"re Col7 = 'Caixa Atendimento' and Col9 = '""&amp;K370&amp;""' and Col6 = ""&amp;M370&amp;"" and Col4 = date '""&amp;YEAR(C370)&amp;""-""&amp;MONTH(C370)&amp;""-""&amp;DAY(C370)&amp;""'""))&gt;0,""Caixa Atendimento"",""Caixa Sangria"")),""""),""Caixa Sangria"")"),"")</f>
        <v/>
      </c>
      <c r="M370" s="185" t="str">
        <f>IFERROR(__xludf.DUMMYFUNCTION("ifna(VALUE(REGEXEXTRACT(E370,""[0-9.]+[,]+[0-9]+"")))"),"")</f>
        <v/>
      </c>
      <c r="N370" s="185"/>
      <c r="O370" s="185"/>
      <c r="P370" s="185"/>
      <c r="Q370" s="185"/>
      <c r="R370" s="185"/>
      <c r="S370" s="185"/>
      <c r="T370" s="185"/>
      <c r="U370" s="185"/>
      <c r="V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184" t="str">
        <f>IFERROR(__xludf.DUMMYFUNCTION("ifna(IF(and(D371=""Saída"",J371=""Sangria""),if(sum(QUERY(IMPORTRANGE(""https://docs.google.com/spreadsheets/d/1ykfbEpHEAAZVCgujsGjRFJRCTULkzlWa8UjdyLzkDBM"",""BD M Sangrias!a:i""),""select Col6 where Col7 = 'Depositada' and Col9 = '""&amp;K371&amp;""' and Col6 ="&amp;" ""&amp;M371&amp;"" and Col4 = date '""&amp;YEAR(C371)&amp;""-""&amp;MONTH(C371)&amp;""-""&amp;DAY(C371)&amp;""'""))&gt;0,""Depositada"",if(sum(QUERY(IMPORTRANGE(""https://docs.google.com/spreadsheets/d/1ykfbEpHEAAZVCgujsGjRFJRCTULkzlWa8UjdyLzkDBM"",""BD M Sangrias!a:i""),""select Col6 whe"&amp;"re Col7 = 'Caixa Atendimento' and Col9 = '""&amp;K371&amp;""' and Col6 = ""&amp;M371&amp;"" and Col4 = date '""&amp;YEAR(C371)&amp;""-""&amp;MONTH(C371)&amp;""-""&amp;DAY(C371)&amp;""'""))&gt;0,""Caixa Atendimento"",""Caixa Sangria"")),""""),""Caixa Sangria"")"),"")</f>
        <v/>
      </c>
      <c r="M371" s="185" t="str">
        <f>IFERROR(__xludf.DUMMYFUNCTION("ifna(VALUE(REGEXEXTRACT(E371,""[0-9.]+[,]+[0-9]+"")))"),"")</f>
        <v/>
      </c>
      <c r="N371" s="185"/>
      <c r="O371" s="185"/>
      <c r="P371" s="185"/>
      <c r="Q371" s="185"/>
      <c r="R371" s="185"/>
      <c r="S371" s="185"/>
      <c r="T371" s="185"/>
      <c r="U371" s="185"/>
      <c r="V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184" t="str">
        <f>IFERROR(__xludf.DUMMYFUNCTION("ifna(IF(and(D372=""Saída"",J372=""Sangria""),if(sum(QUERY(IMPORTRANGE(""https://docs.google.com/spreadsheets/d/1ykfbEpHEAAZVCgujsGjRFJRCTULkzlWa8UjdyLzkDBM"",""BD M Sangrias!a:i""),""select Col6 where Col7 = 'Depositada' and Col9 = '""&amp;K372&amp;""' and Col6 ="&amp;" ""&amp;M372&amp;"" and Col4 = date '""&amp;YEAR(C372)&amp;""-""&amp;MONTH(C372)&amp;""-""&amp;DAY(C372)&amp;""'""))&gt;0,""Depositada"",if(sum(QUERY(IMPORTRANGE(""https://docs.google.com/spreadsheets/d/1ykfbEpHEAAZVCgujsGjRFJRCTULkzlWa8UjdyLzkDBM"",""BD M Sangrias!a:i""),""select Col6 whe"&amp;"re Col7 = 'Caixa Atendimento' and Col9 = '""&amp;K372&amp;""' and Col6 = ""&amp;M372&amp;"" and Col4 = date '""&amp;YEAR(C372)&amp;""-""&amp;MONTH(C372)&amp;""-""&amp;DAY(C372)&amp;""'""))&gt;0,""Caixa Atendimento"",""Caixa Sangria"")),""""),""Caixa Sangria"")"),"")</f>
        <v/>
      </c>
      <c r="M372" s="185" t="str">
        <f>IFERROR(__xludf.DUMMYFUNCTION("ifna(VALUE(REGEXEXTRACT(E372,""[0-9.]+[,]+[0-9]+"")))"),"")</f>
        <v/>
      </c>
      <c r="N372" s="185"/>
      <c r="O372" s="185"/>
      <c r="P372" s="185"/>
      <c r="Q372" s="185"/>
      <c r="R372" s="185"/>
      <c r="S372" s="185"/>
      <c r="T372" s="185"/>
      <c r="U372" s="185"/>
      <c r="V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184" t="str">
        <f>IFERROR(__xludf.DUMMYFUNCTION("ifna(IF(and(D373=""Saída"",J373=""Sangria""),if(sum(QUERY(IMPORTRANGE(""https://docs.google.com/spreadsheets/d/1ykfbEpHEAAZVCgujsGjRFJRCTULkzlWa8UjdyLzkDBM"",""BD M Sangrias!a:i""),""select Col6 where Col7 = 'Depositada' and Col9 = '""&amp;K373&amp;""' and Col6 ="&amp;" ""&amp;M373&amp;"" and Col4 = date '""&amp;YEAR(C373)&amp;""-""&amp;MONTH(C373)&amp;""-""&amp;DAY(C373)&amp;""'""))&gt;0,""Depositada"",if(sum(QUERY(IMPORTRANGE(""https://docs.google.com/spreadsheets/d/1ykfbEpHEAAZVCgujsGjRFJRCTULkzlWa8UjdyLzkDBM"",""BD M Sangrias!a:i""),""select Col6 whe"&amp;"re Col7 = 'Caixa Atendimento' and Col9 = '""&amp;K373&amp;""' and Col6 = ""&amp;M373&amp;"" and Col4 = date '""&amp;YEAR(C373)&amp;""-""&amp;MONTH(C373)&amp;""-""&amp;DAY(C373)&amp;""'""))&gt;0,""Caixa Atendimento"",""Caixa Sangria"")),""""),""Caixa Sangria"")"),"")</f>
        <v/>
      </c>
      <c r="M373" s="185" t="str">
        <f>IFERROR(__xludf.DUMMYFUNCTION("ifna(VALUE(REGEXEXTRACT(E373,""[0-9.]+[,]+[0-9]+"")))"),"")</f>
        <v/>
      </c>
      <c r="N373" s="185"/>
      <c r="O373" s="185"/>
      <c r="P373" s="185"/>
      <c r="Q373" s="185"/>
      <c r="R373" s="185"/>
      <c r="S373" s="185"/>
      <c r="T373" s="185"/>
      <c r="U373" s="185"/>
      <c r="V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184" t="str">
        <f>IFERROR(__xludf.DUMMYFUNCTION("ifna(IF(and(D374=""Saída"",J374=""Sangria""),if(sum(QUERY(IMPORTRANGE(""https://docs.google.com/spreadsheets/d/1ykfbEpHEAAZVCgujsGjRFJRCTULkzlWa8UjdyLzkDBM"",""BD M Sangrias!a:i""),""select Col6 where Col7 = 'Depositada' and Col9 = '""&amp;K374&amp;""' and Col6 ="&amp;" ""&amp;M374&amp;"" and Col4 = date '""&amp;YEAR(C374)&amp;""-""&amp;MONTH(C374)&amp;""-""&amp;DAY(C374)&amp;""'""))&gt;0,""Depositada"",if(sum(QUERY(IMPORTRANGE(""https://docs.google.com/spreadsheets/d/1ykfbEpHEAAZVCgujsGjRFJRCTULkzlWa8UjdyLzkDBM"",""BD M Sangrias!a:i""),""select Col6 whe"&amp;"re Col7 = 'Caixa Atendimento' and Col9 = '""&amp;K374&amp;""' and Col6 = ""&amp;M374&amp;"" and Col4 = date '""&amp;YEAR(C374)&amp;""-""&amp;MONTH(C374)&amp;""-""&amp;DAY(C374)&amp;""'""))&gt;0,""Caixa Atendimento"",""Caixa Sangria"")),""""),""Caixa Sangria"")"),"")</f>
        <v/>
      </c>
      <c r="M374" s="185" t="str">
        <f>IFERROR(__xludf.DUMMYFUNCTION("ifna(VALUE(REGEXEXTRACT(E374,""[0-9.]+[,]+[0-9]+"")))"),"")</f>
        <v/>
      </c>
      <c r="N374" s="185"/>
      <c r="O374" s="185"/>
      <c r="P374" s="185"/>
      <c r="Q374" s="185"/>
      <c r="R374" s="185"/>
      <c r="S374" s="185"/>
      <c r="T374" s="185"/>
      <c r="U374" s="185"/>
      <c r="V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184" t="str">
        <f>IFERROR(__xludf.DUMMYFUNCTION("ifna(IF(and(D375=""Saída"",J375=""Sangria""),if(sum(QUERY(IMPORTRANGE(""https://docs.google.com/spreadsheets/d/1ykfbEpHEAAZVCgujsGjRFJRCTULkzlWa8UjdyLzkDBM"",""BD M Sangrias!a:i""),""select Col6 where Col7 = 'Depositada' and Col9 = '""&amp;K375&amp;""' and Col6 ="&amp;" ""&amp;M375&amp;"" and Col4 = date '""&amp;YEAR(C375)&amp;""-""&amp;MONTH(C375)&amp;""-""&amp;DAY(C375)&amp;""'""))&gt;0,""Depositada"",if(sum(QUERY(IMPORTRANGE(""https://docs.google.com/spreadsheets/d/1ykfbEpHEAAZVCgujsGjRFJRCTULkzlWa8UjdyLzkDBM"",""BD M Sangrias!a:i""),""select Col6 whe"&amp;"re Col7 = 'Caixa Atendimento' and Col9 = '""&amp;K375&amp;""' and Col6 = ""&amp;M375&amp;"" and Col4 = date '""&amp;YEAR(C375)&amp;""-""&amp;MONTH(C375)&amp;""-""&amp;DAY(C375)&amp;""'""))&gt;0,""Caixa Atendimento"",""Caixa Sangria"")),""""),""Caixa Sangria"")"),"")</f>
        <v/>
      </c>
      <c r="M375" s="185" t="str">
        <f>IFERROR(__xludf.DUMMYFUNCTION("ifna(VALUE(REGEXEXTRACT(E375,""[0-9.]+[,]+[0-9]+"")))"),"")</f>
        <v/>
      </c>
      <c r="N375" s="185"/>
      <c r="O375" s="185"/>
      <c r="P375" s="185"/>
      <c r="Q375" s="185"/>
      <c r="R375" s="185"/>
      <c r="S375" s="185"/>
      <c r="T375" s="185"/>
      <c r="U375" s="185"/>
      <c r="V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184" t="str">
        <f>IFERROR(__xludf.DUMMYFUNCTION("ifna(IF(and(D376=""Saída"",J376=""Sangria""),if(sum(QUERY(IMPORTRANGE(""https://docs.google.com/spreadsheets/d/1ykfbEpHEAAZVCgujsGjRFJRCTULkzlWa8UjdyLzkDBM"",""BD M Sangrias!a:i""),""select Col6 where Col7 = 'Depositada' and Col9 = '""&amp;K376&amp;""' and Col6 ="&amp;" ""&amp;M376&amp;"" and Col4 = date '""&amp;YEAR(C376)&amp;""-""&amp;MONTH(C376)&amp;""-""&amp;DAY(C376)&amp;""'""))&gt;0,""Depositada"",if(sum(QUERY(IMPORTRANGE(""https://docs.google.com/spreadsheets/d/1ykfbEpHEAAZVCgujsGjRFJRCTULkzlWa8UjdyLzkDBM"",""BD M Sangrias!a:i""),""select Col6 whe"&amp;"re Col7 = 'Caixa Atendimento' and Col9 = '""&amp;K376&amp;""' and Col6 = ""&amp;M376&amp;"" and Col4 = date '""&amp;YEAR(C376)&amp;""-""&amp;MONTH(C376)&amp;""-""&amp;DAY(C376)&amp;""'""))&gt;0,""Caixa Atendimento"",""Caixa Sangria"")),""""),""Caixa Sangria"")"),"")</f>
        <v/>
      </c>
      <c r="M376" s="185" t="str">
        <f>IFERROR(__xludf.DUMMYFUNCTION("ifna(VALUE(REGEXEXTRACT(E376,""[0-9.]+[,]+[0-9]+"")))"),"")</f>
        <v/>
      </c>
      <c r="N376" s="185"/>
      <c r="O376" s="185"/>
      <c r="P376" s="185"/>
      <c r="Q376" s="185"/>
      <c r="R376" s="185"/>
      <c r="S376" s="185"/>
      <c r="T376" s="185"/>
      <c r="U376" s="185"/>
      <c r="V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184" t="str">
        <f>IFERROR(__xludf.DUMMYFUNCTION("ifna(IF(and(D377=""Saída"",J377=""Sangria""),if(sum(QUERY(IMPORTRANGE(""https://docs.google.com/spreadsheets/d/1ykfbEpHEAAZVCgujsGjRFJRCTULkzlWa8UjdyLzkDBM"",""BD M Sangrias!a:i""),""select Col6 where Col7 = 'Depositada' and Col9 = '""&amp;K377&amp;""' and Col6 ="&amp;" ""&amp;M377&amp;"" and Col4 = date '""&amp;YEAR(C377)&amp;""-""&amp;MONTH(C377)&amp;""-""&amp;DAY(C377)&amp;""'""))&gt;0,""Depositada"",if(sum(QUERY(IMPORTRANGE(""https://docs.google.com/spreadsheets/d/1ykfbEpHEAAZVCgujsGjRFJRCTULkzlWa8UjdyLzkDBM"",""BD M Sangrias!a:i""),""select Col6 whe"&amp;"re Col7 = 'Caixa Atendimento' and Col9 = '""&amp;K377&amp;""' and Col6 = ""&amp;M377&amp;"" and Col4 = date '""&amp;YEAR(C377)&amp;""-""&amp;MONTH(C377)&amp;""-""&amp;DAY(C377)&amp;""'""))&gt;0,""Caixa Atendimento"",""Caixa Sangria"")),""""),""Caixa Sangria"")"),"")</f>
        <v/>
      </c>
      <c r="M377" s="185" t="str">
        <f>IFERROR(__xludf.DUMMYFUNCTION("ifna(VALUE(REGEXEXTRACT(E377,""[0-9.]+[,]+[0-9]+"")))"),"")</f>
        <v/>
      </c>
      <c r="N377" s="185"/>
      <c r="O377" s="185"/>
      <c r="P377" s="185"/>
      <c r="Q377" s="185"/>
      <c r="R377" s="185"/>
      <c r="S377" s="185"/>
      <c r="T377" s="185"/>
      <c r="U377" s="185"/>
      <c r="V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184" t="str">
        <f>IFERROR(__xludf.DUMMYFUNCTION("ifna(IF(and(D378=""Saída"",J378=""Sangria""),if(sum(QUERY(IMPORTRANGE(""https://docs.google.com/spreadsheets/d/1ykfbEpHEAAZVCgujsGjRFJRCTULkzlWa8UjdyLzkDBM"",""BD M Sangrias!a:i""),""select Col6 where Col7 = 'Depositada' and Col9 = '""&amp;K378&amp;""' and Col6 ="&amp;" ""&amp;M378&amp;"" and Col4 = date '""&amp;YEAR(C378)&amp;""-""&amp;MONTH(C378)&amp;""-""&amp;DAY(C378)&amp;""'""))&gt;0,""Depositada"",if(sum(QUERY(IMPORTRANGE(""https://docs.google.com/spreadsheets/d/1ykfbEpHEAAZVCgujsGjRFJRCTULkzlWa8UjdyLzkDBM"",""BD M Sangrias!a:i""),""select Col6 whe"&amp;"re Col7 = 'Caixa Atendimento' and Col9 = '""&amp;K378&amp;""' and Col6 = ""&amp;M378&amp;"" and Col4 = date '""&amp;YEAR(C378)&amp;""-""&amp;MONTH(C378)&amp;""-""&amp;DAY(C378)&amp;""'""))&gt;0,""Caixa Atendimento"",""Caixa Sangria"")),""""),""Caixa Sangria"")"),"")</f>
        <v/>
      </c>
      <c r="M378" s="185" t="str">
        <f>IFERROR(__xludf.DUMMYFUNCTION("ifna(VALUE(REGEXEXTRACT(E378,""[0-9.]+[,]+[0-9]+"")))"),"")</f>
        <v/>
      </c>
      <c r="N378" s="185"/>
      <c r="O378" s="185"/>
      <c r="P378" s="185"/>
      <c r="Q378" s="185"/>
      <c r="R378" s="185"/>
      <c r="S378" s="185"/>
      <c r="T378" s="185"/>
      <c r="U378" s="185"/>
      <c r="V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184" t="str">
        <f>IFERROR(__xludf.DUMMYFUNCTION("ifna(IF(and(D379=""Saída"",J379=""Sangria""),if(sum(QUERY(IMPORTRANGE(""https://docs.google.com/spreadsheets/d/1ykfbEpHEAAZVCgujsGjRFJRCTULkzlWa8UjdyLzkDBM"",""BD M Sangrias!a:i""),""select Col6 where Col7 = 'Depositada' and Col9 = '""&amp;K379&amp;""' and Col6 ="&amp;" ""&amp;M379&amp;"" and Col4 = date '""&amp;YEAR(C379)&amp;""-""&amp;MONTH(C379)&amp;""-""&amp;DAY(C379)&amp;""'""))&gt;0,""Depositada"",if(sum(QUERY(IMPORTRANGE(""https://docs.google.com/spreadsheets/d/1ykfbEpHEAAZVCgujsGjRFJRCTULkzlWa8UjdyLzkDBM"",""BD M Sangrias!a:i""),""select Col6 whe"&amp;"re Col7 = 'Caixa Atendimento' and Col9 = '""&amp;K379&amp;""' and Col6 = ""&amp;M379&amp;"" and Col4 = date '""&amp;YEAR(C379)&amp;""-""&amp;MONTH(C379)&amp;""-""&amp;DAY(C379)&amp;""'""))&gt;0,""Caixa Atendimento"",""Caixa Sangria"")),""""),""Caixa Sangria"")"),"")</f>
        <v/>
      </c>
      <c r="M379" s="185" t="str">
        <f>IFERROR(__xludf.DUMMYFUNCTION("ifna(VALUE(REGEXEXTRACT(E379,""[0-9.]+[,]+[0-9]+"")))"),"")</f>
        <v/>
      </c>
      <c r="N379" s="185"/>
      <c r="O379" s="185"/>
      <c r="P379" s="185"/>
      <c r="Q379" s="185"/>
      <c r="R379" s="185"/>
      <c r="S379" s="185"/>
      <c r="T379" s="185"/>
      <c r="U379" s="185"/>
      <c r="V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184" t="str">
        <f>IFERROR(__xludf.DUMMYFUNCTION("ifna(IF(and(D380=""Saída"",J380=""Sangria""),if(sum(QUERY(IMPORTRANGE(""https://docs.google.com/spreadsheets/d/1ykfbEpHEAAZVCgujsGjRFJRCTULkzlWa8UjdyLzkDBM"",""BD M Sangrias!a:i""),""select Col6 where Col7 = 'Depositada' and Col9 = '""&amp;K380&amp;""' and Col6 ="&amp;" ""&amp;M380&amp;"" and Col4 = date '""&amp;YEAR(C380)&amp;""-""&amp;MONTH(C380)&amp;""-""&amp;DAY(C380)&amp;""'""))&gt;0,""Depositada"",if(sum(QUERY(IMPORTRANGE(""https://docs.google.com/spreadsheets/d/1ykfbEpHEAAZVCgujsGjRFJRCTULkzlWa8UjdyLzkDBM"",""BD M Sangrias!a:i""),""select Col6 whe"&amp;"re Col7 = 'Caixa Atendimento' and Col9 = '""&amp;K380&amp;""' and Col6 = ""&amp;M380&amp;"" and Col4 = date '""&amp;YEAR(C380)&amp;""-""&amp;MONTH(C380)&amp;""-""&amp;DAY(C380)&amp;""'""))&gt;0,""Caixa Atendimento"",""Caixa Sangria"")),""""),""Caixa Sangria"")"),"")</f>
        <v/>
      </c>
      <c r="M380" s="185" t="str">
        <f>IFERROR(__xludf.DUMMYFUNCTION("ifna(VALUE(REGEXEXTRACT(E380,""[0-9.]+[,]+[0-9]+"")))"),"")</f>
        <v/>
      </c>
      <c r="N380" s="185"/>
      <c r="O380" s="185"/>
      <c r="P380" s="185"/>
      <c r="Q380" s="185"/>
      <c r="R380" s="185"/>
      <c r="S380" s="185"/>
      <c r="T380" s="185"/>
      <c r="U380" s="185"/>
      <c r="V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184" t="str">
        <f>IFERROR(__xludf.DUMMYFUNCTION("ifna(IF(and(D381=""Saída"",J381=""Sangria""),if(sum(QUERY(IMPORTRANGE(""https://docs.google.com/spreadsheets/d/1ykfbEpHEAAZVCgujsGjRFJRCTULkzlWa8UjdyLzkDBM"",""BD M Sangrias!a:i""),""select Col6 where Col7 = 'Depositada' and Col9 = '""&amp;K381&amp;""' and Col6 ="&amp;" ""&amp;M381&amp;"" and Col4 = date '""&amp;YEAR(C381)&amp;""-""&amp;MONTH(C381)&amp;""-""&amp;DAY(C381)&amp;""'""))&gt;0,""Depositada"",if(sum(QUERY(IMPORTRANGE(""https://docs.google.com/spreadsheets/d/1ykfbEpHEAAZVCgujsGjRFJRCTULkzlWa8UjdyLzkDBM"",""BD M Sangrias!a:i""),""select Col6 whe"&amp;"re Col7 = 'Caixa Atendimento' and Col9 = '""&amp;K381&amp;""' and Col6 = ""&amp;M381&amp;"" and Col4 = date '""&amp;YEAR(C381)&amp;""-""&amp;MONTH(C381)&amp;""-""&amp;DAY(C381)&amp;""'""))&gt;0,""Caixa Atendimento"",""Caixa Sangria"")),""""),""Caixa Sangria"")"),"")</f>
        <v/>
      </c>
      <c r="M381" s="185" t="str">
        <f>IFERROR(__xludf.DUMMYFUNCTION("ifna(VALUE(REGEXEXTRACT(E381,""[0-9.]+[,]+[0-9]+"")))"),"")</f>
        <v/>
      </c>
      <c r="N381" s="185"/>
      <c r="O381" s="185"/>
      <c r="P381" s="185"/>
      <c r="Q381" s="185"/>
      <c r="R381" s="185"/>
      <c r="S381" s="185"/>
      <c r="T381" s="185"/>
      <c r="U381" s="185"/>
      <c r="V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184" t="str">
        <f>IFERROR(__xludf.DUMMYFUNCTION("ifna(IF(and(D382=""Saída"",J382=""Sangria""),if(sum(QUERY(IMPORTRANGE(""https://docs.google.com/spreadsheets/d/1ykfbEpHEAAZVCgujsGjRFJRCTULkzlWa8UjdyLzkDBM"",""BD M Sangrias!a:i""),""select Col6 where Col7 = 'Depositada' and Col9 = '""&amp;K382&amp;""' and Col6 ="&amp;" ""&amp;M382&amp;"" and Col4 = date '""&amp;YEAR(C382)&amp;""-""&amp;MONTH(C382)&amp;""-""&amp;DAY(C382)&amp;""'""))&gt;0,""Depositada"",if(sum(QUERY(IMPORTRANGE(""https://docs.google.com/spreadsheets/d/1ykfbEpHEAAZVCgujsGjRFJRCTULkzlWa8UjdyLzkDBM"",""BD M Sangrias!a:i""),""select Col6 whe"&amp;"re Col7 = 'Caixa Atendimento' and Col9 = '""&amp;K382&amp;""' and Col6 = ""&amp;M382&amp;"" and Col4 = date '""&amp;YEAR(C382)&amp;""-""&amp;MONTH(C382)&amp;""-""&amp;DAY(C382)&amp;""'""))&gt;0,""Caixa Atendimento"",""Caixa Sangria"")),""""),""Caixa Sangria"")"),"")</f>
        <v/>
      </c>
      <c r="M382" s="185" t="str">
        <f>IFERROR(__xludf.DUMMYFUNCTION("ifna(VALUE(REGEXEXTRACT(E382,""[0-9.]+[,]+[0-9]+"")))"),"")</f>
        <v/>
      </c>
      <c r="N382" s="185"/>
      <c r="O382" s="185"/>
      <c r="P382" s="185"/>
      <c r="Q382" s="185"/>
      <c r="R382" s="185"/>
      <c r="S382" s="185"/>
      <c r="T382" s="185"/>
      <c r="U382" s="185"/>
      <c r="V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184" t="str">
        <f>IFERROR(__xludf.DUMMYFUNCTION("ifna(IF(and(D383=""Saída"",J383=""Sangria""),if(sum(QUERY(IMPORTRANGE(""https://docs.google.com/spreadsheets/d/1ykfbEpHEAAZVCgujsGjRFJRCTULkzlWa8UjdyLzkDBM"",""BD M Sangrias!a:i""),""select Col6 where Col7 = 'Depositada' and Col9 = '""&amp;K383&amp;""' and Col6 ="&amp;" ""&amp;M383&amp;"" and Col4 = date '""&amp;YEAR(C383)&amp;""-""&amp;MONTH(C383)&amp;""-""&amp;DAY(C383)&amp;""'""))&gt;0,""Depositada"",if(sum(QUERY(IMPORTRANGE(""https://docs.google.com/spreadsheets/d/1ykfbEpHEAAZVCgujsGjRFJRCTULkzlWa8UjdyLzkDBM"",""BD M Sangrias!a:i""),""select Col6 whe"&amp;"re Col7 = 'Caixa Atendimento' and Col9 = '""&amp;K383&amp;""' and Col6 = ""&amp;M383&amp;"" and Col4 = date '""&amp;YEAR(C383)&amp;""-""&amp;MONTH(C383)&amp;""-""&amp;DAY(C383)&amp;""'""))&gt;0,""Caixa Atendimento"",""Caixa Sangria"")),""""),""Caixa Sangria"")"),"")</f>
        <v/>
      </c>
      <c r="M383" s="185" t="str">
        <f>IFERROR(__xludf.DUMMYFUNCTION("ifna(VALUE(REGEXEXTRACT(E383,""[0-9.]+[,]+[0-9]+"")))"),"")</f>
        <v/>
      </c>
      <c r="N383" s="185"/>
      <c r="O383" s="185"/>
      <c r="P383" s="185"/>
      <c r="Q383" s="185"/>
      <c r="R383" s="185"/>
      <c r="S383" s="185"/>
      <c r="T383" s="185"/>
      <c r="U383" s="185"/>
      <c r="V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184" t="str">
        <f>IFERROR(__xludf.DUMMYFUNCTION("ifna(IF(and(D384=""Saída"",J384=""Sangria""),if(sum(QUERY(IMPORTRANGE(""https://docs.google.com/spreadsheets/d/1ykfbEpHEAAZVCgujsGjRFJRCTULkzlWa8UjdyLzkDBM"",""BD M Sangrias!a:i""),""select Col6 where Col7 = 'Depositada' and Col9 = '""&amp;K384&amp;""' and Col6 ="&amp;" ""&amp;M384&amp;"" and Col4 = date '""&amp;YEAR(C384)&amp;""-""&amp;MONTH(C384)&amp;""-""&amp;DAY(C384)&amp;""'""))&gt;0,""Depositada"",if(sum(QUERY(IMPORTRANGE(""https://docs.google.com/spreadsheets/d/1ykfbEpHEAAZVCgujsGjRFJRCTULkzlWa8UjdyLzkDBM"",""BD M Sangrias!a:i""),""select Col6 whe"&amp;"re Col7 = 'Caixa Atendimento' and Col9 = '""&amp;K384&amp;""' and Col6 = ""&amp;M384&amp;"" and Col4 = date '""&amp;YEAR(C384)&amp;""-""&amp;MONTH(C384)&amp;""-""&amp;DAY(C384)&amp;""'""))&gt;0,""Caixa Atendimento"",""Caixa Sangria"")),""""),""Caixa Sangria"")"),"")</f>
        <v/>
      </c>
      <c r="M384" s="185" t="str">
        <f>IFERROR(__xludf.DUMMYFUNCTION("ifna(VALUE(REGEXEXTRACT(E384,""[0-9.]+[,]+[0-9]+"")))"),"")</f>
        <v/>
      </c>
      <c r="N384" s="185"/>
      <c r="O384" s="185"/>
      <c r="P384" s="185"/>
      <c r="Q384" s="185"/>
      <c r="R384" s="185"/>
      <c r="S384" s="185"/>
      <c r="T384" s="185"/>
      <c r="U384" s="185"/>
      <c r="V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184" t="str">
        <f>IFERROR(__xludf.DUMMYFUNCTION("ifna(IF(and(D385=""Saída"",J385=""Sangria""),if(sum(QUERY(IMPORTRANGE(""https://docs.google.com/spreadsheets/d/1ykfbEpHEAAZVCgujsGjRFJRCTULkzlWa8UjdyLzkDBM"",""BD M Sangrias!a:i""),""select Col6 where Col7 = 'Depositada' and Col9 = '""&amp;K385&amp;""' and Col6 ="&amp;" ""&amp;M385&amp;"" and Col4 = date '""&amp;YEAR(C385)&amp;""-""&amp;MONTH(C385)&amp;""-""&amp;DAY(C385)&amp;""'""))&gt;0,""Depositada"",if(sum(QUERY(IMPORTRANGE(""https://docs.google.com/spreadsheets/d/1ykfbEpHEAAZVCgujsGjRFJRCTULkzlWa8UjdyLzkDBM"",""BD M Sangrias!a:i""),""select Col6 whe"&amp;"re Col7 = 'Caixa Atendimento' and Col9 = '""&amp;K385&amp;""' and Col6 = ""&amp;M385&amp;"" and Col4 = date '""&amp;YEAR(C385)&amp;""-""&amp;MONTH(C385)&amp;""-""&amp;DAY(C385)&amp;""'""))&gt;0,""Caixa Atendimento"",""Caixa Sangria"")),""""),""Caixa Sangria"")"),"")</f>
        <v/>
      </c>
      <c r="M385" s="185" t="str">
        <f>IFERROR(__xludf.DUMMYFUNCTION("ifna(VALUE(REGEXEXTRACT(E385,""[0-9.]+[,]+[0-9]+"")))"),"")</f>
        <v/>
      </c>
      <c r="N385" s="185"/>
      <c r="O385" s="185"/>
      <c r="P385" s="185"/>
      <c r="Q385" s="185"/>
      <c r="R385" s="185"/>
      <c r="S385" s="185"/>
      <c r="T385" s="185"/>
      <c r="U385" s="185"/>
      <c r="V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184" t="str">
        <f>IFERROR(__xludf.DUMMYFUNCTION("ifna(IF(and(D386=""Saída"",J386=""Sangria""),if(sum(QUERY(IMPORTRANGE(""https://docs.google.com/spreadsheets/d/1ykfbEpHEAAZVCgujsGjRFJRCTULkzlWa8UjdyLzkDBM"",""BD M Sangrias!a:i""),""select Col6 where Col7 = 'Depositada' and Col9 = '""&amp;K386&amp;""' and Col6 ="&amp;" ""&amp;M386&amp;"" and Col4 = date '""&amp;YEAR(C386)&amp;""-""&amp;MONTH(C386)&amp;""-""&amp;DAY(C386)&amp;""'""))&gt;0,""Depositada"",if(sum(QUERY(IMPORTRANGE(""https://docs.google.com/spreadsheets/d/1ykfbEpHEAAZVCgujsGjRFJRCTULkzlWa8UjdyLzkDBM"",""BD M Sangrias!a:i""),""select Col6 whe"&amp;"re Col7 = 'Caixa Atendimento' and Col9 = '""&amp;K386&amp;""' and Col6 = ""&amp;M386&amp;"" and Col4 = date '""&amp;YEAR(C386)&amp;""-""&amp;MONTH(C386)&amp;""-""&amp;DAY(C386)&amp;""'""))&gt;0,""Caixa Atendimento"",""Caixa Sangria"")),""""),""Caixa Sangria"")"),"")</f>
        <v/>
      </c>
      <c r="M386" s="185" t="str">
        <f>IFERROR(__xludf.DUMMYFUNCTION("ifna(VALUE(REGEXEXTRACT(E386,""[0-9.]+[,]+[0-9]+"")))"),"")</f>
        <v/>
      </c>
      <c r="N386" s="185"/>
      <c r="O386" s="185"/>
      <c r="P386" s="185"/>
      <c r="Q386" s="185"/>
      <c r="R386" s="185"/>
      <c r="S386" s="185"/>
      <c r="T386" s="185"/>
      <c r="U386" s="185"/>
      <c r="V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184" t="str">
        <f>IFERROR(__xludf.DUMMYFUNCTION("ifna(IF(and(D387=""Saída"",J387=""Sangria""),if(sum(QUERY(IMPORTRANGE(""https://docs.google.com/spreadsheets/d/1ykfbEpHEAAZVCgujsGjRFJRCTULkzlWa8UjdyLzkDBM"",""BD M Sangrias!a:i""),""select Col6 where Col7 = 'Depositada' and Col9 = '""&amp;K387&amp;""' and Col6 ="&amp;" ""&amp;M387&amp;"" and Col4 = date '""&amp;YEAR(C387)&amp;""-""&amp;MONTH(C387)&amp;""-""&amp;DAY(C387)&amp;""'""))&gt;0,""Depositada"",if(sum(QUERY(IMPORTRANGE(""https://docs.google.com/spreadsheets/d/1ykfbEpHEAAZVCgujsGjRFJRCTULkzlWa8UjdyLzkDBM"",""BD M Sangrias!a:i""),""select Col6 whe"&amp;"re Col7 = 'Caixa Atendimento' and Col9 = '""&amp;K387&amp;""' and Col6 = ""&amp;M387&amp;"" and Col4 = date '""&amp;YEAR(C387)&amp;""-""&amp;MONTH(C387)&amp;""-""&amp;DAY(C387)&amp;""'""))&gt;0,""Caixa Atendimento"",""Caixa Sangria"")),""""),""Caixa Sangria"")"),"")</f>
        <v/>
      </c>
      <c r="M387" s="185" t="str">
        <f>IFERROR(__xludf.DUMMYFUNCTION("ifna(VALUE(REGEXEXTRACT(E387,""[0-9.]+[,]+[0-9]+"")))"),"")</f>
        <v/>
      </c>
      <c r="N387" s="185"/>
      <c r="O387" s="185"/>
      <c r="P387" s="185"/>
      <c r="Q387" s="185"/>
      <c r="R387" s="185"/>
      <c r="S387" s="185"/>
      <c r="T387" s="185"/>
      <c r="U387" s="185"/>
      <c r="V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184" t="str">
        <f>IFERROR(__xludf.DUMMYFUNCTION("ifna(IF(and(D388=""Saída"",J388=""Sangria""),if(sum(QUERY(IMPORTRANGE(""https://docs.google.com/spreadsheets/d/1ykfbEpHEAAZVCgujsGjRFJRCTULkzlWa8UjdyLzkDBM"",""BD M Sangrias!a:i""),""select Col6 where Col7 = 'Depositada' and Col9 = '""&amp;K388&amp;""' and Col6 ="&amp;" ""&amp;M388&amp;"" and Col4 = date '""&amp;YEAR(C388)&amp;""-""&amp;MONTH(C388)&amp;""-""&amp;DAY(C388)&amp;""'""))&gt;0,""Depositada"",if(sum(QUERY(IMPORTRANGE(""https://docs.google.com/spreadsheets/d/1ykfbEpHEAAZVCgujsGjRFJRCTULkzlWa8UjdyLzkDBM"",""BD M Sangrias!a:i""),""select Col6 whe"&amp;"re Col7 = 'Caixa Atendimento' and Col9 = '""&amp;K388&amp;""' and Col6 = ""&amp;M388&amp;"" and Col4 = date '""&amp;YEAR(C388)&amp;""-""&amp;MONTH(C388)&amp;""-""&amp;DAY(C388)&amp;""'""))&gt;0,""Caixa Atendimento"",""Caixa Sangria"")),""""),""Caixa Sangria"")"),"")</f>
        <v/>
      </c>
      <c r="M388" s="185" t="str">
        <f>IFERROR(__xludf.DUMMYFUNCTION("ifna(VALUE(REGEXEXTRACT(E388,""[0-9.]+[,]+[0-9]+"")))"),"")</f>
        <v/>
      </c>
      <c r="N388" s="185"/>
      <c r="O388" s="185"/>
      <c r="P388" s="185"/>
      <c r="Q388" s="185"/>
      <c r="R388" s="185"/>
      <c r="S388" s="185"/>
      <c r="T388" s="185"/>
      <c r="U388" s="185"/>
      <c r="V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184" t="str">
        <f>IFERROR(__xludf.DUMMYFUNCTION("ifna(IF(and(D389=""Saída"",J389=""Sangria""),if(sum(QUERY(IMPORTRANGE(""https://docs.google.com/spreadsheets/d/1ykfbEpHEAAZVCgujsGjRFJRCTULkzlWa8UjdyLzkDBM"",""BD M Sangrias!a:i""),""select Col6 where Col7 = 'Depositada' and Col9 = '""&amp;K389&amp;""' and Col6 ="&amp;" ""&amp;M389&amp;"" and Col4 = date '""&amp;YEAR(C389)&amp;""-""&amp;MONTH(C389)&amp;""-""&amp;DAY(C389)&amp;""'""))&gt;0,""Depositada"",if(sum(QUERY(IMPORTRANGE(""https://docs.google.com/spreadsheets/d/1ykfbEpHEAAZVCgujsGjRFJRCTULkzlWa8UjdyLzkDBM"",""BD M Sangrias!a:i""),""select Col6 whe"&amp;"re Col7 = 'Caixa Atendimento' and Col9 = '""&amp;K389&amp;""' and Col6 = ""&amp;M389&amp;"" and Col4 = date '""&amp;YEAR(C389)&amp;""-""&amp;MONTH(C389)&amp;""-""&amp;DAY(C389)&amp;""'""))&gt;0,""Caixa Atendimento"",""Caixa Sangria"")),""""),""Caixa Sangria"")"),"")</f>
        <v/>
      </c>
      <c r="M389" s="185" t="str">
        <f>IFERROR(__xludf.DUMMYFUNCTION("ifna(VALUE(REGEXEXTRACT(E389,""[0-9.]+[,]+[0-9]+"")))"),"")</f>
        <v/>
      </c>
      <c r="N389" s="185"/>
      <c r="O389" s="185"/>
      <c r="P389" s="185"/>
      <c r="Q389" s="185"/>
      <c r="R389" s="185"/>
      <c r="S389" s="185"/>
      <c r="T389" s="185"/>
      <c r="U389" s="185"/>
      <c r="V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184" t="str">
        <f>IFERROR(__xludf.DUMMYFUNCTION("ifna(IF(and(D390=""Saída"",J390=""Sangria""),if(sum(QUERY(IMPORTRANGE(""https://docs.google.com/spreadsheets/d/1ykfbEpHEAAZVCgujsGjRFJRCTULkzlWa8UjdyLzkDBM"",""BD M Sangrias!a:i""),""select Col6 where Col7 = 'Depositada' and Col9 = '""&amp;K390&amp;""' and Col6 ="&amp;" ""&amp;M390&amp;"" and Col4 = date '""&amp;YEAR(C390)&amp;""-""&amp;MONTH(C390)&amp;""-""&amp;DAY(C390)&amp;""'""))&gt;0,""Depositada"",if(sum(QUERY(IMPORTRANGE(""https://docs.google.com/spreadsheets/d/1ykfbEpHEAAZVCgujsGjRFJRCTULkzlWa8UjdyLzkDBM"",""BD M Sangrias!a:i""),""select Col6 whe"&amp;"re Col7 = 'Caixa Atendimento' and Col9 = '""&amp;K390&amp;""' and Col6 = ""&amp;M390&amp;"" and Col4 = date '""&amp;YEAR(C390)&amp;""-""&amp;MONTH(C390)&amp;""-""&amp;DAY(C390)&amp;""'""))&gt;0,""Caixa Atendimento"",""Caixa Sangria"")),""""),""Caixa Sangria"")"),"")</f>
        <v/>
      </c>
      <c r="M390" s="185" t="str">
        <f>IFERROR(__xludf.DUMMYFUNCTION("ifna(VALUE(REGEXEXTRACT(E390,""[0-9.]+[,]+[0-9]+"")))"),"")</f>
        <v/>
      </c>
      <c r="N390" s="185"/>
      <c r="O390" s="185"/>
      <c r="P390" s="185"/>
      <c r="Q390" s="185"/>
      <c r="R390" s="185"/>
      <c r="S390" s="185"/>
      <c r="T390" s="185"/>
      <c r="U390" s="185"/>
      <c r="V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184" t="str">
        <f>IFERROR(__xludf.DUMMYFUNCTION("ifna(IF(and(D391=""Saída"",J391=""Sangria""),if(sum(QUERY(IMPORTRANGE(""https://docs.google.com/spreadsheets/d/1ykfbEpHEAAZVCgujsGjRFJRCTULkzlWa8UjdyLzkDBM"",""BD M Sangrias!a:i""),""select Col6 where Col7 = 'Depositada' and Col9 = '""&amp;K391&amp;""' and Col6 ="&amp;" ""&amp;M391&amp;"" and Col4 = date '""&amp;YEAR(C391)&amp;""-""&amp;MONTH(C391)&amp;""-""&amp;DAY(C391)&amp;""'""))&gt;0,""Depositada"",if(sum(QUERY(IMPORTRANGE(""https://docs.google.com/spreadsheets/d/1ykfbEpHEAAZVCgujsGjRFJRCTULkzlWa8UjdyLzkDBM"",""BD M Sangrias!a:i""),""select Col6 whe"&amp;"re Col7 = 'Caixa Atendimento' and Col9 = '""&amp;K391&amp;""' and Col6 = ""&amp;M391&amp;"" and Col4 = date '""&amp;YEAR(C391)&amp;""-""&amp;MONTH(C391)&amp;""-""&amp;DAY(C391)&amp;""'""))&gt;0,""Caixa Atendimento"",""Caixa Sangria"")),""""),""Caixa Sangria"")"),"")</f>
        <v/>
      </c>
      <c r="M391" s="185" t="str">
        <f>IFERROR(__xludf.DUMMYFUNCTION("ifna(VALUE(REGEXEXTRACT(E391,""[0-9.]+[,]+[0-9]+"")))"),"")</f>
        <v/>
      </c>
      <c r="N391" s="185"/>
      <c r="O391" s="185"/>
      <c r="P391" s="185"/>
      <c r="Q391" s="185"/>
      <c r="R391" s="185"/>
      <c r="S391" s="185"/>
      <c r="T391" s="185"/>
      <c r="U391" s="185"/>
      <c r="V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184" t="str">
        <f>IFERROR(__xludf.DUMMYFUNCTION("ifna(IF(and(D392=""Saída"",J392=""Sangria""),if(sum(QUERY(IMPORTRANGE(""https://docs.google.com/spreadsheets/d/1ykfbEpHEAAZVCgujsGjRFJRCTULkzlWa8UjdyLzkDBM"",""BD M Sangrias!a:i""),""select Col6 where Col7 = 'Depositada' and Col9 = '""&amp;K392&amp;""' and Col6 ="&amp;" ""&amp;M392&amp;"" and Col4 = date '""&amp;YEAR(C392)&amp;""-""&amp;MONTH(C392)&amp;""-""&amp;DAY(C392)&amp;""'""))&gt;0,""Depositada"",if(sum(QUERY(IMPORTRANGE(""https://docs.google.com/spreadsheets/d/1ykfbEpHEAAZVCgujsGjRFJRCTULkzlWa8UjdyLzkDBM"",""BD M Sangrias!a:i""),""select Col6 whe"&amp;"re Col7 = 'Caixa Atendimento' and Col9 = '""&amp;K392&amp;""' and Col6 = ""&amp;M392&amp;"" and Col4 = date '""&amp;YEAR(C392)&amp;""-""&amp;MONTH(C392)&amp;""-""&amp;DAY(C392)&amp;""'""))&gt;0,""Caixa Atendimento"",""Caixa Sangria"")),""""),""Caixa Sangria"")"),"")</f>
        <v/>
      </c>
      <c r="M392" s="185" t="str">
        <f>IFERROR(__xludf.DUMMYFUNCTION("ifna(VALUE(REGEXEXTRACT(E392,""[0-9.]+[,]+[0-9]+"")))"),"")</f>
        <v/>
      </c>
      <c r="N392" s="185"/>
      <c r="O392" s="185"/>
      <c r="P392" s="185"/>
      <c r="Q392" s="185"/>
      <c r="R392" s="185"/>
      <c r="S392" s="185"/>
      <c r="T392" s="185"/>
      <c r="U392" s="185"/>
      <c r="V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184" t="str">
        <f>IFERROR(__xludf.DUMMYFUNCTION("ifna(IF(and(D393=""Saída"",J393=""Sangria""),if(sum(QUERY(IMPORTRANGE(""https://docs.google.com/spreadsheets/d/1ykfbEpHEAAZVCgujsGjRFJRCTULkzlWa8UjdyLzkDBM"",""BD M Sangrias!a:i""),""select Col6 where Col7 = 'Depositada' and Col9 = '""&amp;K393&amp;""' and Col6 ="&amp;" ""&amp;M393&amp;"" and Col4 = date '""&amp;YEAR(C393)&amp;""-""&amp;MONTH(C393)&amp;""-""&amp;DAY(C393)&amp;""'""))&gt;0,""Depositada"",if(sum(QUERY(IMPORTRANGE(""https://docs.google.com/spreadsheets/d/1ykfbEpHEAAZVCgujsGjRFJRCTULkzlWa8UjdyLzkDBM"",""BD M Sangrias!a:i""),""select Col6 whe"&amp;"re Col7 = 'Caixa Atendimento' and Col9 = '""&amp;K393&amp;""' and Col6 = ""&amp;M393&amp;"" and Col4 = date '""&amp;YEAR(C393)&amp;""-""&amp;MONTH(C393)&amp;""-""&amp;DAY(C393)&amp;""'""))&gt;0,""Caixa Atendimento"",""Caixa Sangria"")),""""),""Caixa Sangria"")"),"")</f>
        <v/>
      </c>
      <c r="M393" s="185" t="str">
        <f>IFERROR(__xludf.DUMMYFUNCTION("ifna(VALUE(REGEXEXTRACT(E393,""[0-9.]+[,]+[0-9]+"")))"),"")</f>
        <v/>
      </c>
      <c r="N393" s="185"/>
      <c r="O393" s="185"/>
      <c r="P393" s="185"/>
      <c r="Q393" s="185"/>
      <c r="R393" s="185"/>
      <c r="S393" s="185"/>
      <c r="T393" s="185"/>
      <c r="U393" s="185"/>
      <c r="V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184" t="str">
        <f>IFERROR(__xludf.DUMMYFUNCTION("ifna(IF(and(D394=""Saída"",J394=""Sangria""),if(sum(QUERY(IMPORTRANGE(""https://docs.google.com/spreadsheets/d/1ykfbEpHEAAZVCgujsGjRFJRCTULkzlWa8UjdyLzkDBM"",""BD M Sangrias!a:i""),""select Col6 where Col7 = 'Depositada' and Col9 = '""&amp;K394&amp;""' and Col6 ="&amp;" ""&amp;M394&amp;"" and Col4 = date '""&amp;YEAR(C394)&amp;""-""&amp;MONTH(C394)&amp;""-""&amp;DAY(C394)&amp;""'""))&gt;0,""Depositada"",if(sum(QUERY(IMPORTRANGE(""https://docs.google.com/spreadsheets/d/1ykfbEpHEAAZVCgujsGjRFJRCTULkzlWa8UjdyLzkDBM"",""BD M Sangrias!a:i""),""select Col6 whe"&amp;"re Col7 = 'Caixa Atendimento' and Col9 = '""&amp;K394&amp;""' and Col6 = ""&amp;M394&amp;"" and Col4 = date '""&amp;YEAR(C394)&amp;""-""&amp;MONTH(C394)&amp;""-""&amp;DAY(C394)&amp;""'""))&gt;0,""Caixa Atendimento"",""Caixa Sangria"")),""""),""Caixa Sangria"")"),"")</f>
        <v/>
      </c>
      <c r="M394" s="185" t="str">
        <f>IFERROR(__xludf.DUMMYFUNCTION("ifna(VALUE(REGEXEXTRACT(E394,""[0-9.]+[,]+[0-9]+"")))"),"")</f>
        <v/>
      </c>
      <c r="N394" s="185"/>
      <c r="O394" s="185"/>
      <c r="P394" s="185"/>
      <c r="Q394" s="185"/>
      <c r="R394" s="185"/>
      <c r="S394" s="185"/>
      <c r="T394" s="185"/>
      <c r="U394" s="185"/>
      <c r="V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184" t="str">
        <f>IFERROR(__xludf.DUMMYFUNCTION("ifna(IF(and(D395=""Saída"",J395=""Sangria""),if(sum(QUERY(IMPORTRANGE(""https://docs.google.com/spreadsheets/d/1ykfbEpHEAAZVCgujsGjRFJRCTULkzlWa8UjdyLzkDBM"",""BD M Sangrias!a:i""),""select Col6 where Col7 = 'Depositada' and Col9 = '""&amp;K395&amp;""' and Col6 ="&amp;" ""&amp;M395&amp;"" and Col4 = date '""&amp;YEAR(C395)&amp;""-""&amp;MONTH(C395)&amp;""-""&amp;DAY(C395)&amp;""'""))&gt;0,""Depositada"",if(sum(QUERY(IMPORTRANGE(""https://docs.google.com/spreadsheets/d/1ykfbEpHEAAZVCgujsGjRFJRCTULkzlWa8UjdyLzkDBM"",""BD M Sangrias!a:i""),""select Col6 whe"&amp;"re Col7 = 'Caixa Atendimento' and Col9 = '""&amp;K395&amp;""' and Col6 = ""&amp;M395&amp;"" and Col4 = date '""&amp;YEAR(C395)&amp;""-""&amp;MONTH(C395)&amp;""-""&amp;DAY(C395)&amp;""'""))&gt;0,""Caixa Atendimento"",""Caixa Sangria"")),""""),""Caixa Sangria"")"),"")</f>
        <v/>
      </c>
      <c r="M395" s="185" t="str">
        <f>IFERROR(__xludf.DUMMYFUNCTION("ifna(VALUE(REGEXEXTRACT(E395,""[0-9.]+[,]+[0-9]+"")))"),"")</f>
        <v/>
      </c>
      <c r="N395" s="185"/>
      <c r="O395" s="185"/>
      <c r="P395" s="185"/>
      <c r="Q395" s="185"/>
      <c r="R395" s="185"/>
      <c r="S395" s="185"/>
      <c r="T395" s="185"/>
      <c r="U395" s="185"/>
      <c r="V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184" t="str">
        <f>IFERROR(__xludf.DUMMYFUNCTION("ifna(IF(and(D396=""Saída"",J396=""Sangria""),if(sum(QUERY(IMPORTRANGE(""https://docs.google.com/spreadsheets/d/1ykfbEpHEAAZVCgujsGjRFJRCTULkzlWa8UjdyLzkDBM"",""BD M Sangrias!a:i""),""select Col6 where Col7 = 'Depositada' and Col9 = '""&amp;K396&amp;""' and Col6 ="&amp;" ""&amp;M396&amp;"" and Col4 = date '""&amp;YEAR(C396)&amp;""-""&amp;MONTH(C396)&amp;""-""&amp;DAY(C396)&amp;""'""))&gt;0,""Depositada"",if(sum(QUERY(IMPORTRANGE(""https://docs.google.com/spreadsheets/d/1ykfbEpHEAAZVCgujsGjRFJRCTULkzlWa8UjdyLzkDBM"",""BD M Sangrias!a:i""),""select Col6 whe"&amp;"re Col7 = 'Caixa Atendimento' and Col9 = '""&amp;K396&amp;""' and Col6 = ""&amp;M396&amp;"" and Col4 = date '""&amp;YEAR(C396)&amp;""-""&amp;MONTH(C396)&amp;""-""&amp;DAY(C396)&amp;""'""))&gt;0,""Caixa Atendimento"",""Caixa Sangria"")),""""),""Caixa Sangria"")"),"")</f>
        <v/>
      </c>
      <c r="M396" s="185" t="str">
        <f>IFERROR(__xludf.DUMMYFUNCTION("ifna(VALUE(REGEXEXTRACT(E396,""[0-9.]+[,]+[0-9]+"")))"),"")</f>
        <v/>
      </c>
      <c r="N396" s="185"/>
      <c r="O396" s="185"/>
      <c r="P396" s="185"/>
      <c r="Q396" s="185"/>
      <c r="R396" s="185"/>
      <c r="S396" s="185"/>
      <c r="T396" s="185"/>
      <c r="U396" s="185"/>
      <c r="V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184" t="str">
        <f>IFERROR(__xludf.DUMMYFUNCTION("ifna(IF(and(D397=""Saída"",J397=""Sangria""),if(sum(QUERY(IMPORTRANGE(""https://docs.google.com/spreadsheets/d/1ykfbEpHEAAZVCgujsGjRFJRCTULkzlWa8UjdyLzkDBM"",""BD M Sangrias!a:i""),""select Col6 where Col7 = 'Depositada' and Col9 = '""&amp;K397&amp;""' and Col6 ="&amp;" ""&amp;M397&amp;"" and Col4 = date '""&amp;YEAR(C397)&amp;""-""&amp;MONTH(C397)&amp;""-""&amp;DAY(C397)&amp;""'""))&gt;0,""Depositada"",if(sum(QUERY(IMPORTRANGE(""https://docs.google.com/spreadsheets/d/1ykfbEpHEAAZVCgujsGjRFJRCTULkzlWa8UjdyLzkDBM"",""BD M Sangrias!a:i""),""select Col6 whe"&amp;"re Col7 = 'Caixa Atendimento' and Col9 = '""&amp;K397&amp;""' and Col6 = ""&amp;M397&amp;"" and Col4 = date '""&amp;YEAR(C397)&amp;""-""&amp;MONTH(C397)&amp;""-""&amp;DAY(C397)&amp;""'""))&gt;0,""Caixa Atendimento"",""Caixa Sangria"")),""""),""Caixa Sangria"")"),"")</f>
        <v/>
      </c>
      <c r="M397" s="185" t="str">
        <f>IFERROR(__xludf.DUMMYFUNCTION("ifna(VALUE(REGEXEXTRACT(E397,""[0-9.]+[,]+[0-9]+"")))"),"")</f>
        <v/>
      </c>
      <c r="N397" s="185"/>
      <c r="O397" s="185"/>
      <c r="P397" s="185"/>
      <c r="Q397" s="185"/>
      <c r="R397" s="185"/>
      <c r="S397" s="185"/>
      <c r="T397" s="185"/>
      <c r="U397" s="185"/>
      <c r="V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184" t="str">
        <f>IFERROR(__xludf.DUMMYFUNCTION("ifna(IF(and(D398=""Saída"",J398=""Sangria""),if(sum(QUERY(IMPORTRANGE(""https://docs.google.com/spreadsheets/d/1ykfbEpHEAAZVCgujsGjRFJRCTULkzlWa8UjdyLzkDBM"",""BD M Sangrias!a:i""),""select Col6 where Col7 = 'Depositada' and Col9 = '""&amp;K398&amp;""' and Col6 ="&amp;" ""&amp;M398&amp;"" and Col4 = date '""&amp;YEAR(C398)&amp;""-""&amp;MONTH(C398)&amp;""-""&amp;DAY(C398)&amp;""'""))&gt;0,""Depositada"",if(sum(QUERY(IMPORTRANGE(""https://docs.google.com/spreadsheets/d/1ykfbEpHEAAZVCgujsGjRFJRCTULkzlWa8UjdyLzkDBM"",""BD M Sangrias!a:i""),""select Col6 whe"&amp;"re Col7 = 'Caixa Atendimento' and Col9 = '""&amp;K398&amp;""' and Col6 = ""&amp;M398&amp;"" and Col4 = date '""&amp;YEAR(C398)&amp;""-""&amp;MONTH(C398)&amp;""-""&amp;DAY(C398)&amp;""'""))&gt;0,""Caixa Atendimento"",""Caixa Sangria"")),""""),""Caixa Sangria"")"),"")</f>
        <v/>
      </c>
      <c r="M398" s="185" t="str">
        <f>IFERROR(__xludf.DUMMYFUNCTION("ifna(VALUE(REGEXEXTRACT(E398,""[0-9.]+[,]+[0-9]+"")))"),"")</f>
        <v/>
      </c>
      <c r="N398" s="185"/>
      <c r="O398" s="185"/>
      <c r="P398" s="185"/>
      <c r="Q398" s="185"/>
      <c r="R398" s="185"/>
      <c r="S398" s="185"/>
      <c r="T398" s="185"/>
      <c r="U398" s="185"/>
      <c r="V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184" t="str">
        <f>IFERROR(__xludf.DUMMYFUNCTION("ifna(IF(and(D399=""Saída"",J399=""Sangria""),if(sum(QUERY(IMPORTRANGE(""https://docs.google.com/spreadsheets/d/1ykfbEpHEAAZVCgujsGjRFJRCTULkzlWa8UjdyLzkDBM"",""BD M Sangrias!a:i""),""select Col6 where Col7 = 'Depositada' and Col9 = '""&amp;K399&amp;""' and Col6 ="&amp;" ""&amp;M399&amp;"" and Col4 = date '""&amp;YEAR(C399)&amp;""-""&amp;MONTH(C399)&amp;""-""&amp;DAY(C399)&amp;""'""))&gt;0,""Depositada"",if(sum(QUERY(IMPORTRANGE(""https://docs.google.com/spreadsheets/d/1ykfbEpHEAAZVCgujsGjRFJRCTULkzlWa8UjdyLzkDBM"",""BD M Sangrias!a:i""),""select Col6 whe"&amp;"re Col7 = 'Caixa Atendimento' and Col9 = '""&amp;K399&amp;""' and Col6 = ""&amp;M399&amp;"" and Col4 = date '""&amp;YEAR(C399)&amp;""-""&amp;MONTH(C399)&amp;""-""&amp;DAY(C399)&amp;""'""))&gt;0,""Caixa Atendimento"",""Caixa Sangria"")),""""),""Caixa Sangria"")"),"")</f>
        <v/>
      </c>
      <c r="M399" s="185" t="str">
        <f>IFERROR(__xludf.DUMMYFUNCTION("ifna(VALUE(REGEXEXTRACT(E399,""[0-9.]+[,]+[0-9]+"")))"),"")</f>
        <v/>
      </c>
      <c r="N399" s="185"/>
      <c r="O399" s="185"/>
      <c r="P399" s="185"/>
      <c r="Q399" s="185"/>
      <c r="R399" s="185"/>
      <c r="S399" s="185"/>
      <c r="T399" s="185"/>
      <c r="U399" s="185"/>
      <c r="V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184" t="str">
        <f>IFERROR(__xludf.DUMMYFUNCTION("ifna(IF(and(D400=""Saída"",J400=""Sangria""),if(sum(QUERY(IMPORTRANGE(""https://docs.google.com/spreadsheets/d/1ykfbEpHEAAZVCgujsGjRFJRCTULkzlWa8UjdyLzkDBM"",""BD M Sangrias!a:i""),""select Col6 where Col7 = 'Depositada' and Col9 = '""&amp;K400&amp;""' and Col6 ="&amp;" ""&amp;M400&amp;"" and Col4 = date '""&amp;YEAR(C400)&amp;""-""&amp;MONTH(C400)&amp;""-""&amp;DAY(C400)&amp;""'""))&gt;0,""Depositada"",if(sum(QUERY(IMPORTRANGE(""https://docs.google.com/spreadsheets/d/1ykfbEpHEAAZVCgujsGjRFJRCTULkzlWa8UjdyLzkDBM"",""BD M Sangrias!a:i""),""select Col6 whe"&amp;"re Col7 = 'Caixa Atendimento' and Col9 = '""&amp;K400&amp;""' and Col6 = ""&amp;M400&amp;"" and Col4 = date '""&amp;YEAR(C400)&amp;""-""&amp;MONTH(C400)&amp;""-""&amp;DAY(C400)&amp;""'""))&gt;0,""Caixa Atendimento"",""Caixa Sangria"")),""""),""Caixa Sangria"")"),"")</f>
        <v/>
      </c>
      <c r="M400" s="185" t="str">
        <f>IFERROR(__xludf.DUMMYFUNCTION("ifna(VALUE(REGEXEXTRACT(E400,""[0-9.]+[,]+[0-9]+"")))"),"")</f>
        <v/>
      </c>
      <c r="N400" s="185"/>
      <c r="O400" s="185"/>
      <c r="P400" s="185"/>
      <c r="Q400" s="185"/>
      <c r="R400" s="185"/>
      <c r="S400" s="185"/>
      <c r="T400" s="185"/>
      <c r="U400" s="185"/>
      <c r="V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184" t="str">
        <f>IFERROR(__xludf.DUMMYFUNCTION("ifna(IF(and(D401=""Saída"",J401=""Sangria""),if(sum(QUERY(IMPORTRANGE(""https://docs.google.com/spreadsheets/d/1ykfbEpHEAAZVCgujsGjRFJRCTULkzlWa8UjdyLzkDBM"",""BD M Sangrias!a:i""),""select Col6 where Col7 = 'Depositada' and Col9 = '""&amp;K401&amp;""' and Col6 ="&amp;" ""&amp;M401&amp;"" and Col4 = date '""&amp;YEAR(C401)&amp;""-""&amp;MONTH(C401)&amp;""-""&amp;DAY(C401)&amp;""'""))&gt;0,""Depositada"",if(sum(QUERY(IMPORTRANGE(""https://docs.google.com/spreadsheets/d/1ykfbEpHEAAZVCgujsGjRFJRCTULkzlWa8UjdyLzkDBM"",""BD M Sangrias!a:i""),""select Col6 whe"&amp;"re Col7 = 'Caixa Atendimento' and Col9 = '""&amp;K401&amp;""' and Col6 = ""&amp;M401&amp;"" and Col4 = date '""&amp;YEAR(C401)&amp;""-""&amp;MONTH(C401)&amp;""-""&amp;DAY(C401)&amp;""'""))&gt;0,""Caixa Atendimento"",""Caixa Sangria"")),""""),""Caixa Sangria"")"),"")</f>
        <v/>
      </c>
      <c r="M401" s="185" t="str">
        <f>IFERROR(__xludf.DUMMYFUNCTION("ifna(VALUE(REGEXEXTRACT(E401,""[0-9.]+[,]+[0-9]+"")))"),"")</f>
        <v/>
      </c>
      <c r="N401" s="185"/>
      <c r="O401" s="185"/>
      <c r="P401" s="185"/>
      <c r="Q401" s="185"/>
      <c r="R401" s="185"/>
      <c r="S401" s="185"/>
      <c r="T401" s="185"/>
      <c r="U401" s="185"/>
      <c r="V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184" t="str">
        <f>IFERROR(__xludf.DUMMYFUNCTION("ifna(IF(and(D402=""Saída"",J402=""Sangria""),if(sum(QUERY(IMPORTRANGE(""https://docs.google.com/spreadsheets/d/1ykfbEpHEAAZVCgujsGjRFJRCTULkzlWa8UjdyLzkDBM"",""BD M Sangrias!a:i""),""select Col6 where Col7 = 'Depositada' and Col9 = '""&amp;K402&amp;""' and Col6 ="&amp;" ""&amp;M402&amp;"" and Col4 = date '""&amp;YEAR(C402)&amp;""-""&amp;MONTH(C402)&amp;""-""&amp;DAY(C402)&amp;""'""))&gt;0,""Depositada"",if(sum(QUERY(IMPORTRANGE(""https://docs.google.com/spreadsheets/d/1ykfbEpHEAAZVCgujsGjRFJRCTULkzlWa8UjdyLzkDBM"",""BD M Sangrias!a:i""),""select Col6 whe"&amp;"re Col7 = 'Caixa Atendimento' and Col9 = '""&amp;K402&amp;""' and Col6 = ""&amp;M402&amp;"" and Col4 = date '""&amp;YEAR(C402)&amp;""-""&amp;MONTH(C402)&amp;""-""&amp;DAY(C402)&amp;""'""))&gt;0,""Caixa Atendimento"",""Caixa Sangria"")),""""),""Caixa Sangria"")"),"")</f>
        <v/>
      </c>
      <c r="M402" s="185" t="str">
        <f>IFERROR(__xludf.DUMMYFUNCTION("ifna(VALUE(REGEXEXTRACT(E402,""[0-9.]+[,]+[0-9]+"")))"),"")</f>
        <v/>
      </c>
      <c r="N402" s="185"/>
      <c r="O402" s="185"/>
      <c r="P402" s="185"/>
      <c r="Q402" s="185"/>
      <c r="R402" s="185"/>
      <c r="S402" s="185"/>
      <c r="T402" s="185"/>
      <c r="U402" s="185"/>
      <c r="V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184" t="str">
        <f>IFERROR(__xludf.DUMMYFUNCTION("ifna(IF(and(D403=""Saída"",J403=""Sangria""),if(sum(QUERY(IMPORTRANGE(""https://docs.google.com/spreadsheets/d/1ykfbEpHEAAZVCgujsGjRFJRCTULkzlWa8UjdyLzkDBM"",""BD M Sangrias!a:i""),""select Col6 where Col7 = 'Depositada' and Col9 = '""&amp;K403&amp;""' and Col6 ="&amp;" ""&amp;M403&amp;"" and Col4 = date '""&amp;YEAR(C403)&amp;""-""&amp;MONTH(C403)&amp;""-""&amp;DAY(C403)&amp;""'""))&gt;0,""Depositada"",if(sum(QUERY(IMPORTRANGE(""https://docs.google.com/spreadsheets/d/1ykfbEpHEAAZVCgujsGjRFJRCTULkzlWa8UjdyLzkDBM"",""BD M Sangrias!a:i""),""select Col6 whe"&amp;"re Col7 = 'Caixa Atendimento' and Col9 = '""&amp;K403&amp;""' and Col6 = ""&amp;M403&amp;"" and Col4 = date '""&amp;YEAR(C403)&amp;""-""&amp;MONTH(C403)&amp;""-""&amp;DAY(C403)&amp;""'""))&gt;0,""Caixa Atendimento"",""Caixa Sangria"")),""""),""Caixa Sangria"")"),"")</f>
        <v/>
      </c>
      <c r="M403" s="185" t="str">
        <f>IFERROR(__xludf.DUMMYFUNCTION("ifna(VALUE(REGEXEXTRACT(E403,""[0-9.]+[,]+[0-9]+"")))"),"")</f>
        <v/>
      </c>
      <c r="N403" s="185"/>
      <c r="O403" s="185"/>
      <c r="P403" s="185"/>
      <c r="Q403" s="185"/>
      <c r="R403" s="185"/>
      <c r="S403" s="185"/>
      <c r="T403" s="185"/>
      <c r="U403" s="185"/>
      <c r="V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184" t="str">
        <f>IFERROR(__xludf.DUMMYFUNCTION("ifna(IF(and(D404=""Saída"",J404=""Sangria""),if(sum(QUERY(IMPORTRANGE(""https://docs.google.com/spreadsheets/d/1ykfbEpHEAAZVCgujsGjRFJRCTULkzlWa8UjdyLzkDBM"",""BD M Sangrias!a:i""),""select Col6 where Col7 = 'Depositada' and Col9 = '""&amp;K404&amp;""' and Col6 ="&amp;" ""&amp;M404&amp;"" and Col4 = date '""&amp;YEAR(C404)&amp;""-""&amp;MONTH(C404)&amp;""-""&amp;DAY(C404)&amp;""'""))&gt;0,""Depositada"",if(sum(QUERY(IMPORTRANGE(""https://docs.google.com/spreadsheets/d/1ykfbEpHEAAZVCgujsGjRFJRCTULkzlWa8UjdyLzkDBM"",""BD M Sangrias!a:i""),""select Col6 whe"&amp;"re Col7 = 'Caixa Atendimento' and Col9 = '""&amp;K404&amp;""' and Col6 = ""&amp;M404&amp;"" and Col4 = date '""&amp;YEAR(C404)&amp;""-""&amp;MONTH(C404)&amp;""-""&amp;DAY(C404)&amp;""'""))&gt;0,""Caixa Atendimento"",""Caixa Sangria"")),""""),""Caixa Sangria"")"),"")</f>
        <v/>
      </c>
      <c r="M404" s="185" t="str">
        <f>IFERROR(__xludf.DUMMYFUNCTION("ifna(VALUE(REGEXEXTRACT(E404,""[0-9.]+[,]+[0-9]+"")))"),"")</f>
        <v/>
      </c>
      <c r="N404" s="185"/>
      <c r="O404" s="185"/>
      <c r="P404" s="185"/>
      <c r="Q404" s="185"/>
      <c r="R404" s="185"/>
      <c r="S404" s="185"/>
      <c r="T404" s="185"/>
      <c r="U404" s="185"/>
      <c r="V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184" t="str">
        <f>IFERROR(__xludf.DUMMYFUNCTION("ifna(IF(and(D405=""Saída"",J405=""Sangria""),if(sum(QUERY(IMPORTRANGE(""https://docs.google.com/spreadsheets/d/1ykfbEpHEAAZVCgujsGjRFJRCTULkzlWa8UjdyLzkDBM"",""BD M Sangrias!a:i""),""select Col6 where Col7 = 'Depositada' and Col9 = '""&amp;K405&amp;""' and Col6 ="&amp;" ""&amp;M405&amp;"" and Col4 = date '""&amp;YEAR(C405)&amp;""-""&amp;MONTH(C405)&amp;""-""&amp;DAY(C405)&amp;""'""))&gt;0,""Depositada"",if(sum(QUERY(IMPORTRANGE(""https://docs.google.com/spreadsheets/d/1ykfbEpHEAAZVCgujsGjRFJRCTULkzlWa8UjdyLzkDBM"",""BD M Sangrias!a:i""),""select Col6 whe"&amp;"re Col7 = 'Caixa Atendimento' and Col9 = '""&amp;K405&amp;""' and Col6 = ""&amp;M405&amp;"" and Col4 = date '""&amp;YEAR(C405)&amp;""-""&amp;MONTH(C405)&amp;""-""&amp;DAY(C405)&amp;""'""))&gt;0,""Caixa Atendimento"",""Caixa Sangria"")),""""),""Caixa Sangria"")"),"")</f>
        <v/>
      </c>
      <c r="M405" s="185" t="str">
        <f>IFERROR(__xludf.DUMMYFUNCTION("ifna(VALUE(REGEXEXTRACT(E405,""[0-9.]+[,]+[0-9]+"")))"),"")</f>
        <v/>
      </c>
      <c r="N405" s="185"/>
      <c r="O405" s="185"/>
      <c r="P405" s="185"/>
      <c r="Q405" s="185"/>
      <c r="R405" s="185"/>
      <c r="S405" s="185"/>
      <c r="T405" s="185"/>
      <c r="U405" s="185"/>
      <c r="V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184" t="str">
        <f>IFERROR(__xludf.DUMMYFUNCTION("ifna(IF(and(D406=""Saída"",J406=""Sangria""),if(sum(QUERY(IMPORTRANGE(""https://docs.google.com/spreadsheets/d/1ykfbEpHEAAZVCgujsGjRFJRCTULkzlWa8UjdyLzkDBM"",""BD M Sangrias!a:i""),""select Col6 where Col7 = 'Depositada' and Col9 = '""&amp;K406&amp;""' and Col6 ="&amp;" ""&amp;M406&amp;"" and Col4 = date '""&amp;YEAR(C406)&amp;""-""&amp;MONTH(C406)&amp;""-""&amp;DAY(C406)&amp;""'""))&gt;0,""Depositada"",if(sum(QUERY(IMPORTRANGE(""https://docs.google.com/spreadsheets/d/1ykfbEpHEAAZVCgujsGjRFJRCTULkzlWa8UjdyLzkDBM"",""BD M Sangrias!a:i""),""select Col6 whe"&amp;"re Col7 = 'Caixa Atendimento' and Col9 = '""&amp;K406&amp;""' and Col6 = ""&amp;M406&amp;"" and Col4 = date '""&amp;YEAR(C406)&amp;""-""&amp;MONTH(C406)&amp;""-""&amp;DAY(C406)&amp;""'""))&gt;0,""Caixa Atendimento"",""Caixa Sangria"")),""""),""Caixa Sangria"")"),"")</f>
        <v/>
      </c>
      <c r="M406" s="185" t="str">
        <f>IFERROR(__xludf.DUMMYFUNCTION("ifna(VALUE(REGEXEXTRACT(E406,""[0-9.]+[,]+[0-9]+"")))"),"")</f>
        <v/>
      </c>
      <c r="N406" s="185"/>
      <c r="O406" s="185"/>
      <c r="P406" s="185"/>
      <c r="Q406" s="185"/>
      <c r="R406" s="185"/>
      <c r="S406" s="185"/>
      <c r="T406" s="185"/>
      <c r="U406" s="185"/>
      <c r="V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184" t="str">
        <f>IFERROR(__xludf.DUMMYFUNCTION("ifna(IF(and(D407=""Saída"",J407=""Sangria""),if(sum(QUERY(IMPORTRANGE(""https://docs.google.com/spreadsheets/d/1ykfbEpHEAAZVCgujsGjRFJRCTULkzlWa8UjdyLzkDBM"",""BD M Sangrias!a:i""),""select Col6 where Col7 = 'Depositada' and Col9 = '""&amp;K407&amp;""' and Col6 ="&amp;" ""&amp;M407&amp;"" and Col4 = date '""&amp;YEAR(C407)&amp;""-""&amp;MONTH(C407)&amp;""-""&amp;DAY(C407)&amp;""'""))&gt;0,""Depositada"",if(sum(QUERY(IMPORTRANGE(""https://docs.google.com/spreadsheets/d/1ykfbEpHEAAZVCgujsGjRFJRCTULkzlWa8UjdyLzkDBM"",""BD M Sangrias!a:i""),""select Col6 whe"&amp;"re Col7 = 'Caixa Atendimento' and Col9 = '""&amp;K407&amp;""' and Col6 = ""&amp;M407&amp;"" and Col4 = date '""&amp;YEAR(C407)&amp;""-""&amp;MONTH(C407)&amp;""-""&amp;DAY(C407)&amp;""'""))&gt;0,""Caixa Atendimento"",""Caixa Sangria"")),""""),""Caixa Sangria"")"),"")</f>
        <v/>
      </c>
      <c r="M407" s="185" t="str">
        <f>IFERROR(__xludf.DUMMYFUNCTION("ifna(VALUE(REGEXEXTRACT(E407,""[0-9.]+[,]+[0-9]+"")))"),"")</f>
        <v/>
      </c>
      <c r="N407" s="185"/>
      <c r="O407" s="185"/>
      <c r="P407" s="185"/>
      <c r="Q407" s="185"/>
      <c r="R407" s="185"/>
      <c r="S407" s="185"/>
      <c r="T407" s="185"/>
      <c r="U407" s="185"/>
      <c r="V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184" t="str">
        <f>IFERROR(__xludf.DUMMYFUNCTION("ifna(IF(and(D408=""Saída"",J408=""Sangria""),if(sum(QUERY(IMPORTRANGE(""https://docs.google.com/spreadsheets/d/1ykfbEpHEAAZVCgujsGjRFJRCTULkzlWa8UjdyLzkDBM"",""BD M Sangrias!a:i""),""select Col6 where Col7 = 'Depositada' and Col9 = '""&amp;K408&amp;""' and Col6 ="&amp;" ""&amp;M408&amp;"" and Col4 = date '""&amp;YEAR(C408)&amp;""-""&amp;MONTH(C408)&amp;""-""&amp;DAY(C408)&amp;""'""))&gt;0,""Depositada"",if(sum(QUERY(IMPORTRANGE(""https://docs.google.com/spreadsheets/d/1ykfbEpHEAAZVCgujsGjRFJRCTULkzlWa8UjdyLzkDBM"",""BD M Sangrias!a:i""),""select Col6 whe"&amp;"re Col7 = 'Caixa Atendimento' and Col9 = '""&amp;K408&amp;""' and Col6 = ""&amp;M408&amp;"" and Col4 = date '""&amp;YEAR(C408)&amp;""-""&amp;MONTH(C408)&amp;""-""&amp;DAY(C408)&amp;""'""))&gt;0,""Caixa Atendimento"",""Caixa Sangria"")),""""),""Caixa Sangria"")"),"")</f>
        <v/>
      </c>
      <c r="M408" s="185" t="str">
        <f>IFERROR(__xludf.DUMMYFUNCTION("ifna(VALUE(REGEXEXTRACT(E408,""[0-9.]+[,]+[0-9]+"")))"),"")</f>
        <v/>
      </c>
      <c r="N408" s="185"/>
      <c r="O408" s="185"/>
      <c r="P408" s="185"/>
      <c r="Q408" s="185"/>
      <c r="R408" s="185"/>
      <c r="S408" s="185"/>
      <c r="T408" s="185"/>
      <c r="U408" s="185"/>
      <c r="V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184" t="str">
        <f>IFERROR(__xludf.DUMMYFUNCTION("ifna(IF(and(D409=""Saída"",J409=""Sangria""),if(sum(QUERY(IMPORTRANGE(""https://docs.google.com/spreadsheets/d/1ykfbEpHEAAZVCgujsGjRFJRCTULkzlWa8UjdyLzkDBM"",""BD M Sangrias!a:i""),""select Col6 where Col7 = 'Depositada' and Col9 = '""&amp;K409&amp;""' and Col6 ="&amp;" ""&amp;M409&amp;"" and Col4 = date '""&amp;YEAR(C409)&amp;""-""&amp;MONTH(C409)&amp;""-""&amp;DAY(C409)&amp;""'""))&gt;0,""Depositada"",if(sum(QUERY(IMPORTRANGE(""https://docs.google.com/spreadsheets/d/1ykfbEpHEAAZVCgujsGjRFJRCTULkzlWa8UjdyLzkDBM"",""BD M Sangrias!a:i""),""select Col6 whe"&amp;"re Col7 = 'Caixa Atendimento' and Col9 = '""&amp;K409&amp;""' and Col6 = ""&amp;M409&amp;"" and Col4 = date '""&amp;YEAR(C409)&amp;""-""&amp;MONTH(C409)&amp;""-""&amp;DAY(C409)&amp;""'""))&gt;0,""Caixa Atendimento"",""Caixa Sangria"")),""""),""Caixa Sangria"")"),"")</f>
        <v/>
      </c>
      <c r="M409" s="185" t="str">
        <f>IFERROR(__xludf.DUMMYFUNCTION("ifna(VALUE(REGEXEXTRACT(E409,""[0-9.]+[,]+[0-9]+"")))"),"")</f>
        <v/>
      </c>
      <c r="N409" s="185"/>
      <c r="O409" s="185"/>
      <c r="P409" s="185"/>
      <c r="Q409" s="185"/>
      <c r="R409" s="185"/>
      <c r="S409" s="185"/>
      <c r="T409" s="185"/>
      <c r="U409" s="185"/>
      <c r="V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184" t="str">
        <f>IFERROR(__xludf.DUMMYFUNCTION("ifna(IF(and(D410=""Saída"",J410=""Sangria""),if(sum(QUERY(IMPORTRANGE(""https://docs.google.com/spreadsheets/d/1ykfbEpHEAAZVCgujsGjRFJRCTULkzlWa8UjdyLzkDBM"",""BD M Sangrias!a:i""),""select Col6 where Col7 = 'Depositada' and Col9 = '""&amp;K410&amp;""' and Col6 ="&amp;" ""&amp;M410&amp;"" and Col4 = date '""&amp;YEAR(C410)&amp;""-""&amp;MONTH(C410)&amp;""-""&amp;DAY(C410)&amp;""'""))&gt;0,""Depositada"",if(sum(QUERY(IMPORTRANGE(""https://docs.google.com/spreadsheets/d/1ykfbEpHEAAZVCgujsGjRFJRCTULkzlWa8UjdyLzkDBM"",""BD M Sangrias!a:i""),""select Col6 whe"&amp;"re Col7 = 'Caixa Atendimento' and Col9 = '""&amp;K410&amp;""' and Col6 = ""&amp;M410&amp;"" and Col4 = date '""&amp;YEAR(C410)&amp;""-""&amp;MONTH(C410)&amp;""-""&amp;DAY(C410)&amp;""'""))&gt;0,""Caixa Atendimento"",""Caixa Sangria"")),""""),""Caixa Sangria"")"),"")</f>
        <v/>
      </c>
      <c r="M410" s="185" t="str">
        <f>IFERROR(__xludf.DUMMYFUNCTION("ifna(VALUE(REGEXEXTRACT(E410,""[0-9.]+[,]+[0-9]+"")))"),"")</f>
        <v/>
      </c>
      <c r="N410" s="185"/>
      <c r="O410" s="185"/>
      <c r="P410" s="185"/>
      <c r="Q410" s="185"/>
      <c r="R410" s="185"/>
      <c r="S410" s="185"/>
      <c r="T410" s="185"/>
      <c r="U410" s="185"/>
      <c r="V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184" t="str">
        <f>IFERROR(__xludf.DUMMYFUNCTION("ifna(IF(and(D411=""Saída"",J411=""Sangria""),if(sum(QUERY(IMPORTRANGE(""https://docs.google.com/spreadsheets/d/1ykfbEpHEAAZVCgujsGjRFJRCTULkzlWa8UjdyLzkDBM"",""BD M Sangrias!a:i""),""select Col6 where Col7 = 'Depositada' and Col9 = '""&amp;K411&amp;""' and Col6 ="&amp;" ""&amp;M411&amp;"" and Col4 = date '""&amp;YEAR(C411)&amp;""-""&amp;MONTH(C411)&amp;""-""&amp;DAY(C411)&amp;""'""))&gt;0,""Depositada"",if(sum(QUERY(IMPORTRANGE(""https://docs.google.com/spreadsheets/d/1ykfbEpHEAAZVCgujsGjRFJRCTULkzlWa8UjdyLzkDBM"",""BD M Sangrias!a:i""),""select Col6 whe"&amp;"re Col7 = 'Caixa Atendimento' and Col9 = '""&amp;K411&amp;""' and Col6 = ""&amp;M411&amp;"" and Col4 = date '""&amp;YEAR(C411)&amp;""-""&amp;MONTH(C411)&amp;""-""&amp;DAY(C411)&amp;""'""))&gt;0,""Caixa Atendimento"",""Caixa Sangria"")),""""),""Caixa Sangria"")"),"")</f>
        <v/>
      </c>
      <c r="M411" s="185" t="str">
        <f>IFERROR(__xludf.DUMMYFUNCTION("ifna(VALUE(REGEXEXTRACT(E411,""[0-9.]+[,]+[0-9]+"")))"),"")</f>
        <v/>
      </c>
      <c r="N411" s="185"/>
      <c r="O411" s="185"/>
      <c r="P411" s="185"/>
      <c r="Q411" s="185"/>
      <c r="R411" s="185"/>
      <c r="S411" s="185"/>
      <c r="T411" s="185"/>
      <c r="U411" s="185"/>
      <c r="V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184" t="str">
        <f>IFERROR(__xludf.DUMMYFUNCTION("ifna(IF(and(D412=""Saída"",J412=""Sangria""),if(sum(QUERY(IMPORTRANGE(""https://docs.google.com/spreadsheets/d/1ykfbEpHEAAZVCgujsGjRFJRCTULkzlWa8UjdyLzkDBM"",""BD M Sangrias!a:i""),""select Col6 where Col7 = 'Depositada' and Col9 = '""&amp;K412&amp;""' and Col6 ="&amp;" ""&amp;M412&amp;"" and Col4 = date '""&amp;YEAR(C412)&amp;""-""&amp;MONTH(C412)&amp;""-""&amp;DAY(C412)&amp;""'""))&gt;0,""Depositada"",if(sum(QUERY(IMPORTRANGE(""https://docs.google.com/spreadsheets/d/1ykfbEpHEAAZVCgujsGjRFJRCTULkzlWa8UjdyLzkDBM"",""BD M Sangrias!a:i""),""select Col6 whe"&amp;"re Col7 = 'Caixa Atendimento' and Col9 = '""&amp;K412&amp;""' and Col6 = ""&amp;M412&amp;"" and Col4 = date '""&amp;YEAR(C412)&amp;""-""&amp;MONTH(C412)&amp;""-""&amp;DAY(C412)&amp;""'""))&gt;0,""Caixa Atendimento"",""Caixa Sangria"")),""""),""Caixa Sangria"")"),"")</f>
        <v/>
      </c>
      <c r="M412" s="185" t="str">
        <f>IFERROR(__xludf.DUMMYFUNCTION("ifna(VALUE(REGEXEXTRACT(E412,""[0-9.]+[,]+[0-9]+"")))"),"")</f>
        <v/>
      </c>
      <c r="N412" s="185"/>
      <c r="O412" s="185"/>
      <c r="P412" s="185"/>
      <c r="Q412" s="185"/>
      <c r="R412" s="185"/>
      <c r="S412" s="185"/>
      <c r="T412" s="185"/>
      <c r="U412" s="185"/>
      <c r="V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184" t="str">
        <f>IFERROR(__xludf.DUMMYFUNCTION("ifna(IF(and(D413=""Saída"",J413=""Sangria""),if(sum(QUERY(IMPORTRANGE(""https://docs.google.com/spreadsheets/d/1ykfbEpHEAAZVCgujsGjRFJRCTULkzlWa8UjdyLzkDBM"",""BD M Sangrias!a:i""),""select Col6 where Col7 = 'Depositada' and Col9 = '""&amp;K413&amp;""' and Col6 ="&amp;" ""&amp;M413&amp;"" and Col4 = date '""&amp;YEAR(C413)&amp;""-""&amp;MONTH(C413)&amp;""-""&amp;DAY(C413)&amp;""'""))&gt;0,""Depositada"",if(sum(QUERY(IMPORTRANGE(""https://docs.google.com/spreadsheets/d/1ykfbEpHEAAZVCgujsGjRFJRCTULkzlWa8UjdyLzkDBM"",""BD M Sangrias!a:i""),""select Col6 whe"&amp;"re Col7 = 'Caixa Atendimento' and Col9 = '""&amp;K413&amp;""' and Col6 = ""&amp;M413&amp;"" and Col4 = date '""&amp;YEAR(C413)&amp;""-""&amp;MONTH(C413)&amp;""-""&amp;DAY(C413)&amp;""'""))&gt;0,""Caixa Atendimento"",""Caixa Sangria"")),""""),""Caixa Sangria"")"),"")</f>
        <v/>
      </c>
      <c r="M413" s="185" t="str">
        <f>IFERROR(__xludf.DUMMYFUNCTION("ifna(VALUE(REGEXEXTRACT(E413,""[0-9.]+[,]+[0-9]+"")))"),"")</f>
        <v/>
      </c>
      <c r="N413" s="185"/>
      <c r="O413" s="185"/>
      <c r="P413" s="185"/>
      <c r="Q413" s="185"/>
      <c r="R413" s="185"/>
      <c r="S413" s="185"/>
      <c r="T413" s="185"/>
      <c r="U413" s="185"/>
      <c r="V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184" t="str">
        <f>IFERROR(__xludf.DUMMYFUNCTION("ifna(IF(and(D414=""Saída"",J414=""Sangria""),if(sum(QUERY(IMPORTRANGE(""https://docs.google.com/spreadsheets/d/1ykfbEpHEAAZVCgujsGjRFJRCTULkzlWa8UjdyLzkDBM"",""BD M Sangrias!a:i""),""select Col6 where Col7 = 'Depositada' and Col9 = '""&amp;K414&amp;""' and Col6 ="&amp;" ""&amp;M414&amp;"" and Col4 = date '""&amp;YEAR(C414)&amp;""-""&amp;MONTH(C414)&amp;""-""&amp;DAY(C414)&amp;""'""))&gt;0,""Depositada"",if(sum(QUERY(IMPORTRANGE(""https://docs.google.com/spreadsheets/d/1ykfbEpHEAAZVCgujsGjRFJRCTULkzlWa8UjdyLzkDBM"",""BD M Sangrias!a:i""),""select Col6 whe"&amp;"re Col7 = 'Caixa Atendimento' and Col9 = '""&amp;K414&amp;""' and Col6 = ""&amp;M414&amp;"" and Col4 = date '""&amp;YEAR(C414)&amp;""-""&amp;MONTH(C414)&amp;""-""&amp;DAY(C414)&amp;""'""))&gt;0,""Caixa Atendimento"",""Caixa Sangria"")),""""),""Caixa Sangria"")"),"")</f>
        <v/>
      </c>
      <c r="M414" s="185" t="str">
        <f>IFERROR(__xludf.DUMMYFUNCTION("ifna(VALUE(REGEXEXTRACT(E414,""[0-9.]+[,]+[0-9]+"")))"),"")</f>
        <v/>
      </c>
      <c r="N414" s="185"/>
      <c r="O414" s="185"/>
      <c r="P414" s="185"/>
      <c r="Q414" s="185"/>
      <c r="R414" s="185"/>
      <c r="S414" s="185"/>
      <c r="T414" s="185"/>
      <c r="U414" s="185"/>
      <c r="V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184" t="str">
        <f>IFERROR(__xludf.DUMMYFUNCTION("ifna(IF(and(D415=""Saída"",J415=""Sangria""),if(sum(QUERY(IMPORTRANGE(""https://docs.google.com/spreadsheets/d/1ykfbEpHEAAZVCgujsGjRFJRCTULkzlWa8UjdyLzkDBM"",""BD M Sangrias!a:i""),""select Col6 where Col7 = 'Depositada' and Col9 = '""&amp;K415&amp;""' and Col6 ="&amp;" ""&amp;M415&amp;"" and Col4 = date '""&amp;YEAR(C415)&amp;""-""&amp;MONTH(C415)&amp;""-""&amp;DAY(C415)&amp;""'""))&gt;0,""Depositada"",if(sum(QUERY(IMPORTRANGE(""https://docs.google.com/spreadsheets/d/1ykfbEpHEAAZVCgujsGjRFJRCTULkzlWa8UjdyLzkDBM"",""BD M Sangrias!a:i""),""select Col6 whe"&amp;"re Col7 = 'Caixa Atendimento' and Col9 = '""&amp;K415&amp;""' and Col6 = ""&amp;M415&amp;"" and Col4 = date '""&amp;YEAR(C415)&amp;""-""&amp;MONTH(C415)&amp;""-""&amp;DAY(C415)&amp;""'""))&gt;0,""Caixa Atendimento"",""Caixa Sangria"")),""""),""Caixa Sangria"")"),"")</f>
        <v/>
      </c>
      <c r="M415" s="185" t="str">
        <f>IFERROR(__xludf.DUMMYFUNCTION("ifna(VALUE(REGEXEXTRACT(E415,""[0-9.]+[,]+[0-9]+"")))"),"")</f>
        <v/>
      </c>
      <c r="N415" s="185"/>
      <c r="O415" s="185"/>
      <c r="P415" s="185"/>
      <c r="Q415" s="185"/>
      <c r="R415" s="185"/>
      <c r="S415" s="185"/>
      <c r="T415" s="185"/>
      <c r="U415" s="185"/>
      <c r="V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184" t="str">
        <f>IFERROR(__xludf.DUMMYFUNCTION("ifna(IF(and(D416=""Saída"",J416=""Sangria""),if(sum(QUERY(IMPORTRANGE(""https://docs.google.com/spreadsheets/d/1ykfbEpHEAAZVCgujsGjRFJRCTULkzlWa8UjdyLzkDBM"",""BD M Sangrias!a:i""),""select Col6 where Col7 = 'Depositada' and Col9 = '""&amp;K416&amp;""' and Col6 ="&amp;" ""&amp;M416&amp;"" and Col4 = date '""&amp;YEAR(C416)&amp;""-""&amp;MONTH(C416)&amp;""-""&amp;DAY(C416)&amp;""'""))&gt;0,""Depositada"",if(sum(QUERY(IMPORTRANGE(""https://docs.google.com/spreadsheets/d/1ykfbEpHEAAZVCgujsGjRFJRCTULkzlWa8UjdyLzkDBM"",""BD M Sangrias!a:i""),""select Col6 whe"&amp;"re Col7 = 'Caixa Atendimento' and Col9 = '""&amp;K416&amp;""' and Col6 = ""&amp;M416&amp;"" and Col4 = date '""&amp;YEAR(C416)&amp;""-""&amp;MONTH(C416)&amp;""-""&amp;DAY(C416)&amp;""'""))&gt;0,""Caixa Atendimento"",""Caixa Sangria"")),""""),""Caixa Sangria"")"),"")</f>
        <v/>
      </c>
      <c r="M416" s="185" t="str">
        <f>IFERROR(__xludf.DUMMYFUNCTION("ifna(VALUE(REGEXEXTRACT(E416,""[0-9.]+[,]+[0-9]+"")))"),"")</f>
        <v/>
      </c>
      <c r="N416" s="185"/>
      <c r="O416" s="185"/>
      <c r="P416" s="185"/>
      <c r="Q416" s="185"/>
      <c r="R416" s="185"/>
      <c r="S416" s="185"/>
      <c r="T416" s="185"/>
      <c r="U416" s="185"/>
      <c r="V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184" t="str">
        <f>IFERROR(__xludf.DUMMYFUNCTION("ifna(IF(and(D417=""Saída"",J417=""Sangria""),if(sum(QUERY(IMPORTRANGE(""https://docs.google.com/spreadsheets/d/1ykfbEpHEAAZVCgujsGjRFJRCTULkzlWa8UjdyLzkDBM"",""BD M Sangrias!a:i""),""select Col6 where Col7 = 'Depositada' and Col9 = '""&amp;K417&amp;""' and Col6 ="&amp;" ""&amp;M417&amp;"" and Col4 = date '""&amp;YEAR(C417)&amp;""-""&amp;MONTH(C417)&amp;""-""&amp;DAY(C417)&amp;""'""))&gt;0,""Depositada"",if(sum(QUERY(IMPORTRANGE(""https://docs.google.com/spreadsheets/d/1ykfbEpHEAAZVCgujsGjRFJRCTULkzlWa8UjdyLzkDBM"",""BD M Sangrias!a:i""),""select Col6 whe"&amp;"re Col7 = 'Caixa Atendimento' and Col9 = '""&amp;K417&amp;""' and Col6 = ""&amp;M417&amp;"" and Col4 = date '""&amp;YEAR(C417)&amp;""-""&amp;MONTH(C417)&amp;""-""&amp;DAY(C417)&amp;""'""))&gt;0,""Caixa Atendimento"",""Caixa Sangria"")),""""),""Caixa Sangria"")"),"")</f>
        <v/>
      </c>
      <c r="M417" s="185" t="str">
        <f>IFERROR(__xludf.DUMMYFUNCTION("ifna(VALUE(REGEXEXTRACT(E417,""[0-9.]+[,]+[0-9]+"")))"),"")</f>
        <v/>
      </c>
      <c r="N417" s="185"/>
      <c r="O417" s="185"/>
      <c r="P417" s="185"/>
      <c r="Q417" s="185"/>
      <c r="R417" s="185"/>
      <c r="S417" s="185"/>
      <c r="T417" s="185"/>
      <c r="U417" s="185"/>
      <c r="V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184" t="str">
        <f>IFERROR(__xludf.DUMMYFUNCTION("ifna(IF(and(D418=""Saída"",J418=""Sangria""),if(sum(QUERY(IMPORTRANGE(""https://docs.google.com/spreadsheets/d/1ykfbEpHEAAZVCgujsGjRFJRCTULkzlWa8UjdyLzkDBM"",""BD M Sangrias!a:i""),""select Col6 where Col7 = 'Depositada' and Col9 = '""&amp;K418&amp;""' and Col6 ="&amp;" ""&amp;M418&amp;"" and Col4 = date '""&amp;YEAR(C418)&amp;""-""&amp;MONTH(C418)&amp;""-""&amp;DAY(C418)&amp;""'""))&gt;0,""Depositada"",if(sum(QUERY(IMPORTRANGE(""https://docs.google.com/spreadsheets/d/1ykfbEpHEAAZVCgujsGjRFJRCTULkzlWa8UjdyLzkDBM"",""BD M Sangrias!a:i""),""select Col6 whe"&amp;"re Col7 = 'Caixa Atendimento' and Col9 = '""&amp;K418&amp;""' and Col6 = ""&amp;M418&amp;"" and Col4 = date '""&amp;YEAR(C418)&amp;""-""&amp;MONTH(C418)&amp;""-""&amp;DAY(C418)&amp;""'""))&gt;0,""Caixa Atendimento"",""Caixa Sangria"")),""""),""Caixa Sangria"")"),"")</f>
        <v/>
      </c>
      <c r="M418" s="185" t="str">
        <f>IFERROR(__xludf.DUMMYFUNCTION("ifna(VALUE(REGEXEXTRACT(E418,""[0-9.]+[,]+[0-9]+"")))"),"")</f>
        <v/>
      </c>
      <c r="N418" s="185"/>
      <c r="O418" s="185"/>
      <c r="P418" s="185"/>
      <c r="Q418" s="185"/>
      <c r="R418" s="185"/>
      <c r="S418" s="185"/>
      <c r="T418" s="185"/>
      <c r="U418" s="185"/>
      <c r="V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184" t="str">
        <f>IFERROR(__xludf.DUMMYFUNCTION("ifna(IF(and(D419=""Saída"",J419=""Sangria""),if(sum(QUERY(IMPORTRANGE(""https://docs.google.com/spreadsheets/d/1ykfbEpHEAAZVCgujsGjRFJRCTULkzlWa8UjdyLzkDBM"",""BD M Sangrias!a:i""),""select Col6 where Col7 = 'Depositada' and Col9 = '""&amp;K419&amp;""' and Col6 ="&amp;" ""&amp;M419&amp;"" and Col4 = date '""&amp;YEAR(C419)&amp;""-""&amp;MONTH(C419)&amp;""-""&amp;DAY(C419)&amp;""'""))&gt;0,""Depositada"",if(sum(QUERY(IMPORTRANGE(""https://docs.google.com/spreadsheets/d/1ykfbEpHEAAZVCgujsGjRFJRCTULkzlWa8UjdyLzkDBM"",""BD M Sangrias!a:i""),""select Col6 whe"&amp;"re Col7 = 'Caixa Atendimento' and Col9 = '""&amp;K419&amp;""' and Col6 = ""&amp;M419&amp;"" and Col4 = date '""&amp;YEAR(C419)&amp;""-""&amp;MONTH(C419)&amp;""-""&amp;DAY(C419)&amp;""'""))&gt;0,""Caixa Atendimento"",""Caixa Sangria"")),""""),""Caixa Sangria"")"),"")</f>
        <v/>
      </c>
      <c r="M419" s="185" t="str">
        <f>IFERROR(__xludf.DUMMYFUNCTION("ifna(VALUE(REGEXEXTRACT(E419,""[0-9.]+[,]+[0-9]+"")))"),"")</f>
        <v/>
      </c>
      <c r="N419" s="185"/>
      <c r="O419" s="185"/>
      <c r="P419" s="185"/>
      <c r="Q419" s="185"/>
      <c r="R419" s="185"/>
      <c r="S419" s="185"/>
      <c r="T419" s="185"/>
      <c r="U419" s="185"/>
      <c r="V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184" t="str">
        <f>IFERROR(__xludf.DUMMYFUNCTION("ifna(IF(and(D420=""Saída"",J420=""Sangria""),if(sum(QUERY(IMPORTRANGE(""https://docs.google.com/spreadsheets/d/1ykfbEpHEAAZVCgujsGjRFJRCTULkzlWa8UjdyLzkDBM"",""BD M Sangrias!a:i""),""select Col6 where Col7 = 'Depositada' and Col9 = '""&amp;K420&amp;""' and Col6 ="&amp;" ""&amp;M420&amp;"" and Col4 = date '""&amp;YEAR(C420)&amp;""-""&amp;MONTH(C420)&amp;""-""&amp;DAY(C420)&amp;""'""))&gt;0,""Depositada"",if(sum(QUERY(IMPORTRANGE(""https://docs.google.com/spreadsheets/d/1ykfbEpHEAAZVCgujsGjRFJRCTULkzlWa8UjdyLzkDBM"",""BD M Sangrias!a:i""),""select Col6 whe"&amp;"re Col7 = 'Caixa Atendimento' and Col9 = '""&amp;K420&amp;""' and Col6 = ""&amp;M420&amp;"" and Col4 = date '""&amp;YEAR(C420)&amp;""-""&amp;MONTH(C420)&amp;""-""&amp;DAY(C420)&amp;""'""))&gt;0,""Caixa Atendimento"",""Caixa Sangria"")),""""),""Caixa Sangria"")"),"")</f>
        <v/>
      </c>
      <c r="M420" s="185" t="str">
        <f>IFERROR(__xludf.DUMMYFUNCTION("ifna(VALUE(REGEXEXTRACT(E420,""[0-9.]+[,]+[0-9]+"")))"),"")</f>
        <v/>
      </c>
      <c r="N420" s="185"/>
      <c r="O420" s="185"/>
      <c r="P420" s="185"/>
      <c r="Q420" s="185"/>
      <c r="R420" s="185"/>
      <c r="S420" s="185"/>
      <c r="T420" s="185"/>
      <c r="U420" s="185"/>
      <c r="V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184" t="str">
        <f>IFERROR(__xludf.DUMMYFUNCTION("ifna(IF(and(D421=""Saída"",J421=""Sangria""),if(sum(QUERY(IMPORTRANGE(""https://docs.google.com/spreadsheets/d/1ykfbEpHEAAZVCgujsGjRFJRCTULkzlWa8UjdyLzkDBM"",""BD M Sangrias!a:i""),""select Col6 where Col7 = 'Depositada' and Col9 = '""&amp;K421&amp;""' and Col6 ="&amp;" ""&amp;M421&amp;"" and Col4 = date '""&amp;YEAR(C421)&amp;""-""&amp;MONTH(C421)&amp;""-""&amp;DAY(C421)&amp;""'""))&gt;0,""Depositada"",if(sum(QUERY(IMPORTRANGE(""https://docs.google.com/spreadsheets/d/1ykfbEpHEAAZVCgujsGjRFJRCTULkzlWa8UjdyLzkDBM"",""BD M Sangrias!a:i""),""select Col6 whe"&amp;"re Col7 = 'Caixa Atendimento' and Col9 = '""&amp;K421&amp;""' and Col6 = ""&amp;M421&amp;"" and Col4 = date '""&amp;YEAR(C421)&amp;""-""&amp;MONTH(C421)&amp;""-""&amp;DAY(C421)&amp;""'""))&gt;0,""Caixa Atendimento"",""Caixa Sangria"")),""""),""Caixa Sangria"")"),"")</f>
        <v/>
      </c>
      <c r="M421" s="185" t="str">
        <f>IFERROR(__xludf.DUMMYFUNCTION("ifna(VALUE(REGEXEXTRACT(E421,""[0-9.]+[,]+[0-9]+"")))"),"")</f>
        <v/>
      </c>
      <c r="N421" s="185"/>
      <c r="O421" s="185"/>
      <c r="P421" s="185"/>
      <c r="Q421" s="185"/>
      <c r="R421" s="185"/>
      <c r="S421" s="185"/>
      <c r="T421" s="185"/>
      <c r="U421" s="185"/>
      <c r="V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184" t="str">
        <f>IFERROR(__xludf.DUMMYFUNCTION("ifna(IF(and(D422=""Saída"",J422=""Sangria""),if(sum(QUERY(IMPORTRANGE(""https://docs.google.com/spreadsheets/d/1ykfbEpHEAAZVCgujsGjRFJRCTULkzlWa8UjdyLzkDBM"",""BD M Sangrias!a:i""),""select Col6 where Col7 = 'Depositada' and Col9 = '""&amp;K422&amp;""' and Col6 ="&amp;" ""&amp;M422&amp;"" and Col4 = date '""&amp;YEAR(C422)&amp;""-""&amp;MONTH(C422)&amp;""-""&amp;DAY(C422)&amp;""'""))&gt;0,""Depositada"",if(sum(QUERY(IMPORTRANGE(""https://docs.google.com/spreadsheets/d/1ykfbEpHEAAZVCgujsGjRFJRCTULkzlWa8UjdyLzkDBM"",""BD M Sangrias!a:i""),""select Col6 whe"&amp;"re Col7 = 'Caixa Atendimento' and Col9 = '""&amp;K422&amp;""' and Col6 = ""&amp;M422&amp;"" and Col4 = date '""&amp;YEAR(C422)&amp;""-""&amp;MONTH(C422)&amp;""-""&amp;DAY(C422)&amp;""'""))&gt;0,""Caixa Atendimento"",""Caixa Sangria"")),""""),""Caixa Sangria"")"),"")</f>
        <v/>
      </c>
      <c r="M422" s="185" t="str">
        <f>IFERROR(__xludf.DUMMYFUNCTION("ifna(VALUE(REGEXEXTRACT(E422,""[0-9.]+[,]+[0-9]+"")))"),"")</f>
        <v/>
      </c>
      <c r="N422" s="185"/>
      <c r="O422" s="185"/>
      <c r="P422" s="185"/>
      <c r="Q422" s="185"/>
      <c r="R422" s="185"/>
      <c r="S422" s="185"/>
      <c r="T422" s="185"/>
      <c r="U422" s="185"/>
      <c r="V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184" t="str">
        <f>IFERROR(__xludf.DUMMYFUNCTION("ifna(IF(and(D423=""Saída"",J423=""Sangria""),if(sum(QUERY(IMPORTRANGE(""https://docs.google.com/spreadsheets/d/1ykfbEpHEAAZVCgujsGjRFJRCTULkzlWa8UjdyLzkDBM"",""BD M Sangrias!a:i""),""select Col6 where Col7 = 'Depositada' and Col9 = '""&amp;K423&amp;""' and Col6 ="&amp;" ""&amp;M423&amp;"" and Col4 = date '""&amp;YEAR(C423)&amp;""-""&amp;MONTH(C423)&amp;""-""&amp;DAY(C423)&amp;""'""))&gt;0,""Depositada"",if(sum(QUERY(IMPORTRANGE(""https://docs.google.com/spreadsheets/d/1ykfbEpHEAAZVCgujsGjRFJRCTULkzlWa8UjdyLzkDBM"",""BD M Sangrias!a:i""),""select Col6 whe"&amp;"re Col7 = 'Caixa Atendimento' and Col9 = '""&amp;K423&amp;""' and Col6 = ""&amp;M423&amp;"" and Col4 = date '""&amp;YEAR(C423)&amp;""-""&amp;MONTH(C423)&amp;""-""&amp;DAY(C423)&amp;""'""))&gt;0,""Caixa Atendimento"",""Caixa Sangria"")),""""),""Caixa Sangria"")"),"")</f>
        <v/>
      </c>
      <c r="M423" s="185" t="str">
        <f>IFERROR(__xludf.DUMMYFUNCTION("ifna(VALUE(REGEXEXTRACT(E423,""[0-9.]+[,]+[0-9]+"")))"),"")</f>
        <v/>
      </c>
      <c r="N423" s="185"/>
      <c r="O423" s="185"/>
      <c r="P423" s="185"/>
      <c r="Q423" s="185"/>
      <c r="R423" s="185"/>
      <c r="S423" s="185"/>
      <c r="T423" s="185"/>
      <c r="U423" s="185"/>
      <c r="V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184" t="str">
        <f>IFERROR(__xludf.DUMMYFUNCTION("ifna(IF(and(D424=""Saída"",J424=""Sangria""),if(sum(QUERY(IMPORTRANGE(""https://docs.google.com/spreadsheets/d/1ykfbEpHEAAZVCgujsGjRFJRCTULkzlWa8UjdyLzkDBM"",""BD M Sangrias!a:i""),""select Col6 where Col7 = 'Depositada' and Col9 = '""&amp;K424&amp;""' and Col6 ="&amp;" ""&amp;M424&amp;"" and Col4 = date '""&amp;YEAR(C424)&amp;""-""&amp;MONTH(C424)&amp;""-""&amp;DAY(C424)&amp;""'""))&gt;0,""Depositada"",if(sum(QUERY(IMPORTRANGE(""https://docs.google.com/spreadsheets/d/1ykfbEpHEAAZVCgujsGjRFJRCTULkzlWa8UjdyLzkDBM"",""BD M Sangrias!a:i""),""select Col6 whe"&amp;"re Col7 = 'Caixa Atendimento' and Col9 = '""&amp;K424&amp;""' and Col6 = ""&amp;M424&amp;"" and Col4 = date '""&amp;YEAR(C424)&amp;""-""&amp;MONTH(C424)&amp;""-""&amp;DAY(C424)&amp;""'""))&gt;0,""Caixa Atendimento"",""Caixa Sangria"")),""""),""Caixa Sangria"")"),"")</f>
        <v/>
      </c>
      <c r="M424" s="185" t="str">
        <f>IFERROR(__xludf.DUMMYFUNCTION("ifna(VALUE(REGEXEXTRACT(E424,""[0-9.]+[,]+[0-9]+"")))"),"")</f>
        <v/>
      </c>
      <c r="N424" s="185"/>
      <c r="O424" s="185"/>
      <c r="P424" s="185"/>
      <c r="Q424" s="185"/>
      <c r="R424" s="185"/>
      <c r="S424" s="185"/>
      <c r="T424" s="185"/>
      <c r="U424" s="185"/>
      <c r="V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184" t="str">
        <f>IFERROR(__xludf.DUMMYFUNCTION("ifna(IF(and(D425=""Saída"",J425=""Sangria""),if(sum(QUERY(IMPORTRANGE(""https://docs.google.com/spreadsheets/d/1ykfbEpHEAAZVCgujsGjRFJRCTULkzlWa8UjdyLzkDBM"",""BD M Sangrias!a:i""),""select Col6 where Col7 = 'Depositada' and Col9 = '""&amp;K425&amp;""' and Col6 ="&amp;" ""&amp;M425&amp;"" and Col4 = date '""&amp;YEAR(C425)&amp;""-""&amp;MONTH(C425)&amp;""-""&amp;DAY(C425)&amp;""'""))&gt;0,""Depositada"",if(sum(QUERY(IMPORTRANGE(""https://docs.google.com/spreadsheets/d/1ykfbEpHEAAZVCgujsGjRFJRCTULkzlWa8UjdyLzkDBM"",""BD M Sangrias!a:i""),""select Col6 whe"&amp;"re Col7 = 'Caixa Atendimento' and Col9 = '""&amp;K425&amp;""' and Col6 = ""&amp;M425&amp;"" and Col4 = date '""&amp;YEAR(C425)&amp;""-""&amp;MONTH(C425)&amp;""-""&amp;DAY(C425)&amp;""'""))&gt;0,""Caixa Atendimento"",""Caixa Sangria"")),""""),""Caixa Sangria"")"),"")</f>
        <v/>
      </c>
      <c r="M425" s="185" t="str">
        <f>IFERROR(__xludf.DUMMYFUNCTION("ifna(VALUE(REGEXEXTRACT(E425,""[0-9.]+[,]+[0-9]+"")))"),"")</f>
        <v/>
      </c>
      <c r="N425" s="185"/>
      <c r="O425" s="185"/>
      <c r="P425" s="185"/>
      <c r="Q425" s="185"/>
      <c r="R425" s="185"/>
      <c r="S425" s="185"/>
      <c r="T425" s="185"/>
      <c r="U425" s="185"/>
      <c r="V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184" t="str">
        <f>IFERROR(__xludf.DUMMYFUNCTION("ifna(IF(and(D426=""Saída"",J426=""Sangria""),if(sum(QUERY(IMPORTRANGE(""https://docs.google.com/spreadsheets/d/1ykfbEpHEAAZVCgujsGjRFJRCTULkzlWa8UjdyLzkDBM"",""BD M Sangrias!a:i""),""select Col6 where Col7 = 'Depositada' and Col9 = '""&amp;K426&amp;""' and Col6 ="&amp;" ""&amp;M426&amp;"" and Col4 = date '""&amp;YEAR(C426)&amp;""-""&amp;MONTH(C426)&amp;""-""&amp;DAY(C426)&amp;""'""))&gt;0,""Depositada"",if(sum(QUERY(IMPORTRANGE(""https://docs.google.com/spreadsheets/d/1ykfbEpHEAAZVCgujsGjRFJRCTULkzlWa8UjdyLzkDBM"",""BD M Sangrias!a:i""),""select Col6 whe"&amp;"re Col7 = 'Caixa Atendimento' and Col9 = '""&amp;K426&amp;""' and Col6 = ""&amp;M426&amp;"" and Col4 = date '""&amp;YEAR(C426)&amp;""-""&amp;MONTH(C426)&amp;""-""&amp;DAY(C426)&amp;""'""))&gt;0,""Caixa Atendimento"",""Caixa Sangria"")),""""),""Caixa Sangria"")"),"")</f>
        <v/>
      </c>
      <c r="M426" s="185" t="str">
        <f>IFERROR(__xludf.DUMMYFUNCTION("ifna(VALUE(REGEXEXTRACT(E426,""[0-9.]+[,]+[0-9]+"")))"),"")</f>
        <v/>
      </c>
      <c r="N426" s="185"/>
      <c r="O426" s="185"/>
      <c r="P426" s="185"/>
      <c r="Q426" s="185"/>
      <c r="R426" s="185"/>
      <c r="S426" s="185"/>
      <c r="T426" s="185"/>
      <c r="U426" s="185"/>
      <c r="V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184" t="str">
        <f>IFERROR(__xludf.DUMMYFUNCTION("ifna(IF(and(D427=""Saída"",J427=""Sangria""),if(sum(QUERY(IMPORTRANGE(""https://docs.google.com/spreadsheets/d/1ykfbEpHEAAZVCgujsGjRFJRCTULkzlWa8UjdyLzkDBM"",""BD M Sangrias!a:i""),""select Col6 where Col7 = 'Depositada' and Col9 = '""&amp;K427&amp;""' and Col6 ="&amp;" ""&amp;M427&amp;"" and Col4 = date '""&amp;YEAR(C427)&amp;""-""&amp;MONTH(C427)&amp;""-""&amp;DAY(C427)&amp;""'""))&gt;0,""Depositada"",if(sum(QUERY(IMPORTRANGE(""https://docs.google.com/spreadsheets/d/1ykfbEpHEAAZVCgujsGjRFJRCTULkzlWa8UjdyLzkDBM"",""BD M Sangrias!a:i""),""select Col6 whe"&amp;"re Col7 = 'Caixa Atendimento' and Col9 = '""&amp;K427&amp;""' and Col6 = ""&amp;M427&amp;"" and Col4 = date '""&amp;YEAR(C427)&amp;""-""&amp;MONTH(C427)&amp;""-""&amp;DAY(C427)&amp;""'""))&gt;0,""Caixa Atendimento"",""Caixa Sangria"")),""""),""Caixa Sangria"")"),"")</f>
        <v/>
      </c>
      <c r="M427" s="185" t="str">
        <f>IFERROR(__xludf.DUMMYFUNCTION("ifna(VALUE(REGEXEXTRACT(E427,""[0-9.]+[,]+[0-9]+"")))"),"")</f>
        <v/>
      </c>
      <c r="N427" s="185"/>
      <c r="O427" s="185"/>
      <c r="P427" s="185"/>
      <c r="Q427" s="185"/>
      <c r="R427" s="185"/>
      <c r="S427" s="185"/>
      <c r="T427" s="185"/>
      <c r="U427" s="185"/>
      <c r="V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184" t="str">
        <f>IFERROR(__xludf.DUMMYFUNCTION("ifna(IF(and(D428=""Saída"",J428=""Sangria""),if(sum(QUERY(IMPORTRANGE(""https://docs.google.com/spreadsheets/d/1ykfbEpHEAAZVCgujsGjRFJRCTULkzlWa8UjdyLzkDBM"",""BD M Sangrias!a:i""),""select Col6 where Col7 = 'Depositada' and Col9 = '""&amp;K428&amp;""' and Col6 ="&amp;" ""&amp;M428&amp;"" and Col4 = date '""&amp;YEAR(C428)&amp;""-""&amp;MONTH(C428)&amp;""-""&amp;DAY(C428)&amp;""'""))&gt;0,""Depositada"",if(sum(QUERY(IMPORTRANGE(""https://docs.google.com/spreadsheets/d/1ykfbEpHEAAZVCgujsGjRFJRCTULkzlWa8UjdyLzkDBM"",""BD M Sangrias!a:i""),""select Col6 whe"&amp;"re Col7 = 'Caixa Atendimento' and Col9 = '""&amp;K428&amp;""' and Col6 = ""&amp;M428&amp;"" and Col4 = date '""&amp;YEAR(C428)&amp;""-""&amp;MONTH(C428)&amp;""-""&amp;DAY(C428)&amp;""'""))&gt;0,""Caixa Atendimento"",""Caixa Sangria"")),""""),""Caixa Sangria"")"),"")</f>
        <v/>
      </c>
      <c r="M428" s="185" t="str">
        <f>IFERROR(__xludf.DUMMYFUNCTION("ifna(VALUE(REGEXEXTRACT(E428,""[0-9.]+[,]+[0-9]+"")))"),"")</f>
        <v/>
      </c>
      <c r="N428" s="185"/>
      <c r="O428" s="185"/>
      <c r="P428" s="185"/>
      <c r="Q428" s="185"/>
      <c r="R428" s="185"/>
      <c r="S428" s="185"/>
      <c r="T428" s="185"/>
      <c r="U428" s="185"/>
      <c r="V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184" t="str">
        <f>IFERROR(__xludf.DUMMYFUNCTION("ifna(IF(and(D429=""Saída"",J429=""Sangria""),if(sum(QUERY(IMPORTRANGE(""https://docs.google.com/spreadsheets/d/1ykfbEpHEAAZVCgujsGjRFJRCTULkzlWa8UjdyLzkDBM"",""BD M Sangrias!a:i""),""select Col6 where Col7 = 'Depositada' and Col9 = '""&amp;K429&amp;""' and Col6 ="&amp;" ""&amp;M429&amp;"" and Col4 = date '""&amp;YEAR(C429)&amp;""-""&amp;MONTH(C429)&amp;""-""&amp;DAY(C429)&amp;""'""))&gt;0,""Depositada"",if(sum(QUERY(IMPORTRANGE(""https://docs.google.com/spreadsheets/d/1ykfbEpHEAAZVCgujsGjRFJRCTULkzlWa8UjdyLzkDBM"",""BD M Sangrias!a:i""),""select Col6 whe"&amp;"re Col7 = 'Caixa Atendimento' and Col9 = '""&amp;K429&amp;""' and Col6 = ""&amp;M429&amp;"" and Col4 = date '""&amp;YEAR(C429)&amp;""-""&amp;MONTH(C429)&amp;""-""&amp;DAY(C429)&amp;""'""))&gt;0,""Caixa Atendimento"",""Caixa Sangria"")),""""),""Caixa Sangria"")"),"")</f>
        <v/>
      </c>
      <c r="M429" s="185" t="str">
        <f>IFERROR(__xludf.DUMMYFUNCTION("ifna(VALUE(REGEXEXTRACT(E429,""[0-9.]+[,]+[0-9]+"")))"),"")</f>
        <v/>
      </c>
      <c r="N429" s="185"/>
      <c r="O429" s="185"/>
      <c r="P429" s="185"/>
      <c r="Q429" s="185"/>
      <c r="R429" s="185"/>
      <c r="S429" s="185"/>
      <c r="T429" s="185"/>
      <c r="U429" s="185"/>
      <c r="V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184" t="str">
        <f>IFERROR(__xludf.DUMMYFUNCTION("ifna(IF(and(D430=""Saída"",J430=""Sangria""),if(sum(QUERY(IMPORTRANGE(""https://docs.google.com/spreadsheets/d/1ykfbEpHEAAZVCgujsGjRFJRCTULkzlWa8UjdyLzkDBM"",""BD M Sangrias!a:i""),""select Col6 where Col7 = 'Depositada' and Col9 = '""&amp;K430&amp;""' and Col6 ="&amp;" ""&amp;M430&amp;"" and Col4 = date '""&amp;YEAR(C430)&amp;""-""&amp;MONTH(C430)&amp;""-""&amp;DAY(C430)&amp;""'""))&gt;0,""Depositada"",if(sum(QUERY(IMPORTRANGE(""https://docs.google.com/spreadsheets/d/1ykfbEpHEAAZVCgujsGjRFJRCTULkzlWa8UjdyLzkDBM"",""BD M Sangrias!a:i""),""select Col6 whe"&amp;"re Col7 = 'Caixa Atendimento' and Col9 = '""&amp;K430&amp;""' and Col6 = ""&amp;M430&amp;"" and Col4 = date '""&amp;YEAR(C430)&amp;""-""&amp;MONTH(C430)&amp;""-""&amp;DAY(C430)&amp;""'""))&gt;0,""Caixa Atendimento"",""Caixa Sangria"")),""""),""Caixa Sangria"")"),"")</f>
        <v/>
      </c>
      <c r="M430" s="185" t="str">
        <f>IFERROR(__xludf.DUMMYFUNCTION("ifna(VALUE(REGEXEXTRACT(E430,""[0-9.]+[,]+[0-9]+"")))"),"")</f>
        <v/>
      </c>
      <c r="N430" s="185"/>
      <c r="O430" s="185"/>
      <c r="P430" s="185"/>
      <c r="Q430" s="185"/>
      <c r="R430" s="185"/>
      <c r="S430" s="185"/>
      <c r="T430" s="185"/>
      <c r="U430" s="185"/>
      <c r="V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184" t="str">
        <f>IFERROR(__xludf.DUMMYFUNCTION("ifna(IF(and(D431=""Saída"",J431=""Sangria""),if(sum(QUERY(IMPORTRANGE(""https://docs.google.com/spreadsheets/d/1ykfbEpHEAAZVCgujsGjRFJRCTULkzlWa8UjdyLzkDBM"",""BD M Sangrias!a:i""),""select Col6 where Col7 = 'Depositada' and Col9 = '""&amp;K431&amp;""' and Col6 ="&amp;" ""&amp;M431&amp;"" and Col4 = date '""&amp;YEAR(C431)&amp;""-""&amp;MONTH(C431)&amp;""-""&amp;DAY(C431)&amp;""'""))&gt;0,""Depositada"",if(sum(QUERY(IMPORTRANGE(""https://docs.google.com/spreadsheets/d/1ykfbEpHEAAZVCgujsGjRFJRCTULkzlWa8UjdyLzkDBM"",""BD M Sangrias!a:i""),""select Col6 whe"&amp;"re Col7 = 'Caixa Atendimento' and Col9 = '""&amp;K431&amp;""' and Col6 = ""&amp;M431&amp;"" and Col4 = date '""&amp;YEAR(C431)&amp;""-""&amp;MONTH(C431)&amp;""-""&amp;DAY(C431)&amp;""'""))&gt;0,""Caixa Atendimento"",""Caixa Sangria"")),""""),""Caixa Sangria"")"),"")</f>
        <v/>
      </c>
      <c r="M431" s="185" t="str">
        <f>IFERROR(__xludf.DUMMYFUNCTION("ifna(VALUE(REGEXEXTRACT(E431,""[0-9.]+[,]+[0-9]+"")))"),"")</f>
        <v/>
      </c>
      <c r="N431" s="185"/>
      <c r="O431" s="185"/>
      <c r="P431" s="185"/>
      <c r="Q431" s="185"/>
      <c r="R431" s="185"/>
      <c r="S431" s="185"/>
      <c r="T431" s="185"/>
      <c r="U431" s="185"/>
      <c r="V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184" t="str">
        <f>IFERROR(__xludf.DUMMYFUNCTION("ifna(IF(and(D432=""Saída"",J432=""Sangria""),if(sum(QUERY(IMPORTRANGE(""https://docs.google.com/spreadsheets/d/1ykfbEpHEAAZVCgujsGjRFJRCTULkzlWa8UjdyLzkDBM"",""BD M Sangrias!a:i""),""select Col6 where Col7 = 'Depositada' and Col9 = '""&amp;K432&amp;""' and Col6 ="&amp;" ""&amp;M432&amp;"" and Col4 = date '""&amp;YEAR(C432)&amp;""-""&amp;MONTH(C432)&amp;""-""&amp;DAY(C432)&amp;""'""))&gt;0,""Depositada"",if(sum(QUERY(IMPORTRANGE(""https://docs.google.com/spreadsheets/d/1ykfbEpHEAAZVCgujsGjRFJRCTULkzlWa8UjdyLzkDBM"",""BD M Sangrias!a:i""),""select Col6 whe"&amp;"re Col7 = 'Caixa Atendimento' and Col9 = '""&amp;K432&amp;""' and Col6 = ""&amp;M432&amp;"" and Col4 = date '""&amp;YEAR(C432)&amp;""-""&amp;MONTH(C432)&amp;""-""&amp;DAY(C432)&amp;""'""))&gt;0,""Caixa Atendimento"",""Caixa Sangria"")),""""),""Caixa Sangria"")"),"")</f>
        <v/>
      </c>
      <c r="M432" s="185" t="str">
        <f>IFERROR(__xludf.DUMMYFUNCTION("ifna(VALUE(REGEXEXTRACT(E432,""[0-9.]+[,]+[0-9]+"")))"),"")</f>
        <v/>
      </c>
      <c r="N432" s="185"/>
      <c r="O432" s="185"/>
      <c r="P432" s="185"/>
      <c r="Q432" s="185"/>
      <c r="R432" s="185"/>
      <c r="S432" s="185"/>
      <c r="T432" s="185"/>
      <c r="U432" s="185"/>
      <c r="V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184" t="str">
        <f>IFERROR(__xludf.DUMMYFUNCTION("ifna(IF(and(D433=""Saída"",J433=""Sangria""),if(sum(QUERY(IMPORTRANGE(""https://docs.google.com/spreadsheets/d/1ykfbEpHEAAZVCgujsGjRFJRCTULkzlWa8UjdyLzkDBM"",""BD M Sangrias!a:i""),""select Col6 where Col7 = 'Depositada' and Col9 = '""&amp;K433&amp;""' and Col6 ="&amp;" ""&amp;M433&amp;"" and Col4 = date '""&amp;YEAR(C433)&amp;""-""&amp;MONTH(C433)&amp;""-""&amp;DAY(C433)&amp;""'""))&gt;0,""Depositada"",if(sum(QUERY(IMPORTRANGE(""https://docs.google.com/spreadsheets/d/1ykfbEpHEAAZVCgujsGjRFJRCTULkzlWa8UjdyLzkDBM"",""BD M Sangrias!a:i""),""select Col6 whe"&amp;"re Col7 = 'Caixa Atendimento' and Col9 = '""&amp;K433&amp;""' and Col6 = ""&amp;M433&amp;"" and Col4 = date '""&amp;YEAR(C433)&amp;""-""&amp;MONTH(C433)&amp;""-""&amp;DAY(C433)&amp;""'""))&gt;0,""Caixa Atendimento"",""Caixa Sangria"")),""""),""Caixa Sangria"")"),"")</f>
        <v/>
      </c>
      <c r="M433" s="185" t="str">
        <f>IFERROR(__xludf.DUMMYFUNCTION("ifna(VALUE(REGEXEXTRACT(E433,""[0-9.]+[,]+[0-9]+"")))"),"")</f>
        <v/>
      </c>
      <c r="N433" s="185"/>
      <c r="O433" s="185"/>
      <c r="P433" s="185"/>
      <c r="Q433" s="185"/>
      <c r="R433" s="185"/>
      <c r="S433" s="185"/>
      <c r="T433" s="185"/>
      <c r="U433" s="185"/>
      <c r="V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184" t="str">
        <f>IFERROR(__xludf.DUMMYFUNCTION("ifna(IF(and(D434=""Saída"",J434=""Sangria""),if(sum(QUERY(IMPORTRANGE(""https://docs.google.com/spreadsheets/d/1ykfbEpHEAAZVCgujsGjRFJRCTULkzlWa8UjdyLzkDBM"",""BD M Sangrias!a:i""),""select Col6 where Col7 = 'Depositada' and Col9 = '""&amp;K434&amp;""' and Col6 ="&amp;" ""&amp;M434&amp;"" and Col4 = date '""&amp;YEAR(C434)&amp;""-""&amp;MONTH(C434)&amp;""-""&amp;DAY(C434)&amp;""'""))&gt;0,""Depositada"",if(sum(QUERY(IMPORTRANGE(""https://docs.google.com/spreadsheets/d/1ykfbEpHEAAZVCgujsGjRFJRCTULkzlWa8UjdyLzkDBM"",""BD M Sangrias!a:i""),""select Col6 whe"&amp;"re Col7 = 'Caixa Atendimento' and Col9 = '""&amp;K434&amp;""' and Col6 = ""&amp;M434&amp;"" and Col4 = date '""&amp;YEAR(C434)&amp;""-""&amp;MONTH(C434)&amp;""-""&amp;DAY(C434)&amp;""'""))&gt;0,""Caixa Atendimento"",""Caixa Sangria"")),""""),""Caixa Sangria"")"),"")</f>
        <v/>
      </c>
      <c r="M434" s="185" t="str">
        <f>IFERROR(__xludf.DUMMYFUNCTION("ifna(VALUE(REGEXEXTRACT(E434,""[0-9.]+[,]+[0-9]+"")))"),"")</f>
        <v/>
      </c>
      <c r="N434" s="185"/>
      <c r="O434" s="185"/>
      <c r="P434" s="185"/>
      <c r="Q434" s="185"/>
      <c r="R434" s="185"/>
      <c r="S434" s="185"/>
      <c r="T434" s="185"/>
      <c r="U434" s="185"/>
      <c r="V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184" t="str">
        <f>IFERROR(__xludf.DUMMYFUNCTION("ifna(IF(and(D435=""Saída"",J435=""Sangria""),if(sum(QUERY(IMPORTRANGE(""https://docs.google.com/spreadsheets/d/1ykfbEpHEAAZVCgujsGjRFJRCTULkzlWa8UjdyLzkDBM"",""BD M Sangrias!a:i""),""select Col6 where Col7 = 'Depositada' and Col9 = '""&amp;K435&amp;""' and Col6 ="&amp;" ""&amp;M435&amp;"" and Col4 = date '""&amp;YEAR(C435)&amp;""-""&amp;MONTH(C435)&amp;""-""&amp;DAY(C435)&amp;""'""))&gt;0,""Depositada"",if(sum(QUERY(IMPORTRANGE(""https://docs.google.com/spreadsheets/d/1ykfbEpHEAAZVCgujsGjRFJRCTULkzlWa8UjdyLzkDBM"",""BD M Sangrias!a:i""),""select Col6 whe"&amp;"re Col7 = 'Caixa Atendimento' and Col9 = '""&amp;K435&amp;""' and Col6 = ""&amp;M435&amp;"" and Col4 = date '""&amp;YEAR(C435)&amp;""-""&amp;MONTH(C435)&amp;""-""&amp;DAY(C435)&amp;""'""))&gt;0,""Caixa Atendimento"",""Caixa Sangria"")),""""),""Caixa Sangria"")"),"")</f>
        <v/>
      </c>
      <c r="M435" s="185" t="str">
        <f>IFERROR(__xludf.DUMMYFUNCTION("ifna(VALUE(REGEXEXTRACT(E435,""[0-9.]+[,]+[0-9]+"")))"),"")</f>
        <v/>
      </c>
      <c r="N435" s="185"/>
      <c r="O435" s="185"/>
      <c r="P435" s="185"/>
      <c r="Q435" s="185"/>
      <c r="R435" s="185"/>
      <c r="S435" s="185"/>
      <c r="T435" s="185"/>
      <c r="U435" s="185"/>
      <c r="V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184" t="str">
        <f>IFERROR(__xludf.DUMMYFUNCTION("ifna(IF(and(D436=""Saída"",J436=""Sangria""),if(sum(QUERY(IMPORTRANGE(""https://docs.google.com/spreadsheets/d/1ykfbEpHEAAZVCgujsGjRFJRCTULkzlWa8UjdyLzkDBM"",""BD M Sangrias!a:i""),""select Col6 where Col7 = 'Depositada' and Col9 = '""&amp;K436&amp;""' and Col6 ="&amp;" ""&amp;M436&amp;"" and Col4 = date '""&amp;YEAR(C436)&amp;""-""&amp;MONTH(C436)&amp;""-""&amp;DAY(C436)&amp;""'""))&gt;0,""Depositada"",if(sum(QUERY(IMPORTRANGE(""https://docs.google.com/spreadsheets/d/1ykfbEpHEAAZVCgujsGjRFJRCTULkzlWa8UjdyLzkDBM"",""BD M Sangrias!a:i""),""select Col6 whe"&amp;"re Col7 = 'Caixa Atendimento' and Col9 = '""&amp;K436&amp;""' and Col6 = ""&amp;M436&amp;"" and Col4 = date '""&amp;YEAR(C436)&amp;""-""&amp;MONTH(C436)&amp;""-""&amp;DAY(C436)&amp;""'""))&gt;0,""Caixa Atendimento"",""Caixa Sangria"")),""""),""Caixa Sangria"")"),"")</f>
        <v/>
      </c>
      <c r="M436" s="185" t="str">
        <f>IFERROR(__xludf.DUMMYFUNCTION("ifna(VALUE(REGEXEXTRACT(E436,""[0-9.]+[,]+[0-9]+"")))"),"")</f>
        <v/>
      </c>
      <c r="N436" s="185"/>
      <c r="O436" s="185"/>
      <c r="P436" s="185"/>
      <c r="Q436" s="185"/>
      <c r="R436" s="185"/>
      <c r="S436" s="185"/>
      <c r="T436" s="185"/>
      <c r="U436" s="185"/>
      <c r="V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184" t="str">
        <f>IFERROR(__xludf.DUMMYFUNCTION("ifna(IF(and(D437=""Saída"",J437=""Sangria""),if(sum(QUERY(IMPORTRANGE(""https://docs.google.com/spreadsheets/d/1ykfbEpHEAAZVCgujsGjRFJRCTULkzlWa8UjdyLzkDBM"",""BD M Sangrias!a:i""),""select Col6 where Col7 = 'Depositada' and Col9 = '""&amp;K437&amp;""' and Col6 ="&amp;" ""&amp;M437&amp;"" and Col4 = date '""&amp;YEAR(C437)&amp;""-""&amp;MONTH(C437)&amp;""-""&amp;DAY(C437)&amp;""'""))&gt;0,""Depositada"",if(sum(QUERY(IMPORTRANGE(""https://docs.google.com/spreadsheets/d/1ykfbEpHEAAZVCgujsGjRFJRCTULkzlWa8UjdyLzkDBM"",""BD M Sangrias!a:i""),""select Col6 whe"&amp;"re Col7 = 'Caixa Atendimento' and Col9 = '""&amp;K437&amp;""' and Col6 = ""&amp;M437&amp;"" and Col4 = date '""&amp;YEAR(C437)&amp;""-""&amp;MONTH(C437)&amp;""-""&amp;DAY(C437)&amp;""'""))&gt;0,""Caixa Atendimento"",""Caixa Sangria"")),""""),""Caixa Sangria"")"),"")</f>
        <v/>
      </c>
      <c r="M437" s="185" t="str">
        <f>IFERROR(__xludf.DUMMYFUNCTION("ifna(VALUE(REGEXEXTRACT(E437,""[0-9.]+[,]+[0-9]+"")))"),"")</f>
        <v/>
      </c>
      <c r="N437" s="185"/>
      <c r="O437" s="185"/>
      <c r="P437" s="185"/>
      <c r="Q437" s="185"/>
      <c r="R437" s="185"/>
      <c r="S437" s="185"/>
      <c r="T437" s="185"/>
      <c r="U437" s="185"/>
      <c r="V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184" t="str">
        <f>IFERROR(__xludf.DUMMYFUNCTION("ifna(IF(and(D438=""Saída"",J438=""Sangria""),if(sum(QUERY(IMPORTRANGE(""https://docs.google.com/spreadsheets/d/1ykfbEpHEAAZVCgujsGjRFJRCTULkzlWa8UjdyLzkDBM"",""BD M Sangrias!a:i""),""select Col6 where Col7 = 'Depositada' and Col9 = '""&amp;K438&amp;""' and Col6 ="&amp;" ""&amp;M438&amp;"" and Col4 = date '""&amp;YEAR(C438)&amp;""-""&amp;MONTH(C438)&amp;""-""&amp;DAY(C438)&amp;""'""))&gt;0,""Depositada"",if(sum(QUERY(IMPORTRANGE(""https://docs.google.com/spreadsheets/d/1ykfbEpHEAAZVCgujsGjRFJRCTULkzlWa8UjdyLzkDBM"",""BD M Sangrias!a:i""),""select Col6 whe"&amp;"re Col7 = 'Caixa Atendimento' and Col9 = '""&amp;K438&amp;""' and Col6 = ""&amp;M438&amp;"" and Col4 = date '""&amp;YEAR(C438)&amp;""-""&amp;MONTH(C438)&amp;""-""&amp;DAY(C438)&amp;""'""))&gt;0,""Caixa Atendimento"",""Caixa Sangria"")),""""),""Caixa Sangria"")"),"")</f>
        <v/>
      </c>
      <c r="M438" s="185" t="str">
        <f>IFERROR(__xludf.DUMMYFUNCTION("ifna(VALUE(REGEXEXTRACT(E438,""[0-9.]+[,]+[0-9]+"")))"),"")</f>
        <v/>
      </c>
      <c r="N438" s="185"/>
      <c r="O438" s="185"/>
      <c r="P438" s="185"/>
      <c r="Q438" s="185"/>
      <c r="R438" s="185"/>
      <c r="S438" s="185"/>
      <c r="T438" s="185"/>
      <c r="U438" s="185"/>
      <c r="V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184" t="str">
        <f>IFERROR(__xludf.DUMMYFUNCTION("ifna(IF(and(D439=""Saída"",J439=""Sangria""),if(sum(QUERY(IMPORTRANGE(""https://docs.google.com/spreadsheets/d/1ykfbEpHEAAZVCgujsGjRFJRCTULkzlWa8UjdyLzkDBM"",""BD M Sangrias!a:i""),""select Col6 where Col7 = 'Depositada' and Col9 = '""&amp;K439&amp;""' and Col6 ="&amp;" ""&amp;M439&amp;"" and Col4 = date '""&amp;YEAR(C439)&amp;""-""&amp;MONTH(C439)&amp;""-""&amp;DAY(C439)&amp;""'""))&gt;0,""Depositada"",if(sum(QUERY(IMPORTRANGE(""https://docs.google.com/spreadsheets/d/1ykfbEpHEAAZVCgujsGjRFJRCTULkzlWa8UjdyLzkDBM"",""BD M Sangrias!a:i""),""select Col6 whe"&amp;"re Col7 = 'Caixa Atendimento' and Col9 = '""&amp;K439&amp;""' and Col6 = ""&amp;M439&amp;"" and Col4 = date '""&amp;YEAR(C439)&amp;""-""&amp;MONTH(C439)&amp;""-""&amp;DAY(C439)&amp;""'""))&gt;0,""Caixa Atendimento"",""Caixa Sangria"")),""""),""Caixa Sangria"")"),"")</f>
        <v/>
      </c>
      <c r="M439" s="185" t="str">
        <f>IFERROR(__xludf.DUMMYFUNCTION("ifna(VALUE(REGEXEXTRACT(E439,""[0-9.]+[,]+[0-9]+"")))"),"")</f>
        <v/>
      </c>
      <c r="N439" s="185"/>
      <c r="O439" s="185"/>
      <c r="P439" s="185"/>
      <c r="Q439" s="185"/>
      <c r="R439" s="185"/>
      <c r="S439" s="185"/>
      <c r="T439" s="185"/>
      <c r="U439" s="185"/>
      <c r="V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184" t="str">
        <f>IFERROR(__xludf.DUMMYFUNCTION("ifna(IF(and(D440=""Saída"",J440=""Sangria""),if(sum(QUERY(IMPORTRANGE(""https://docs.google.com/spreadsheets/d/1ykfbEpHEAAZVCgujsGjRFJRCTULkzlWa8UjdyLzkDBM"",""BD M Sangrias!a:i""),""select Col6 where Col7 = 'Depositada' and Col9 = '""&amp;K440&amp;""' and Col6 ="&amp;" ""&amp;M440&amp;"" and Col4 = date '""&amp;YEAR(C440)&amp;""-""&amp;MONTH(C440)&amp;""-""&amp;DAY(C440)&amp;""'""))&gt;0,""Depositada"",if(sum(QUERY(IMPORTRANGE(""https://docs.google.com/spreadsheets/d/1ykfbEpHEAAZVCgujsGjRFJRCTULkzlWa8UjdyLzkDBM"",""BD M Sangrias!a:i""),""select Col6 whe"&amp;"re Col7 = 'Caixa Atendimento' and Col9 = '""&amp;K440&amp;""' and Col6 = ""&amp;M440&amp;"" and Col4 = date '""&amp;YEAR(C440)&amp;""-""&amp;MONTH(C440)&amp;""-""&amp;DAY(C440)&amp;""'""))&gt;0,""Caixa Atendimento"",""Caixa Sangria"")),""""),""Caixa Sangria"")"),"")</f>
        <v/>
      </c>
      <c r="M440" s="185" t="str">
        <f>IFERROR(__xludf.DUMMYFUNCTION("ifna(VALUE(REGEXEXTRACT(E440,""[0-9.]+[,]+[0-9]+"")))"),"")</f>
        <v/>
      </c>
      <c r="N440" s="185"/>
      <c r="O440" s="185"/>
      <c r="P440" s="185"/>
      <c r="Q440" s="185"/>
      <c r="R440" s="185"/>
      <c r="S440" s="185"/>
      <c r="T440" s="185"/>
      <c r="U440" s="185"/>
      <c r="V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184" t="str">
        <f>IFERROR(__xludf.DUMMYFUNCTION("ifna(IF(and(D441=""Saída"",J441=""Sangria""),if(sum(QUERY(IMPORTRANGE(""https://docs.google.com/spreadsheets/d/1ykfbEpHEAAZVCgujsGjRFJRCTULkzlWa8UjdyLzkDBM"",""BD M Sangrias!a:i""),""select Col6 where Col7 = 'Depositada' and Col9 = '""&amp;K441&amp;""' and Col6 ="&amp;" ""&amp;M441&amp;"" and Col4 = date '""&amp;YEAR(C441)&amp;""-""&amp;MONTH(C441)&amp;""-""&amp;DAY(C441)&amp;""'""))&gt;0,""Depositada"",if(sum(QUERY(IMPORTRANGE(""https://docs.google.com/spreadsheets/d/1ykfbEpHEAAZVCgujsGjRFJRCTULkzlWa8UjdyLzkDBM"",""BD M Sangrias!a:i""),""select Col6 whe"&amp;"re Col7 = 'Caixa Atendimento' and Col9 = '""&amp;K441&amp;""' and Col6 = ""&amp;M441&amp;"" and Col4 = date '""&amp;YEAR(C441)&amp;""-""&amp;MONTH(C441)&amp;""-""&amp;DAY(C441)&amp;""'""))&gt;0,""Caixa Atendimento"",""Caixa Sangria"")),""""),""Caixa Sangria"")"),"")</f>
        <v/>
      </c>
      <c r="M441" s="185" t="str">
        <f>IFERROR(__xludf.DUMMYFUNCTION("ifna(VALUE(REGEXEXTRACT(E441,""[0-9.]+[,]+[0-9]+"")))"),"")</f>
        <v/>
      </c>
      <c r="N441" s="185"/>
      <c r="O441" s="185"/>
      <c r="P441" s="185"/>
      <c r="Q441" s="185"/>
      <c r="R441" s="185"/>
      <c r="S441" s="185"/>
      <c r="T441" s="185"/>
      <c r="U441" s="185"/>
      <c r="V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184" t="str">
        <f>IFERROR(__xludf.DUMMYFUNCTION("ifna(IF(and(D442=""Saída"",J442=""Sangria""),if(sum(QUERY(IMPORTRANGE(""https://docs.google.com/spreadsheets/d/1ykfbEpHEAAZVCgujsGjRFJRCTULkzlWa8UjdyLzkDBM"",""BD M Sangrias!a:i""),""select Col6 where Col7 = 'Depositada' and Col9 = '""&amp;K442&amp;""' and Col6 ="&amp;" ""&amp;M442&amp;"" and Col4 = date '""&amp;YEAR(C442)&amp;""-""&amp;MONTH(C442)&amp;""-""&amp;DAY(C442)&amp;""'""))&gt;0,""Depositada"",if(sum(QUERY(IMPORTRANGE(""https://docs.google.com/spreadsheets/d/1ykfbEpHEAAZVCgujsGjRFJRCTULkzlWa8UjdyLzkDBM"",""BD M Sangrias!a:i""),""select Col6 whe"&amp;"re Col7 = 'Caixa Atendimento' and Col9 = '""&amp;K442&amp;""' and Col6 = ""&amp;M442&amp;"" and Col4 = date '""&amp;YEAR(C442)&amp;""-""&amp;MONTH(C442)&amp;""-""&amp;DAY(C442)&amp;""'""))&gt;0,""Caixa Atendimento"",""Caixa Sangria"")),""""),""Caixa Sangria"")"),"")</f>
        <v/>
      </c>
      <c r="M442" s="185" t="str">
        <f>IFERROR(__xludf.DUMMYFUNCTION("ifna(VALUE(REGEXEXTRACT(E442,""[0-9.]+[,]+[0-9]+"")))"),"")</f>
        <v/>
      </c>
      <c r="N442" s="185"/>
      <c r="O442" s="185"/>
      <c r="P442" s="185"/>
      <c r="Q442" s="185"/>
      <c r="R442" s="185"/>
      <c r="S442" s="185"/>
      <c r="T442" s="185"/>
      <c r="U442" s="185"/>
      <c r="V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184" t="str">
        <f>IFERROR(__xludf.DUMMYFUNCTION("ifna(IF(and(D443=""Saída"",J443=""Sangria""),if(sum(QUERY(IMPORTRANGE(""https://docs.google.com/spreadsheets/d/1ykfbEpHEAAZVCgujsGjRFJRCTULkzlWa8UjdyLzkDBM"",""BD M Sangrias!a:i""),""select Col6 where Col7 = 'Depositada' and Col9 = '""&amp;K443&amp;""' and Col6 ="&amp;" ""&amp;M443&amp;"" and Col4 = date '""&amp;YEAR(C443)&amp;""-""&amp;MONTH(C443)&amp;""-""&amp;DAY(C443)&amp;""'""))&gt;0,""Depositada"",if(sum(QUERY(IMPORTRANGE(""https://docs.google.com/spreadsheets/d/1ykfbEpHEAAZVCgujsGjRFJRCTULkzlWa8UjdyLzkDBM"",""BD M Sangrias!a:i""),""select Col6 whe"&amp;"re Col7 = 'Caixa Atendimento' and Col9 = '""&amp;K443&amp;""' and Col6 = ""&amp;M443&amp;"" and Col4 = date '""&amp;YEAR(C443)&amp;""-""&amp;MONTH(C443)&amp;""-""&amp;DAY(C443)&amp;""'""))&gt;0,""Caixa Atendimento"",""Caixa Sangria"")),""""),""Caixa Sangria"")"),"")</f>
        <v/>
      </c>
      <c r="M443" s="185" t="str">
        <f>IFERROR(__xludf.DUMMYFUNCTION("ifna(VALUE(REGEXEXTRACT(E443,""[0-9.]+[,]+[0-9]+"")))"),"")</f>
        <v/>
      </c>
      <c r="N443" s="185"/>
      <c r="O443" s="185"/>
      <c r="P443" s="185"/>
      <c r="Q443" s="185"/>
      <c r="R443" s="185"/>
      <c r="S443" s="185"/>
      <c r="T443" s="185"/>
      <c r="U443" s="185"/>
      <c r="V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184" t="str">
        <f>IFERROR(__xludf.DUMMYFUNCTION("ifna(IF(and(D444=""Saída"",J444=""Sangria""),if(sum(QUERY(IMPORTRANGE(""https://docs.google.com/spreadsheets/d/1ykfbEpHEAAZVCgujsGjRFJRCTULkzlWa8UjdyLzkDBM"",""BD M Sangrias!a:i""),""select Col6 where Col7 = 'Depositada' and Col9 = '""&amp;K444&amp;""' and Col6 ="&amp;" ""&amp;M444&amp;"" and Col4 = date '""&amp;YEAR(C444)&amp;""-""&amp;MONTH(C444)&amp;""-""&amp;DAY(C444)&amp;""'""))&gt;0,""Depositada"",if(sum(QUERY(IMPORTRANGE(""https://docs.google.com/spreadsheets/d/1ykfbEpHEAAZVCgujsGjRFJRCTULkzlWa8UjdyLzkDBM"",""BD M Sangrias!a:i""),""select Col6 whe"&amp;"re Col7 = 'Caixa Atendimento' and Col9 = '""&amp;K444&amp;""' and Col6 = ""&amp;M444&amp;"" and Col4 = date '""&amp;YEAR(C444)&amp;""-""&amp;MONTH(C444)&amp;""-""&amp;DAY(C444)&amp;""'""))&gt;0,""Caixa Atendimento"",""Caixa Sangria"")),""""),""Caixa Sangria"")"),"")</f>
        <v/>
      </c>
      <c r="M444" s="185" t="str">
        <f>IFERROR(__xludf.DUMMYFUNCTION("ifna(VALUE(REGEXEXTRACT(E444,""[0-9.]+[,]+[0-9]+"")))"),"")</f>
        <v/>
      </c>
      <c r="N444" s="185"/>
      <c r="O444" s="185"/>
      <c r="P444" s="185"/>
      <c r="Q444" s="185"/>
      <c r="R444" s="185"/>
      <c r="S444" s="185"/>
      <c r="T444" s="185"/>
      <c r="U444" s="185"/>
      <c r="V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184" t="str">
        <f>IFERROR(__xludf.DUMMYFUNCTION("ifna(IF(and(D445=""Saída"",J445=""Sangria""),if(sum(QUERY(IMPORTRANGE(""https://docs.google.com/spreadsheets/d/1ykfbEpHEAAZVCgujsGjRFJRCTULkzlWa8UjdyLzkDBM"",""BD M Sangrias!a:i""),""select Col6 where Col7 = 'Depositada' and Col9 = '""&amp;K445&amp;""' and Col6 ="&amp;" ""&amp;M445&amp;"" and Col4 = date '""&amp;YEAR(C445)&amp;""-""&amp;MONTH(C445)&amp;""-""&amp;DAY(C445)&amp;""'""))&gt;0,""Depositada"",if(sum(QUERY(IMPORTRANGE(""https://docs.google.com/spreadsheets/d/1ykfbEpHEAAZVCgujsGjRFJRCTULkzlWa8UjdyLzkDBM"",""BD M Sangrias!a:i""),""select Col6 whe"&amp;"re Col7 = 'Caixa Atendimento' and Col9 = '""&amp;K445&amp;""' and Col6 = ""&amp;M445&amp;"" and Col4 = date '""&amp;YEAR(C445)&amp;""-""&amp;MONTH(C445)&amp;""-""&amp;DAY(C445)&amp;""'""))&gt;0,""Caixa Atendimento"",""Caixa Sangria"")),""""),""Caixa Sangria"")"),"")</f>
        <v/>
      </c>
      <c r="M445" s="185" t="str">
        <f>IFERROR(__xludf.DUMMYFUNCTION("ifna(VALUE(REGEXEXTRACT(E445,""[0-9.]+[,]+[0-9]+"")))"),"")</f>
        <v/>
      </c>
      <c r="N445" s="185"/>
      <c r="O445" s="185"/>
      <c r="P445" s="185"/>
      <c r="Q445" s="185"/>
      <c r="R445" s="185"/>
      <c r="S445" s="185"/>
      <c r="T445" s="185"/>
      <c r="U445" s="185"/>
      <c r="V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184" t="str">
        <f>IFERROR(__xludf.DUMMYFUNCTION("ifna(IF(and(D446=""Saída"",J446=""Sangria""),if(sum(QUERY(IMPORTRANGE(""https://docs.google.com/spreadsheets/d/1ykfbEpHEAAZVCgujsGjRFJRCTULkzlWa8UjdyLzkDBM"",""BD M Sangrias!a:i""),""select Col6 where Col7 = 'Depositada' and Col9 = '""&amp;K446&amp;""' and Col6 ="&amp;" ""&amp;M446&amp;"" and Col4 = date '""&amp;YEAR(C446)&amp;""-""&amp;MONTH(C446)&amp;""-""&amp;DAY(C446)&amp;""'""))&gt;0,""Depositada"",if(sum(QUERY(IMPORTRANGE(""https://docs.google.com/spreadsheets/d/1ykfbEpHEAAZVCgujsGjRFJRCTULkzlWa8UjdyLzkDBM"",""BD M Sangrias!a:i""),""select Col6 whe"&amp;"re Col7 = 'Caixa Atendimento' and Col9 = '""&amp;K446&amp;""' and Col6 = ""&amp;M446&amp;"" and Col4 = date '""&amp;YEAR(C446)&amp;""-""&amp;MONTH(C446)&amp;""-""&amp;DAY(C446)&amp;""'""))&gt;0,""Caixa Atendimento"",""Caixa Sangria"")),""""),""Caixa Sangria"")"),"")</f>
        <v/>
      </c>
      <c r="M446" s="185" t="str">
        <f>IFERROR(__xludf.DUMMYFUNCTION("ifna(VALUE(REGEXEXTRACT(E446,""[0-9.]+[,]+[0-9]+"")))"),"")</f>
        <v/>
      </c>
      <c r="N446" s="185"/>
      <c r="O446" s="185"/>
      <c r="P446" s="185"/>
      <c r="Q446" s="185"/>
      <c r="R446" s="185"/>
      <c r="S446" s="185"/>
      <c r="T446" s="185"/>
      <c r="U446" s="185"/>
      <c r="V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184" t="str">
        <f>IFERROR(__xludf.DUMMYFUNCTION("ifna(IF(and(D447=""Saída"",J447=""Sangria""),if(sum(QUERY(IMPORTRANGE(""https://docs.google.com/spreadsheets/d/1ykfbEpHEAAZVCgujsGjRFJRCTULkzlWa8UjdyLzkDBM"",""BD M Sangrias!a:i""),""select Col6 where Col7 = 'Depositada' and Col9 = '""&amp;K447&amp;""' and Col6 ="&amp;" ""&amp;M447&amp;"" and Col4 = date '""&amp;YEAR(C447)&amp;""-""&amp;MONTH(C447)&amp;""-""&amp;DAY(C447)&amp;""'""))&gt;0,""Depositada"",if(sum(QUERY(IMPORTRANGE(""https://docs.google.com/spreadsheets/d/1ykfbEpHEAAZVCgujsGjRFJRCTULkzlWa8UjdyLzkDBM"",""BD M Sangrias!a:i""),""select Col6 whe"&amp;"re Col7 = 'Caixa Atendimento' and Col9 = '""&amp;K447&amp;""' and Col6 = ""&amp;M447&amp;"" and Col4 = date '""&amp;YEAR(C447)&amp;""-""&amp;MONTH(C447)&amp;""-""&amp;DAY(C447)&amp;""'""))&gt;0,""Caixa Atendimento"",""Caixa Sangria"")),""""),""Caixa Sangria"")"),"")</f>
        <v/>
      </c>
      <c r="M447" s="185" t="str">
        <f>IFERROR(__xludf.DUMMYFUNCTION("ifna(VALUE(REGEXEXTRACT(E447,""[0-9.]+[,]+[0-9]+"")))"),"")</f>
        <v/>
      </c>
      <c r="N447" s="185"/>
      <c r="O447" s="185"/>
      <c r="P447" s="185"/>
      <c r="Q447" s="185"/>
      <c r="R447" s="185"/>
      <c r="S447" s="185"/>
      <c r="T447" s="185"/>
      <c r="U447" s="185"/>
      <c r="V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184" t="str">
        <f>IFERROR(__xludf.DUMMYFUNCTION("ifna(IF(and(D448=""Saída"",J448=""Sangria""),if(sum(QUERY(IMPORTRANGE(""https://docs.google.com/spreadsheets/d/1ykfbEpHEAAZVCgujsGjRFJRCTULkzlWa8UjdyLzkDBM"",""BD M Sangrias!a:i""),""select Col6 where Col7 = 'Depositada' and Col9 = '""&amp;K448&amp;""' and Col6 ="&amp;" ""&amp;M448&amp;"" and Col4 = date '""&amp;YEAR(C448)&amp;""-""&amp;MONTH(C448)&amp;""-""&amp;DAY(C448)&amp;""'""))&gt;0,""Depositada"",if(sum(QUERY(IMPORTRANGE(""https://docs.google.com/spreadsheets/d/1ykfbEpHEAAZVCgujsGjRFJRCTULkzlWa8UjdyLzkDBM"",""BD M Sangrias!a:i""),""select Col6 whe"&amp;"re Col7 = 'Caixa Atendimento' and Col9 = '""&amp;K448&amp;""' and Col6 = ""&amp;M448&amp;"" and Col4 = date '""&amp;YEAR(C448)&amp;""-""&amp;MONTH(C448)&amp;""-""&amp;DAY(C448)&amp;""'""))&gt;0,""Caixa Atendimento"",""Caixa Sangria"")),""""),""Caixa Sangria"")"),"")</f>
        <v/>
      </c>
      <c r="M448" s="185" t="str">
        <f>IFERROR(__xludf.DUMMYFUNCTION("ifna(VALUE(REGEXEXTRACT(E448,""[0-9.]+[,]+[0-9]+"")))"),"")</f>
        <v/>
      </c>
      <c r="N448" s="185"/>
      <c r="O448" s="185"/>
      <c r="P448" s="185"/>
      <c r="Q448" s="185"/>
      <c r="R448" s="185"/>
      <c r="S448" s="185"/>
      <c r="T448" s="185"/>
      <c r="U448" s="185"/>
      <c r="V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184" t="str">
        <f>IFERROR(__xludf.DUMMYFUNCTION("ifna(IF(and(D449=""Saída"",J449=""Sangria""),if(sum(QUERY(IMPORTRANGE(""https://docs.google.com/spreadsheets/d/1ykfbEpHEAAZVCgujsGjRFJRCTULkzlWa8UjdyLzkDBM"",""BD M Sangrias!a:i""),""select Col6 where Col7 = 'Depositada' and Col9 = '""&amp;K449&amp;""' and Col6 ="&amp;" ""&amp;M449&amp;"" and Col4 = date '""&amp;YEAR(C449)&amp;""-""&amp;MONTH(C449)&amp;""-""&amp;DAY(C449)&amp;""'""))&gt;0,""Depositada"",if(sum(QUERY(IMPORTRANGE(""https://docs.google.com/spreadsheets/d/1ykfbEpHEAAZVCgujsGjRFJRCTULkzlWa8UjdyLzkDBM"",""BD M Sangrias!a:i""),""select Col6 whe"&amp;"re Col7 = 'Caixa Atendimento' and Col9 = '""&amp;K449&amp;""' and Col6 = ""&amp;M449&amp;"" and Col4 = date '""&amp;YEAR(C449)&amp;""-""&amp;MONTH(C449)&amp;""-""&amp;DAY(C449)&amp;""'""))&gt;0,""Caixa Atendimento"",""Caixa Sangria"")),""""),""Caixa Sangria"")"),"")</f>
        <v/>
      </c>
      <c r="M449" s="185" t="str">
        <f>IFERROR(__xludf.DUMMYFUNCTION("ifna(VALUE(REGEXEXTRACT(E449,""[0-9.]+[,]+[0-9]+"")))"),"")</f>
        <v/>
      </c>
      <c r="N449" s="185"/>
      <c r="O449" s="185"/>
      <c r="P449" s="185"/>
      <c r="Q449" s="185"/>
      <c r="R449" s="185"/>
      <c r="S449" s="185"/>
      <c r="T449" s="185"/>
      <c r="U449" s="185"/>
      <c r="V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184" t="str">
        <f>IFERROR(__xludf.DUMMYFUNCTION("ifna(IF(and(D450=""Saída"",J450=""Sangria""),if(sum(QUERY(IMPORTRANGE(""https://docs.google.com/spreadsheets/d/1ykfbEpHEAAZVCgujsGjRFJRCTULkzlWa8UjdyLzkDBM"",""BD M Sangrias!a:i""),""select Col6 where Col7 = 'Depositada' and Col9 = '""&amp;K450&amp;""' and Col6 ="&amp;" ""&amp;M450&amp;"" and Col4 = date '""&amp;YEAR(C450)&amp;""-""&amp;MONTH(C450)&amp;""-""&amp;DAY(C450)&amp;""'""))&gt;0,""Depositada"",if(sum(QUERY(IMPORTRANGE(""https://docs.google.com/spreadsheets/d/1ykfbEpHEAAZVCgujsGjRFJRCTULkzlWa8UjdyLzkDBM"",""BD M Sangrias!a:i""),""select Col6 whe"&amp;"re Col7 = 'Caixa Atendimento' and Col9 = '""&amp;K450&amp;""' and Col6 = ""&amp;M450&amp;"" and Col4 = date '""&amp;YEAR(C450)&amp;""-""&amp;MONTH(C450)&amp;""-""&amp;DAY(C450)&amp;""'""))&gt;0,""Caixa Atendimento"",""Caixa Sangria"")),""""),""Caixa Sangria"")"),"")</f>
        <v/>
      </c>
      <c r="M450" s="185" t="str">
        <f>IFERROR(__xludf.DUMMYFUNCTION("ifna(VALUE(REGEXEXTRACT(E450,""[0-9.]+[,]+[0-9]+"")))"),"")</f>
        <v/>
      </c>
      <c r="N450" s="185"/>
      <c r="O450" s="185"/>
      <c r="P450" s="185"/>
      <c r="Q450" s="185"/>
      <c r="R450" s="185"/>
      <c r="S450" s="185"/>
      <c r="T450" s="185"/>
      <c r="U450" s="185"/>
      <c r="V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184" t="str">
        <f>IFERROR(__xludf.DUMMYFUNCTION("ifna(IF(and(D451=""Saída"",J451=""Sangria""),if(sum(QUERY(IMPORTRANGE(""https://docs.google.com/spreadsheets/d/1ykfbEpHEAAZVCgujsGjRFJRCTULkzlWa8UjdyLzkDBM"",""BD M Sangrias!a:i""),""select Col6 where Col7 = 'Depositada' and Col9 = '""&amp;K451&amp;""' and Col6 ="&amp;" ""&amp;M451&amp;"" and Col4 = date '""&amp;YEAR(C451)&amp;""-""&amp;MONTH(C451)&amp;""-""&amp;DAY(C451)&amp;""'""))&gt;0,""Depositada"",if(sum(QUERY(IMPORTRANGE(""https://docs.google.com/spreadsheets/d/1ykfbEpHEAAZVCgujsGjRFJRCTULkzlWa8UjdyLzkDBM"",""BD M Sangrias!a:i""),""select Col6 whe"&amp;"re Col7 = 'Caixa Atendimento' and Col9 = '""&amp;K451&amp;""' and Col6 = ""&amp;M451&amp;"" and Col4 = date '""&amp;YEAR(C451)&amp;""-""&amp;MONTH(C451)&amp;""-""&amp;DAY(C451)&amp;""'""))&gt;0,""Caixa Atendimento"",""Caixa Sangria"")),""""),""Caixa Sangria"")"),"")</f>
        <v/>
      </c>
      <c r="M451" s="185" t="str">
        <f>IFERROR(__xludf.DUMMYFUNCTION("ifna(VALUE(REGEXEXTRACT(E451,""[0-9.]+[,]+[0-9]+"")))"),"")</f>
        <v/>
      </c>
      <c r="N451" s="185"/>
      <c r="O451" s="185"/>
      <c r="P451" s="185"/>
      <c r="Q451" s="185"/>
      <c r="R451" s="185"/>
      <c r="S451" s="185"/>
      <c r="T451" s="185"/>
      <c r="U451" s="185"/>
      <c r="V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184" t="str">
        <f>IFERROR(__xludf.DUMMYFUNCTION("ifna(IF(and(D452=""Saída"",J452=""Sangria""),if(sum(QUERY(IMPORTRANGE(""https://docs.google.com/spreadsheets/d/1ykfbEpHEAAZVCgujsGjRFJRCTULkzlWa8UjdyLzkDBM"",""BD M Sangrias!a:i""),""select Col6 where Col7 = 'Depositada' and Col9 = '""&amp;K452&amp;""' and Col6 ="&amp;" ""&amp;M452&amp;"" and Col4 = date '""&amp;YEAR(C452)&amp;""-""&amp;MONTH(C452)&amp;""-""&amp;DAY(C452)&amp;""'""))&gt;0,""Depositada"",if(sum(QUERY(IMPORTRANGE(""https://docs.google.com/spreadsheets/d/1ykfbEpHEAAZVCgujsGjRFJRCTULkzlWa8UjdyLzkDBM"",""BD M Sangrias!a:i""),""select Col6 whe"&amp;"re Col7 = 'Caixa Atendimento' and Col9 = '""&amp;K452&amp;""' and Col6 = ""&amp;M452&amp;"" and Col4 = date '""&amp;YEAR(C452)&amp;""-""&amp;MONTH(C452)&amp;""-""&amp;DAY(C452)&amp;""'""))&gt;0,""Caixa Atendimento"",""Caixa Sangria"")),""""),""Caixa Sangria"")"),"")</f>
        <v/>
      </c>
      <c r="M452" s="185" t="str">
        <f>IFERROR(__xludf.DUMMYFUNCTION("ifna(VALUE(REGEXEXTRACT(E452,""[0-9.]+[,]+[0-9]+"")))"),"")</f>
        <v/>
      </c>
      <c r="N452" s="185"/>
      <c r="O452" s="185"/>
      <c r="P452" s="185"/>
      <c r="Q452" s="185"/>
      <c r="R452" s="185"/>
      <c r="S452" s="185"/>
      <c r="T452" s="185"/>
      <c r="U452" s="185"/>
      <c r="V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184" t="str">
        <f>IFERROR(__xludf.DUMMYFUNCTION("ifna(IF(and(D453=""Saída"",J453=""Sangria""),if(sum(QUERY(IMPORTRANGE(""https://docs.google.com/spreadsheets/d/1ykfbEpHEAAZVCgujsGjRFJRCTULkzlWa8UjdyLzkDBM"",""BD M Sangrias!a:i""),""select Col6 where Col7 = 'Depositada' and Col9 = '""&amp;K453&amp;""' and Col6 ="&amp;" ""&amp;M453&amp;"" and Col4 = date '""&amp;YEAR(C453)&amp;""-""&amp;MONTH(C453)&amp;""-""&amp;DAY(C453)&amp;""'""))&gt;0,""Depositada"",if(sum(QUERY(IMPORTRANGE(""https://docs.google.com/spreadsheets/d/1ykfbEpHEAAZVCgujsGjRFJRCTULkzlWa8UjdyLzkDBM"",""BD M Sangrias!a:i""),""select Col6 whe"&amp;"re Col7 = 'Caixa Atendimento' and Col9 = '""&amp;K453&amp;""' and Col6 = ""&amp;M453&amp;"" and Col4 = date '""&amp;YEAR(C453)&amp;""-""&amp;MONTH(C453)&amp;""-""&amp;DAY(C453)&amp;""'""))&gt;0,""Caixa Atendimento"",""Caixa Sangria"")),""""),""Caixa Sangria"")"),"")</f>
        <v/>
      </c>
      <c r="M453" s="185" t="str">
        <f>IFERROR(__xludf.DUMMYFUNCTION("ifna(VALUE(REGEXEXTRACT(E453,""[0-9.]+[,]+[0-9]+"")))"),"")</f>
        <v/>
      </c>
      <c r="N453" s="185"/>
      <c r="O453" s="185"/>
      <c r="P453" s="185"/>
      <c r="Q453" s="185"/>
      <c r="R453" s="185"/>
      <c r="S453" s="185"/>
      <c r="T453" s="185"/>
      <c r="U453" s="185"/>
      <c r="V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184" t="str">
        <f>IFERROR(__xludf.DUMMYFUNCTION("ifna(IF(and(D454=""Saída"",J454=""Sangria""),if(sum(QUERY(IMPORTRANGE(""https://docs.google.com/spreadsheets/d/1ykfbEpHEAAZVCgujsGjRFJRCTULkzlWa8UjdyLzkDBM"",""BD M Sangrias!a:i""),""select Col6 where Col7 = 'Depositada' and Col9 = '""&amp;K454&amp;""' and Col6 ="&amp;" ""&amp;M454&amp;"" and Col4 = date '""&amp;YEAR(C454)&amp;""-""&amp;MONTH(C454)&amp;""-""&amp;DAY(C454)&amp;""'""))&gt;0,""Depositada"",if(sum(QUERY(IMPORTRANGE(""https://docs.google.com/spreadsheets/d/1ykfbEpHEAAZVCgujsGjRFJRCTULkzlWa8UjdyLzkDBM"",""BD M Sangrias!a:i""),""select Col6 whe"&amp;"re Col7 = 'Caixa Atendimento' and Col9 = '""&amp;K454&amp;""' and Col6 = ""&amp;M454&amp;"" and Col4 = date '""&amp;YEAR(C454)&amp;""-""&amp;MONTH(C454)&amp;""-""&amp;DAY(C454)&amp;""'""))&gt;0,""Caixa Atendimento"",""Caixa Sangria"")),""""),""Caixa Sangria"")"),"")</f>
        <v/>
      </c>
      <c r="M454" s="185" t="str">
        <f>IFERROR(__xludf.DUMMYFUNCTION("ifna(VALUE(REGEXEXTRACT(E454,""[0-9.]+[,]+[0-9]+"")))"),"")</f>
        <v/>
      </c>
      <c r="N454" s="185"/>
      <c r="O454" s="185"/>
      <c r="P454" s="185"/>
      <c r="Q454" s="185"/>
      <c r="R454" s="185"/>
      <c r="S454" s="185"/>
      <c r="T454" s="185"/>
      <c r="U454" s="185"/>
      <c r="V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184" t="str">
        <f>IFERROR(__xludf.DUMMYFUNCTION("ifna(IF(and(D455=""Saída"",J455=""Sangria""),if(sum(QUERY(IMPORTRANGE(""https://docs.google.com/spreadsheets/d/1ykfbEpHEAAZVCgujsGjRFJRCTULkzlWa8UjdyLzkDBM"",""BD M Sangrias!a:i""),""select Col6 where Col7 = 'Depositada' and Col9 = '""&amp;K455&amp;""' and Col6 ="&amp;" ""&amp;M455&amp;"" and Col4 = date '""&amp;YEAR(C455)&amp;""-""&amp;MONTH(C455)&amp;""-""&amp;DAY(C455)&amp;""'""))&gt;0,""Depositada"",if(sum(QUERY(IMPORTRANGE(""https://docs.google.com/spreadsheets/d/1ykfbEpHEAAZVCgujsGjRFJRCTULkzlWa8UjdyLzkDBM"",""BD M Sangrias!a:i""),""select Col6 whe"&amp;"re Col7 = 'Caixa Atendimento' and Col9 = '""&amp;K455&amp;""' and Col6 = ""&amp;M455&amp;"" and Col4 = date '""&amp;YEAR(C455)&amp;""-""&amp;MONTH(C455)&amp;""-""&amp;DAY(C455)&amp;""'""))&gt;0,""Caixa Atendimento"",""Caixa Sangria"")),""""),""Caixa Sangria"")"),"")</f>
        <v/>
      </c>
      <c r="M455" s="185" t="str">
        <f>IFERROR(__xludf.DUMMYFUNCTION("ifna(VALUE(REGEXEXTRACT(E455,""[0-9.]+[,]+[0-9]+"")))"),"")</f>
        <v/>
      </c>
      <c r="N455" s="185"/>
      <c r="O455" s="185"/>
      <c r="P455" s="185"/>
      <c r="Q455" s="185"/>
      <c r="R455" s="185"/>
      <c r="S455" s="185"/>
      <c r="T455" s="185"/>
      <c r="U455" s="185"/>
      <c r="V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184" t="str">
        <f>IFERROR(__xludf.DUMMYFUNCTION("ifna(IF(and(D456=""Saída"",J456=""Sangria""),if(sum(QUERY(IMPORTRANGE(""https://docs.google.com/spreadsheets/d/1ykfbEpHEAAZVCgujsGjRFJRCTULkzlWa8UjdyLzkDBM"",""BD M Sangrias!a:i""),""select Col6 where Col7 = 'Depositada' and Col9 = '""&amp;K456&amp;""' and Col6 ="&amp;" ""&amp;M456&amp;"" and Col4 = date '""&amp;YEAR(C456)&amp;""-""&amp;MONTH(C456)&amp;""-""&amp;DAY(C456)&amp;""'""))&gt;0,""Depositada"",if(sum(QUERY(IMPORTRANGE(""https://docs.google.com/spreadsheets/d/1ykfbEpHEAAZVCgujsGjRFJRCTULkzlWa8UjdyLzkDBM"",""BD M Sangrias!a:i""),""select Col6 whe"&amp;"re Col7 = 'Caixa Atendimento' and Col9 = '""&amp;K456&amp;""' and Col6 = ""&amp;M456&amp;"" and Col4 = date '""&amp;YEAR(C456)&amp;""-""&amp;MONTH(C456)&amp;""-""&amp;DAY(C456)&amp;""'""))&gt;0,""Caixa Atendimento"",""Caixa Sangria"")),""""),""Caixa Sangria"")"),"")</f>
        <v/>
      </c>
      <c r="M456" s="185" t="str">
        <f>IFERROR(__xludf.DUMMYFUNCTION("ifna(VALUE(REGEXEXTRACT(E456,""[0-9.]+[,]+[0-9]+"")))"),"")</f>
        <v/>
      </c>
      <c r="N456" s="185"/>
      <c r="O456" s="185"/>
      <c r="P456" s="185"/>
      <c r="Q456" s="185"/>
      <c r="R456" s="185"/>
      <c r="S456" s="185"/>
      <c r="T456" s="185"/>
      <c r="U456" s="185"/>
      <c r="V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184" t="str">
        <f>IFERROR(__xludf.DUMMYFUNCTION("ifna(IF(and(D457=""Saída"",J457=""Sangria""),if(sum(QUERY(IMPORTRANGE(""https://docs.google.com/spreadsheets/d/1ykfbEpHEAAZVCgujsGjRFJRCTULkzlWa8UjdyLzkDBM"",""BD M Sangrias!a:i""),""select Col6 where Col7 = 'Depositada' and Col9 = '""&amp;K457&amp;""' and Col6 ="&amp;" ""&amp;M457&amp;"" and Col4 = date '""&amp;YEAR(C457)&amp;""-""&amp;MONTH(C457)&amp;""-""&amp;DAY(C457)&amp;""'""))&gt;0,""Depositada"",if(sum(QUERY(IMPORTRANGE(""https://docs.google.com/spreadsheets/d/1ykfbEpHEAAZVCgujsGjRFJRCTULkzlWa8UjdyLzkDBM"",""BD M Sangrias!a:i""),""select Col6 whe"&amp;"re Col7 = 'Caixa Atendimento' and Col9 = '""&amp;K457&amp;""' and Col6 = ""&amp;M457&amp;"" and Col4 = date '""&amp;YEAR(C457)&amp;""-""&amp;MONTH(C457)&amp;""-""&amp;DAY(C457)&amp;""'""))&gt;0,""Caixa Atendimento"",""Caixa Sangria"")),""""),""Caixa Sangria"")"),"")</f>
        <v/>
      </c>
      <c r="M457" s="185" t="str">
        <f>IFERROR(__xludf.DUMMYFUNCTION("ifna(VALUE(REGEXEXTRACT(E457,""[0-9.]+[,]+[0-9]+"")))"),"")</f>
        <v/>
      </c>
      <c r="N457" s="185"/>
      <c r="O457" s="185"/>
      <c r="P457" s="185"/>
      <c r="Q457" s="185"/>
      <c r="R457" s="185"/>
      <c r="S457" s="185"/>
      <c r="T457" s="185"/>
      <c r="U457" s="185"/>
      <c r="V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184" t="str">
        <f>IFERROR(__xludf.DUMMYFUNCTION("ifna(IF(and(D458=""Saída"",J458=""Sangria""),if(sum(QUERY(IMPORTRANGE(""https://docs.google.com/spreadsheets/d/1ykfbEpHEAAZVCgujsGjRFJRCTULkzlWa8UjdyLzkDBM"",""BD M Sangrias!a:i""),""select Col6 where Col7 = 'Depositada' and Col9 = '""&amp;K458&amp;""' and Col6 ="&amp;" ""&amp;M458&amp;"" and Col4 = date '""&amp;YEAR(C458)&amp;""-""&amp;MONTH(C458)&amp;""-""&amp;DAY(C458)&amp;""'""))&gt;0,""Depositada"",if(sum(QUERY(IMPORTRANGE(""https://docs.google.com/spreadsheets/d/1ykfbEpHEAAZVCgujsGjRFJRCTULkzlWa8UjdyLzkDBM"",""BD M Sangrias!a:i""),""select Col6 whe"&amp;"re Col7 = 'Caixa Atendimento' and Col9 = '""&amp;K458&amp;""' and Col6 = ""&amp;M458&amp;"" and Col4 = date '""&amp;YEAR(C458)&amp;""-""&amp;MONTH(C458)&amp;""-""&amp;DAY(C458)&amp;""'""))&gt;0,""Caixa Atendimento"",""Caixa Sangria"")),""""),""Caixa Sangria"")"),"")</f>
        <v/>
      </c>
      <c r="M458" s="185" t="str">
        <f>IFERROR(__xludf.DUMMYFUNCTION("ifna(VALUE(REGEXEXTRACT(E458,""[0-9.]+[,]+[0-9]+"")))"),"")</f>
        <v/>
      </c>
      <c r="N458" s="185"/>
      <c r="O458" s="185"/>
      <c r="P458" s="185"/>
      <c r="Q458" s="185"/>
      <c r="R458" s="185"/>
      <c r="S458" s="185"/>
      <c r="T458" s="185"/>
      <c r="U458" s="185"/>
      <c r="V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184" t="str">
        <f>IFERROR(__xludf.DUMMYFUNCTION("ifna(IF(and(D459=""Saída"",J459=""Sangria""),if(sum(QUERY(IMPORTRANGE(""https://docs.google.com/spreadsheets/d/1ykfbEpHEAAZVCgujsGjRFJRCTULkzlWa8UjdyLzkDBM"",""BD M Sangrias!a:i""),""select Col6 where Col7 = 'Depositada' and Col9 = '""&amp;K459&amp;""' and Col6 ="&amp;" ""&amp;M459&amp;"" and Col4 = date '""&amp;YEAR(C459)&amp;""-""&amp;MONTH(C459)&amp;""-""&amp;DAY(C459)&amp;""'""))&gt;0,""Depositada"",if(sum(QUERY(IMPORTRANGE(""https://docs.google.com/spreadsheets/d/1ykfbEpHEAAZVCgujsGjRFJRCTULkzlWa8UjdyLzkDBM"",""BD M Sangrias!a:i""),""select Col6 whe"&amp;"re Col7 = 'Caixa Atendimento' and Col9 = '""&amp;K459&amp;""' and Col6 = ""&amp;M459&amp;"" and Col4 = date '""&amp;YEAR(C459)&amp;""-""&amp;MONTH(C459)&amp;""-""&amp;DAY(C459)&amp;""'""))&gt;0,""Caixa Atendimento"",""Caixa Sangria"")),""""),""Caixa Sangria"")"),"")</f>
        <v/>
      </c>
      <c r="M459" s="185" t="str">
        <f>IFERROR(__xludf.DUMMYFUNCTION("ifna(VALUE(REGEXEXTRACT(E459,""[0-9.]+[,]+[0-9]+"")))"),"")</f>
        <v/>
      </c>
      <c r="N459" s="185"/>
      <c r="O459" s="185"/>
      <c r="P459" s="185"/>
      <c r="Q459" s="185"/>
      <c r="R459" s="185"/>
      <c r="S459" s="185"/>
      <c r="T459" s="185"/>
      <c r="U459" s="185"/>
      <c r="V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184" t="str">
        <f>IFERROR(__xludf.DUMMYFUNCTION("ifna(IF(and(D460=""Saída"",J460=""Sangria""),if(sum(QUERY(IMPORTRANGE(""https://docs.google.com/spreadsheets/d/1ykfbEpHEAAZVCgujsGjRFJRCTULkzlWa8UjdyLzkDBM"",""BD M Sangrias!a:i""),""select Col6 where Col7 = 'Depositada' and Col9 = '""&amp;K460&amp;""' and Col6 ="&amp;" ""&amp;M460&amp;"" and Col4 = date '""&amp;YEAR(C460)&amp;""-""&amp;MONTH(C460)&amp;""-""&amp;DAY(C460)&amp;""'""))&gt;0,""Depositada"",if(sum(QUERY(IMPORTRANGE(""https://docs.google.com/spreadsheets/d/1ykfbEpHEAAZVCgujsGjRFJRCTULkzlWa8UjdyLzkDBM"",""BD M Sangrias!a:i""),""select Col6 whe"&amp;"re Col7 = 'Caixa Atendimento' and Col9 = '""&amp;K460&amp;""' and Col6 = ""&amp;M460&amp;"" and Col4 = date '""&amp;YEAR(C460)&amp;""-""&amp;MONTH(C460)&amp;""-""&amp;DAY(C460)&amp;""'""))&gt;0,""Caixa Atendimento"",""Caixa Sangria"")),""""),""Caixa Sangria"")"),"")</f>
        <v/>
      </c>
      <c r="M460" s="185" t="str">
        <f>IFERROR(__xludf.DUMMYFUNCTION("ifna(VALUE(REGEXEXTRACT(E460,""[0-9.]+[,]+[0-9]+"")))"),"")</f>
        <v/>
      </c>
      <c r="N460" s="185"/>
      <c r="O460" s="185"/>
      <c r="P460" s="185"/>
      <c r="Q460" s="185"/>
      <c r="R460" s="185"/>
      <c r="S460" s="185"/>
      <c r="T460" s="185"/>
      <c r="U460" s="185"/>
      <c r="V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184" t="str">
        <f>IFERROR(__xludf.DUMMYFUNCTION("ifna(IF(and(D461=""Saída"",J461=""Sangria""),if(sum(QUERY(IMPORTRANGE(""https://docs.google.com/spreadsheets/d/1ykfbEpHEAAZVCgujsGjRFJRCTULkzlWa8UjdyLzkDBM"",""BD M Sangrias!a:i""),""select Col6 where Col7 = 'Depositada' and Col9 = '""&amp;K461&amp;""' and Col6 ="&amp;" ""&amp;M461&amp;"" and Col4 = date '""&amp;YEAR(C461)&amp;""-""&amp;MONTH(C461)&amp;""-""&amp;DAY(C461)&amp;""'""))&gt;0,""Depositada"",if(sum(QUERY(IMPORTRANGE(""https://docs.google.com/spreadsheets/d/1ykfbEpHEAAZVCgujsGjRFJRCTULkzlWa8UjdyLzkDBM"",""BD M Sangrias!a:i""),""select Col6 whe"&amp;"re Col7 = 'Caixa Atendimento' and Col9 = '""&amp;K461&amp;""' and Col6 = ""&amp;M461&amp;"" and Col4 = date '""&amp;YEAR(C461)&amp;""-""&amp;MONTH(C461)&amp;""-""&amp;DAY(C461)&amp;""'""))&gt;0,""Caixa Atendimento"",""Caixa Sangria"")),""""),""Caixa Sangria"")"),"")</f>
        <v/>
      </c>
      <c r="M461" s="185" t="str">
        <f>IFERROR(__xludf.DUMMYFUNCTION("ifna(VALUE(REGEXEXTRACT(E461,""[0-9.]+[,]+[0-9]+"")))"),"")</f>
        <v/>
      </c>
      <c r="N461" s="185"/>
      <c r="O461" s="185"/>
      <c r="P461" s="185"/>
      <c r="Q461" s="185"/>
      <c r="R461" s="185"/>
      <c r="S461" s="185"/>
      <c r="T461" s="185"/>
      <c r="U461" s="185"/>
      <c r="V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184" t="str">
        <f>IFERROR(__xludf.DUMMYFUNCTION("ifna(IF(and(D462=""Saída"",J462=""Sangria""),if(sum(QUERY(IMPORTRANGE(""https://docs.google.com/spreadsheets/d/1ykfbEpHEAAZVCgujsGjRFJRCTULkzlWa8UjdyLzkDBM"",""BD M Sangrias!a:i""),""select Col6 where Col7 = 'Depositada' and Col9 = '""&amp;K462&amp;""' and Col6 ="&amp;" ""&amp;M462&amp;"" and Col4 = date '""&amp;YEAR(C462)&amp;""-""&amp;MONTH(C462)&amp;""-""&amp;DAY(C462)&amp;""'""))&gt;0,""Depositada"",if(sum(QUERY(IMPORTRANGE(""https://docs.google.com/spreadsheets/d/1ykfbEpHEAAZVCgujsGjRFJRCTULkzlWa8UjdyLzkDBM"",""BD M Sangrias!a:i""),""select Col6 whe"&amp;"re Col7 = 'Caixa Atendimento' and Col9 = '""&amp;K462&amp;""' and Col6 = ""&amp;M462&amp;"" and Col4 = date '""&amp;YEAR(C462)&amp;""-""&amp;MONTH(C462)&amp;""-""&amp;DAY(C462)&amp;""'""))&gt;0,""Caixa Atendimento"",""Caixa Sangria"")),""""),""Caixa Sangria"")"),"")</f>
        <v/>
      </c>
      <c r="M462" s="185" t="str">
        <f>IFERROR(__xludf.DUMMYFUNCTION("ifna(VALUE(REGEXEXTRACT(E462,""[0-9.]+[,]+[0-9]+"")))"),"")</f>
        <v/>
      </c>
      <c r="N462" s="185"/>
      <c r="O462" s="185"/>
      <c r="P462" s="185"/>
      <c r="Q462" s="185"/>
      <c r="R462" s="185"/>
      <c r="S462" s="185"/>
      <c r="T462" s="185"/>
      <c r="U462" s="185"/>
      <c r="V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184" t="str">
        <f>IFERROR(__xludf.DUMMYFUNCTION("ifna(IF(and(D463=""Saída"",J463=""Sangria""),if(sum(QUERY(IMPORTRANGE(""https://docs.google.com/spreadsheets/d/1ykfbEpHEAAZVCgujsGjRFJRCTULkzlWa8UjdyLzkDBM"",""BD M Sangrias!a:i""),""select Col6 where Col7 = 'Depositada' and Col9 = '""&amp;K463&amp;""' and Col6 ="&amp;" ""&amp;M463&amp;"" and Col4 = date '""&amp;YEAR(C463)&amp;""-""&amp;MONTH(C463)&amp;""-""&amp;DAY(C463)&amp;""'""))&gt;0,""Depositada"",if(sum(QUERY(IMPORTRANGE(""https://docs.google.com/spreadsheets/d/1ykfbEpHEAAZVCgujsGjRFJRCTULkzlWa8UjdyLzkDBM"",""BD M Sangrias!a:i""),""select Col6 whe"&amp;"re Col7 = 'Caixa Atendimento' and Col9 = '""&amp;K463&amp;""' and Col6 = ""&amp;M463&amp;"" and Col4 = date '""&amp;YEAR(C463)&amp;""-""&amp;MONTH(C463)&amp;""-""&amp;DAY(C463)&amp;""'""))&gt;0,""Caixa Atendimento"",""Caixa Sangria"")),""""),""Caixa Sangria"")"),"")</f>
        <v/>
      </c>
      <c r="M463" s="185" t="str">
        <f>IFERROR(__xludf.DUMMYFUNCTION("ifna(VALUE(REGEXEXTRACT(E463,""[0-9.]+[,]+[0-9]+"")))"),"")</f>
        <v/>
      </c>
      <c r="N463" s="185"/>
      <c r="O463" s="185"/>
      <c r="P463" s="185"/>
      <c r="Q463" s="185"/>
      <c r="R463" s="185"/>
      <c r="S463" s="185"/>
      <c r="T463" s="185"/>
      <c r="U463" s="185"/>
      <c r="V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184" t="str">
        <f>IFERROR(__xludf.DUMMYFUNCTION("ifna(IF(and(D464=""Saída"",J464=""Sangria""),if(sum(QUERY(IMPORTRANGE(""https://docs.google.com/spreadsheets/d/1ykfbEpHEAAZVCgujsGjRFJRCTULkzlWa8UjdyLzkDBM"",""BD M Sangrias!a:i""),""select Col6 where Col7 = 'Depositada' and Col9 = '""&amp;K464&amp;""' and Col6 ="&amp;" ""&amp;M464&amp;"" and Col4 = date '""&amp;YEAR(C464)&amp;""-""&amp;MONTH(C464)&amp;""-""&amp;DAY(C464)&amp;""'""))&gt;0,""Depositada"",if(sum(QUERY(IMPORTRANGE(""https://docs.google.com/spreadsheets/d/1ykfbEpHEAAZVCgujsGjRFJRCTULkzlWa8UjdyLzkDBM"",""BD M Sangrias!a:i""),""select Col6 whe"&amp;"re Col7 = 'Caixa Atendimento' and Col9 = '""&amp;K464&amp;""' and Col6 = ""&amp;M464&amp;"" and Col4 = date '""&amp;YEAR(C464)&amp;""-""&amp;MONTH(C464)&amp;""-""&amp;DAY(C464)&amp;""'""))&gt;0,""Caixa Atendimento"",""Caixa Sangria"")),""""),""Caixa Sangria"")"),"")</f>
        <v/>
      </c>
      <c r="M464" s="185" t="str">
        <f>IFERROR(__xludf.DUMMYFUNCTION("ifna(VALUE(REGEXEXTRACT(E464,""[0-9.]+[,]+[0-9]+"")))"),"")</f>
        <v/>
      </c>
      <c r="N464" s="185"/>
      <c r="O464" s="185"/>
      <c r="P464" s="185"/>
      <c r="Q464" s="185"/>
      <c r="R464" s="185"/>
      <c r="S464" s="185"/>
      <c r="T464" s="185"/>
      <c r="U464" s="185"/>
      <c r="V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184" t="str">
        <f>IFERROR(__xludf.DUMMYFUNCTION("ifna(IF(and(D465=""Saída"",J465=""Sangria""),if(sum(QUERY(IMPORTRANGE(""https://docs.google.com/spreadsheets/d/1ykfbEpHEAAZVCgujsGjRFJRCTULkzlWa8UjdyLzkDBM"",""BD M Sangrias!a:i""),""select Col6 where Col7 = 'Depositada' and Col9 = '""&amp;K465&amp;""' and Col6 ="&amp;" ""&amp;M465&amp;"" and Col4 = date '""&amp;YEAR(C465)&amp;""-""&amp;MONTH(C465)&amp;""-""&amp;DAY(C465)&amp;""'""))&gt;0,""Depositada"",if(sum(QUERY(IMPORTRANGE(""https://docs.google.com/spreadsheets/d/1ykfbEpHEAAZVCgujsGjRFJRCTULkzlWa8UjdyLzkDBM"",""BD M Sangrias!a:i""),""select Col6 whe"&amp;"re Col7 = 'Caixa Atendimento' and Col9 = '""&amp;K465&amp;""' and Col6 = ""&amp;M465&amp;"" and Col4 = date '""&amp;YEAR(C465)&amp;""-""&amp;MONTH(C465)&amp;""-""&amp;DAY(C465)&amp;""'""))&gt;0,""Caixa Atendimento"",""Caixa Sangria"")),""""),""Caixa Sangria"")"),"")</f>
        <v/>
      </c>
      <c r="M465" s="185" t="str">
        <f>IFERROR(__xludf.DUMMYFUNCTION("ifna(VALUE(REGEXEXTRACT(E465,""[0-9.]+[,]+[0-9]+"")))"),"")</f>
        <v/>
      </c>
      <c r="N465" s="185"/>
      <c r="O465" s="185"/>
      <c r="P465" s="185"/>
      <c r="Q465" s="185"/>
      <c r="R465" s="185"/>
      <c r="S465" s="185"/>
      <c r="T465" s="185"/>
      <c r="U465" s="185"/>
      <c r="V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184" t="str">
        <f>IFERROR(__xludf.DUMMYFUNCTION("ifna(IF(and(D466=""Saída"",J466=""Sangria""),if(sum(QUERY(IMPORTRANGE(""https://docs.google.com/spreadsheets/d/1ykfbEpHEAAZVCgujsGjRFJRCTULkzlWa8UjdyLzkDBM"",""BD M Sangrias!a:i""),""select Col6 where Col7 = 'Depositada' and Col9 = '""&amp;K466&amp;""' and Col6 ="&amp;" ""&amp;M466&amp;"" and Col4 = date '""&amp;YEAR(C466)&amp;""-""&amp;MONTH(C466)&amp;""-""&amp;DAY(C466)&amp;""'""))&gt;0,""Depositada"",if(sum(QUERY(IMPORTRANGE(""https://docs.google.com/spreadsheets/d/1ykfbEpHEAAZVCgujsGjRFJRCTULkzlWa8UjdyLzkDBM"",""BD M Sangrias!a:i""),""select Col6 whe"&amp;"re Col7 = 'Caixa Atendimento' and Col9 = '""&amp;K466&amp;""' and Col6 = ""&amp;M466&amp;"" and Col4 = date '""&amp;YEAR(C466)&amp;""-""&amp;MONTH(C466)&amp;""-""&amp;DAY(C466)&amp;""'""))&gt;0,""Caixa Atendimento"",""Caixa Sangria"")),""""),""Caixa Sangria"")"),"")</f>
        <v/>
      </c>
      <c r="M466" s="185" t="str">
        <f>IFERROR(__xludf.DUMMYFUNCTION("ifna(VALUE(REGEXEXTRACT(E466,""[0-9.]+[,]+[0-9]+"")))"),"")</f>
        <v/>
      </c>
      <c r="N466" s="185"/>
      <c r="O466" s="185"/>
      <c r="P466" s="185"/>
      <c r="Q466" s="185"/>
      <c r="R466" s="185"/>
      <c r="S466" s="185"/>
      <c r="T466" s="185"/>
      <c r="U466" s="185"/>
      <c r="V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184" t="str">
        <f>IFERROR(__xludf.DUMMYFUNCTION("ifna(IF(and(D467=""Saída"",J467=""Sangria""),if(sum(QUERY(IMPORTRANGE(""https://docs.google.com/spreadsheets/d/1ykfbEpHEAAZVCgujsGjRFJRCTULkzlWa8UjdyLzkDBM"",""BD M Sangrias!a:i""),""select Col6 where Col7 = 'Depositada' and Col9 = '""&amp;K467&amp;""' and Col6 ="&amp;" ""&amp;M467&amp;"" and Col4 = date '""&amp;YEAR(C467)&amp;""-""&amp;MONTH(C467)&amp;""-""&amp;DAY(C467)&amp;""'""))&gt;0,""Depositada"",if(sum(QUERY(IMPORTRANGE(""https://docs.google.com/spreadsheets/d/1ykfbEpHEAAZVCgujsGjRFJRCTULkzlWa8UjdyLzkDBM"",""BD M Sangrias!a:i""),""select Col6 whe"&amp;"re Col7 = 'Caixa Atendimento' and Col9 = '""&amp;K467&amp;""' and Col6 = ""&amp;M467&amp;"" and Col4 = date '""&amp;YEAR(C467)&amp;""-""&amp;MONTH(C467)&amp;""-""&amp;DAY(C467)&amp;""'""))&gt;0,""Caixa Atendimento"",""Caixa Sangria"")),""""),""Caixa Sangria"")"),"")</f>
        <v/>
      </c>
      <c r="M467" s="185" t="str">
        <f>IFERROR(__xludf.DUMMYFUNCTION("ifna(VALUE(REGEXEXTRACT(E467,""[0-9.]+[,]+[0-9]+"")))"),"")</f>
        <v/>
      </c>
      <c r="N467" s="185"/>
      <c r="O467" s="185"/>
      <c r="P467" s="185"/>
      <c r="Q467" s="185"/>
      <c r="R467" s="185"/>
      <c r="S467" s="185"/>
      <c r="T467" s="185"/>
      <c r="U467" s="185"/>
      <c r="V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184" t="str">
        <f>IFERROR(__xludf.DUMMYFUNCTION("ifna(IF(and(D468=""Saída"",J468=""Sangria""),if(sum(QUERY(IMPORTRANGE(""https://docs.google.com/spreadsheets/d/1ykfbEpHEAAZVCgujsGjRFJRCTULkzlWa8UjdyLzkDBM"",""BD M Sangrias!a:i""),""select Col6 where Col7 = 'Depositada' and Col9 = '""&amp;K468&amp;""' and Col6 ="&amp;" ""&amp;M468&amp;"" and Col4 = date '""&amp;YEAR(C468)&amp;""-""&amp;MONTH(C468)&amp;""-""&amp;DAY(C468)&amp;""'""))&gt;0,""Depositada"",if(sum(QUERY(IMPORTRANGE(""https://docs.google.com/spreadsheets/d/1ykfbEpHEAAZVCgujsGjRFJRCTULkzlWa8UjdyLzkDBM"",""BD M Sangrias!a:i""),""select Col6 whe"&amp;"re Col7 = 'Caixa Atendimento' and Col9 = '""&amp;K468&amp;""' and Col6 = ""&amp;M468&amp;"" and Col4 = date '""&amp;YEAR(C468)&amp;""-""&amp;MONTH(C468)&amp;""-""&amp;DAY(C468)&amp;""'""))&gt;0,""Caixa Atendimento"",""Caixa Sangria"")),""""),""Caixa Sangria"")"),"")</f>
        <v/>
      </c>
      <c r="M468" s="185" t="str">
        <f>IFERROR(__xludf.DUMMYFUNCTION("ifna(VALUE(REGEXEXTRACT(E468,""[0-9.]+[,]+[0-9]+"")))"),"")</f>
        <v/>
      </c>
      <c r="N468" s="185"/>
      <c r="O468" s="185"/>
      <c r="P468" s="185"/>
      <c r="Q468" s="185"/>
      <c r="R468" s="185"/>
      <c r="S468" s="185"/>
      <c r="T468" s="185"/>
      <c r="U468" s="185"/>
      <c r="V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184" t="str">
        <f>IFERROR(__xludf.DUMMYFUNCTION("ifna(IF(and(D469=""Saída"",J469=""Sangria""),if(sum(QUERY(IMPORTRANGE(""https://docs.google.com/spreadsheets/d/1ykfbEpHEAAZVCgujsGjRFJRCTULkzlWa8UjdyLzkDBM"",""BD M Sangrias!a:i""),""select Col6 where Col7 = 'Depositada' and Col9 = '""&amp;K469&amp;""' and Col6 ="&amp;" ""&amp;M469&amp;"" and Col4 = date '""&amp;YEAR(C469)&amp;""-""&amp;MONTH(C469)&amp;""-""&amp;DAY(C469)&amp;""'""))&gt;0,""Depositada"",if(sum(QUERY(IMPORTRANGE(""https://docs.google.com/spreadsheets/d/1ykfbEpHEAAZVCgujsGjRFJRCTULkzlWa8UjdyLzkDBM"",""BD M Sangrias!a:i""),""select Col6 whe"&amp;"re Col7 = 'Caixa Atendimento' and Col9 = '""&amp;K469&amp;""' and Col6 = ""&amp;M469&amp;"" and Col4 = date '""&amp;YEAR(C469)&amp;""-""&amp;MONTH(C469)&amp;""-""&amp;DAY(C469)&amp;""'""))&gt;0,""Caixa Atendimento"",""Caixa Sangria"")),""""),""Caixa Sangria"")"),"")</f>
        <v/>
      </c>
      <c r="M469" s="185" t="str">
        <f>IFERROR(__xludf.DUMMYFUNCTION("ifna(VALUE(REGEXEXTRACT(E469,""[0-9.]+[,]+[0-9]+"")))"),"")</f>
        <v/>
      </c>
      <c r="N469" s="185"/>
      <c r="O469" s="185"/>
      <c r="P469" s="185"/>
      <c r="Q469" s="185"/>
      <c r="R469" s="185"/>
      <c r="S469" s="185"/>
      <c r="T469" s="185"/>
      <c r="U469" s="185"/>
      <c r="V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184" t="str">
        <f>IFERROR(__xludf.DUMMYFUNCTION("ifna(IF(and(D470=""Saída"",J470=""Sangria""),if(sum(QUERY(IMPORTRANGE(""https://docs.google.com/spreadsheets/d/1ykfbEpHEAAZVCgujsGjRFJRCTULkzlWa8UjdyLzkDBM"",""BD M Sangrias!a:i""),""select Col6 where Col7 = 'Depositada' and Col9 = '""&amp;K470&amp;""' and Col6 ="&amp;" ""&amp;M470&amp;"" and Col4 = date '""&amp;YEAR(C470)&amp;""-""&amp;MONTH(C470)&amp;""-""&amp;DAY(C470)&amp;""'""))&gt;0,""Depositada"",if(sum(QUERY(IMPORTRANGE(""https://docs.google.com/spreadsheets/d/1ykfbEpHEAAZVCgujsGjRFJRCTULkzlWa8UjdyLzkDBM"",""BD M Sangrias!a:i""),""select Col6 whe"&amp;"re Col7 = 'Caixa Atendimento' and Col9 = '""&amp;K470&amp;""' and Col6 = ""&amp;M470&amp;"" and Col4 = date '""&amp;YEAR(C470)&amp;""-""&amp;MONTH(C470)&amp;""-""&amp;DAY(C470)&amp;""'""))&gt;0,""Caixa Atendimento"",""Caixa Sangria"")),""""),""Caixa Sangria"")"),"")</f>
        <v/>
      </c>
      <c r="M470" s="185" t="str">
        <f>IFERROR(__xludf.DUMMYFUNCTION("ifna(VALUE(REGEXEXTRACT(E470,""[0-9.]+[,]+[0-9]+"")))"),"")</f>
        <v/>
      </c>
      <c r="N470" s="185"/>
      <c r="O470" s="185"/>
      <c r="P470" s="185"/>
      <c r="Q470" s="185"/>
      <c r="R470" s="185"/>
      <c r="S470" s="185"/>
      <c r="T470" s="185"/>
      <c r="U470" s="185"/>
      <c r="V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184" t="str">
        <f>IFERROR(__xludf.DUMMYFUNCTION("ifna(IF(and(D471=""Saída"",J471=""Sangria""),if(sum(QUERY(IMPORTRANGE(""https://docs.google.com/spreadsheets/d/1ykfbEpHEAAZVCgujsGjRFJRCTULkzlWa8UjdyLzkDBM"",""BD M Sangrias!a:i""),""select Col6 where Col7 = 'Depositada' and Col9 = '""&amp;K471&amp;""' and Col6 ="&amp;" ""&amp;M471&amp;"" and Col4 = date '""&amp;YEAR(C471)&amp;""-""&amp;MONTH(C471)&amp;""-""&amp;DAY(C471)&amp;""'""))&gt;0,""Depositada"",if(sum(QUERY(IMPORTRANGE(""https://docs.google.com/spreadsheets/d/1ykfbEpHEAAZVCgujsGjRFJRCTULkzlWa8UjdyLzkDBM"",""BD M Sangrias!a:i""),""select Col6 whe"&amp;"re Col7 = 'Caixa Atendimento' and Col9 = '""&amp;K471&amp;""' and Col6 = ""&amp;M471&amp;"" and Col4 = date '""&amp;YEAR(C471)&amp;""-""&amp;MONTH(C471)&amp;""-""&amp;DAY(C471)&amp;""'""))&gt;0,""Caixa Atendimento"",""Caixa Sangria"")),""""),""Caixa Sangria"")"),"")</f>
        <v/>
      </c>
      <c r="M471" s="185" t="str">
        <f>IFERROR(__xludf.DUMMYFUNCTION("ifna(VALUE(REGEXEXTRACT(E471,""[0-9.]+[,]+[0-9]+"")))"),"")</f>
        <v/>
      </c>
      <c r="N471" s="185"/>
      <c r="O471" s="185"/>
      <c r="P471" s="185"/>
      <c r="Q471" s="185"/>
      <c r="R471" s="185"/>
      <c r="S471" s="185"/>
      <c r="T471" s="185"/>
      <c r="U471" s="185"/>
      <c r="V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184" t="str">
        <f>IFERROR(__xludf.DUMMYFUNCTION("ifna(IF(and(D472=""Saída"",J472=""Sangria""),if(sum(QUERY(IMPORTRANGE(""https://docs.google.com/spreadsheets/d/1ykfbEpHEAAZVCgujsGjRFJRCTULkzlWa8UjdyLzkDBM"",""BD M Sangrias!a:i""),""select Col6 where Col7 = 'Depositada' and Col9 = '""&amp;K472&amp;""' and Col6 ="&amp;" ""&amp;M472&amp;"" and Col4 = date '""&amp;YEAR(C472)&amp;""-""&amp;MONTH(C472)&amp;""-""&amp;DAY(C472)&amp;""'""))&gt;0,""Depositada"",if(sum(QUERY(IMPORTRANGE(""https://docs.google.com/spreadsheets/d/1ykfbEpHEAAZVCgujsGjRFJRCTULkzlWa8UjdyLzkDBM"",""BD M Sangrias!a:i""),""select Col6 whe"&amp;"re Col7 = 'Caixa Atendimento' and Col9 = '""&amp;K472&amp;""' and Col6 = ""&amp;M472&amp;"" and Col4 = date '""&amp;YEAR(C472)&amp;""-""&amp;MONTH(C472)&amp;""-""&amp;DAY(C472)&amp;""'""))&gt;0,""Caixa Atendimento"",""Caixa Sangria"")),""""),""Caixa Sangria"")"),"")</f>
        <v/>
      </c>
      <c r="M472" s="185" t="str">
        <f>IFERROR(__xludf.DUMMYFUNCTION("ifna(VALUE(REGEXEXTRACT(E472,""[0-9.]+[,]+[0-9]+"")))"),"")</f>
        <v/>
      </c>
      <c r="N472" s="185"/>
      <c r="O472" s="185"/>
      <c r="P472" s="185"/>
      <c r="Q472" s="185"/>
      <c r="R472" s="185"/>
      <c r="S472" s="185"/>
      <c r="T472" s="185"/>
      <c r="U472" s="185"/>
      <c r="V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184" t="str">
        <f>IFERROR(__xludf.DUMMYFUNCTION("ifna(IF(and(D473=""Saída"",J473=""Sangria""),if(sum(QUERY(IMPORTRANGE(""https://docs.google.com/spreadsheets/d/1ykfbEpHEAAZVCgujsGjRFJRCTULkzlWa8UjdyLzkDBM"",""BD M Sangrias!a:i""),""select Col6 where Col7 = 'Depositada' and Col9 = '""&amp;K473&amp;""' and Col6 ="&amp;" ""&amp;M473&amp;"" and Col4 = date '""&amp;YEAR(C473)&amp;""-""&amp;MONTH(C473)&amp;""-""&amp;DAY(C473)&amp;""'""))&gt;0,""Depositada"",if(sum(QUERY(IMPORTRANGE(""https://docs.google.com/spreadsheets/d/1ykfbEpHEAAZVCgujsGjRFJRCTULkzlWa8UjdyLzkDBM"",""BD M Sangrias!a:i""),""select Col6 whe"&amp;"re Col7 = 'Caixa Atendimento' and Col9 = '""&amp;K473&amp;""' and Col6 = ""&amp;M473&amp;"" and Col4 = date '""&amp;YEAR(C473)&amp;""-""&amp;MONTH(C473)&amp;""-""&amp;DAY(C473)&amp;""'""))&gt;0,""Caixa Atendimento"",""Caixa Sangria"")),""""),""Caixa Sangria"")"),"")</f>
        <v/>
      </c>
      <c r="M473" s="185" t="str">
        <f>IFERROR(__xludf.DUMMYFUNCTION("ifna(VALUE(REGEXEXTRACT(E473,""[0-9.]+[,]+[0-9]+"")))"),"")</f>
        <v/>
      </c>
      <c r="N473" s="185"/>
      <c r="O473" s="185"/>
      <c r="P473" s="185"/>
      <c r="Q473" s="185"/>
      <c r="R473" s="185"/>
      <c r="S473" s="185"/>
      <c r="T473" s="185"/>
      <c r="U473" s="185"/>
      <c r="V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184" t="str">
        <f>IFERROR(__xludf.DUMMYFUNCTION("ifna(IF(and(D474=""Saída"",J474=""Sangria""),if(sum(QUERY(IMPORTRANGE(""https://docs.google.com/spreadsheets/d/1ykfbEpHEAAZVCgujsGjRFJRCTULkzlWa8UjdyLzkDBM"",""BD M Sangrias!a:i""),""select Col6 where Col7 = 'Depositada' and Col9 = '""&amp;K474&amp;""' and Col6 ="&amp;" ""&amp;M474&amp;"" and Col4 = date '""&amp;YEAR(C474)&amp;""-""&amp;MONTH(C474)&amp;""-""&amp;DAY(C474)&amp;""'""))&gt;0,""Depositada"",if(sum(QUERY(IMPORTRANGE(""https://docs.google.com/spreadsheets/d/1ykfbEpHEAAZVCgujsGjRFJRCTULkzlWa8UjdyLzkDBM"",""BD M Sangrias!a:i""),""select Col6 whe"&amp;"re Col7 = 'Caixa Atendimento' and Col9 = '""&amp;K474&amp;""' and Col6 = ""&amp;M474&amp;"" and Col4 = date '""&amp;YEAR(C474)&amp;""-""&amp;MONTH(C474)&amp;""-""&amp;DAY(C474)&amp;""'""))&gt;0,""Caixa Atendimento"",""Caixa Sangria"")),""""),""Caixa Sangria"")"),"")</f>
        <v/>
      </c>
      <c r="M474" s="185" t="str">
        <f>IFERROR(__xludf.DUMMYFUNCTION("ifna(VALUE(REGEXEXTRACT(E474,""[0-9.]+[,]+[0-9]+"")))"),"")</f>
        <v/>
      </c>
      <c r="N474" s="185"/>
      <c r="O474" s="185"/>
      <c r="P474" s="185"/>
      <c r="Q474" s="185"/>
      <c r="R474" s="185"/>
      <c r="S474" s="185"/>
      <c r="T474" s="185"/>
      <c r="U474" s="185"/>
      <c r="V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184" t="str">
        <f>IFERROR(__xludf.DUMMYFUNCTION("ifna(IF(and(D475=""Saída"",J475=""Sangria""),if(sum(QUERY(IMPORTRANGE(""https://docs.google.com/spreadsheets/d/1ykfbEpHEAAZVCgujsGjRFJRCTULkzlWa8UjdyLzkDBM"",""BD M Sangrias!a:i""),""select Col6 where Col7 = 'Depositada' and Col9 = '""&amp;K475&amp;""' and Col6 ="&amp;" ""&amp;M475&amp;"" and Col4 = date '""&amp;YEAR(C475)&amp;""-""&amp;MONTH(C475)&amp;""-""&amp;DAY(C475)&amp;""'""))&gt;0,""Depositada"",if(sum(QUERY(IMPORTRANGE(""https://docs.google.com/spreadsheets/d/1ykfbEpHEAAZVCgujsGjRFJRCTULkzlWa8UjdyLzkDBM"",""BD M Sangrias!a:i""),""select Col6 whe"&amp;"re Col7 = 'Caixa Atendimento' and Col9 = '""&amp;K475&amp;""' and Col6 = ""&amp;M475&amp;"" and Col4 = date '""&amp;YEAR(C475)&amp;""-""&amp;MONTH(C475)&amp;""-""&amp;DAY(C475)&amp;""'""))&gt;0,""Caixa Atendimento"",""Caixa Sangria"")),""""),""Caixa Sangria"")"),"")</f>
        <v/>
      </c>
      <c r="M475" s="185" t="str">
        <f>IFERROR(__xludf.DUMMYFUNCTION("ifna(VALUE(REGEXEXTRACT(E475,""[0-9.]+[,]+[0-9]+"")))"),"")</f>
        <v/>
      </c>
      <c r="N475" s="185"/>
      <c r="O475" s="185"/>
      <c r="P475" s="185"/>
      <c r="Q475" s="185"/>
      <c r="R475" s="185"/>
      <c r="S475" s="185"/>
      <c r="T475" s="185"/>
      <c r="U475" s="185"/>
      <c r="V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184" t="str">
        <f>IFERROR(__xludf.DUMMYFUNCTION("ifna(IF(and(D476=""Saída"",J476=""Sangria""),if(sum(QUERY(IMPORTRANGE(""https://docs.google.com/spreadsheets/d/1ykfbEpHEAAZVCgujsGjRFJRCTULkzlWa8UjdyLzkDBM"",""BD M Sangrias!a:i""),""select Col6 where Col7 = 'Depositada' and Col9 = '""&amp;K476&amp;""' and Col6 ="&amp;" ""&amp;M476&amp;"" and Col4 = date '""&amp;YEAR(C476)&amp;""-""&amp;MONTH(C476)&amp;""-""&amp;DAY(C476)&amp;""'""))&gt;0,""Depositada"",if(sum(QUERY(IMPORTRANGE(""https://docs.google.com/spreadsheets/d/1ykfbEpHEAAZVCgujsGjRFJRCTULkzlWa8UjdyLzkDBM"",""BD M Sangrias!a:i""),""select Col6 whe"&amp;"re Col7 = 'Caixa Atendimento' and Col9 = '""&amp;K476&amp;""' and Col6 = ""&amp;M476&amp;"" and Col4 = date '""&amp;YEAR(C476)&amp;""-""&amp;MONTH(C476)&amp;""-""&amp;DAY(C476)&amp;""'""))&gt;0,""Caixa Atendimento"",""Caixa Sangria"")),""""),""Caixa Sangria"")"),"")</f>
        <v/>
      </c>
      <c r="M476" s="185" t="str">
        <f>IFERROR(__xludf.DUMMYFUNCTION("ifna(VALUE(REGEXEXTRACT(E476,""[0-9.]+[,]+[0-9]+"")))"),"")</f>
        <v/>
      </c>
      <c r="N476" s="185"/>
      <c r="O476" s="185"/>
      <c r="P476" s="185"/>
      <c r="Q476" s="185"/>
      <c r="R476" s="185"/>
      <c r="S476" s="185"/>
      <c r="T476" s="185"/>
      <c r="U476" s="185"/>
      <c r="V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184" t="str">
        <f>IFERROR(__xludf.DUMMYFUNCTION("ifna(IF(and(D477=""Saída"",J477=""Sangria""),if(sum(QUERY(IMPORTRANGE(""https://docs.google.com/spreadsheets/d/1ykfbEpHEAAZVCgujsGjRFJRCTULkzlWa8UjdyLzkDBM"",""BD M Sangrias!a:i""),""select Col6 where Col7 = 'Depositada' and Col9 = '""&amp;K477&amp;""' and Col6 ="&amp;" ""&amp;M477&amp;"" and Col4 = date '""&amp;YEAR(C477)&amp;""-""&amp;MONTH(C477)&amp;""-""&amp;DAY(C477)&amp;""'""))&gt;0,""Depositada"",if(sum(QUERY(IMPORTRANGE(""https://docs.google.com/spreadsheets/d/1ykfbEpHEAAZVCgujsGjRFJRCTULkzlWa8UjdyLzkDBM"",""BD M Sangrias!a:i""),""select Col6 whe"&amp;"re Col7 = 'Caixa Atendimento' and Col9 = '""&amp;K477&amp;""' and Col6 = ""&amp;M477&amp;"" and Col4 = date '""&amp;YEAR(C477)&amp;""-""&amp;MONTH(C477)&amp;""-""&amp;DAY(C477)&amp;""'""))&gt;0,""Caixa Atendimento"",""Caixa Sangria"")),""""),""Caixa Sangria"")"),"")</f>
        <v/>
      </c>
      <c r="M477" s="185" t="str">
        <f>IFERROR(__xludf.DUMMYFUNCTION("ifna(VALUE(REGEXEXTRACT(E477,""[0-9.]+[,]+[0-9]+"")))"),"")</f>
        <v/>
      </c>
      <c r="N477" s="185"/>
      <c r="O477" s="185"/>
      <c r="P477" s="185"/>
      <c r="Q477" s="185"/>
      <c r="R477" s="185"/>
      <c r="S477" s="185"/>
      <c r="T477" s="185"/>
      <c r="U477" s="185"/>
      <c r="V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184" t="str">
        <f>IFERROR(__xludf.DUMMYFUNCTION("ifna(IF(and(D478=""Saída"",J478=""Sangria""),if(sum(QUERY(IMPORTRANGE(""https://docs.google.com/spreadsheets/d/1ykfbEpHEAAZVCgujsGjRFJRCTULkzlWa8UjdyLzkDBM"",""BD M Sangrias!a:i""),""select Col6 where Col7 = 'Depositada' and Col9 = '""&amp;K478&amp;""' and Col6 ="&amp;" ""&amp;M478&amp;"" and Col4 = date '""&amp;YEAR(C478)&amp;""-""&amp;MONTH(C478)&amp;""-""&amp;DAY(C478)&amp;""'""))&gt;0,""Depositada"",if(sum(QUERY(IMPORTRANGE(""https://docs.google.com/spreadsheets/d/1ykfbEpHEAAZVCgujsGjRFJRCTULkzlWa8UjdyLzkDBM"",""BD M Sangrias!a:i""),""select Col6 whe"&amp;"re Col7 = 'Caixa Atendimento' and Col9 = '""&amp;K478&amp;""' and Col6 = ""&amp;M478&amp;"" and Col4 = date '""&amp;YEAR(C478)&amp;""-""&amp;MONTH(C478)&amp;""-""&amp;DAY(C478)&amp;""'""))&gt;0,""Caixa Atendimento"",""Caixa Sangria"")),""""),""Caixa Sangria"")"),"")</f>
        <v/>
      </c>
      <c r="M478" s="185" t="str">
        <f>IFERROR(__xludf.DUMMYFUNCTION("ifna(VALUE(REGEXEXTRACT(E478,""[0-9.]+[,]+[0-9]+"")))"),"")</f>
        <v/>
      </c>
      <c r="N478" s="185"/>
      <c r="O478" s="185"/>
      <c r="P478" s="185"/>
      <c r="Q478" s="185"/>
      <c r="R478" s="185"/>
      <c r="S478" s="185"/>
      <c r="T478" s="185"/>
      <c r="U478" s="185"/>
      <c r="V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184" t="str">
        <f>IFERROR(__xludf.DUMMYFUNCTION("ifna(IF(and(D479=""Saída"",J479=""Sangria""),if(sum(QUERY(IMPORTRANGE(""https://docs.google.com/spreadsheets/d/1ykfbEpHEAAZVCgujsGjRFJRCTULkzlWa8UjdyLzkDBM"",""BD M Sangrias!a:i""),""select Col6 where Col7 = 'Depositada' and Col9 = '""&amp;K479&amp;""' and Col6 ="&amp;" ""&amp;M479&amp;"" and Col4 = date '""&amp;YEAR(C479)&amp;""-""&amp;MONTH(C479)&amp;""-""&amp;DAY(C479)&amp;""'""))&gt;0,""Depositada"",if(sum(QUERY(IMPORTRANGE(""https://docs.google.com/spreadsheets/d/1ykfbEpHEAAZVCgujsGjRFJRCTULkzlWa8UjdyLzkDBM"",""BD M Sangrias!a:i""),""select Col6 whe"&amp;"re Col7 = 'Caixa Atendimento' and Col9 = '""&amp;K479&amp;""' and Col6 = ""&amp;M479&amp;"" and Col4 = date '""&amp;YEAR(C479)&amp;""-""&amp;MONTH(C479)&amp;""-""&amp;DAY(C479)&amp;""'""))&gt;0,""Caixa Atendimento"",""Caixa Sangria"")),""""),""Caixa Sangria"")"),"")</f>
        <v/>
      </c>
      <c r="M479" s="185" t="str">
        <f>IFERROR(__xludf.DUMMYFUNCTION("ifna(VALUE(REGEXEXTRACT(E479,""[0-9.]+[,]+[0-9]+"")))"),"")</f>
        <v/>
      </c>
      <c r="N479" s="185"/>
      <c r="O479" s="185"/>
      <c r="P479" s="185"/>
      <c r="Q479" s="185"/>
      <c r="R479" s="185"/>
      <c r="S479" s="185"/>
      <c r="T479" s="185"/>
      <c r="U479" s="185"/>
      <c r="V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184" t="str">
        <f>IFERROR(__xludf.DUMMYFUNCTION("ifna(IF(and(D480=""Saída"",J480=""Sangria""),if(sum(QUERY(IMPORTRANGE(""https://docs.google.com/spreadsheets/d/1ykfbEpHEAAZVCgujsGjRFJRCTULkzlWa8UjdyLzkDBM"",""BD M Sangrias!a:i""),""select Col6 where Col7 = 'Depositada' and Col9 = '""&amp;K480&amp;""' and Col6 ="&amp;" ""&amp;M480&amp;"" and Col4 = date '""&amp;YEAR(C480)&amp;""-""&amp;MONTH(C480)&amp;""-""&amp;DAY(C480)&amp;""'""))&gt;0,""Depositada"",if(sum(QUERY(IMPORTRANGE(""https://docs.google.com/spreadsheets/d/1ykfbEpHEAAZVCgujsGjRFJRCTULkzlWa8UjdyLzkDBM"",""BD M Sangrias!a:i""),""select Col6 whe"&amp;"re Col7 = 'Caixa Atendimento' and Col9 = '""&amp;K480&amp;""' and Col6 = ""&amp;M480&amp;"" and Col4 = date '""&amp;YEAR(C480)&amp;""-""&amp;MONTH(C480)&amp;""-""&amp;DAY(C480)&amp;""'""))&gt;0,""Caixa Atendimento"",""Caixa Sangria"")),""""),""Caixa Sangria"")"),"")</f>
        <v/>
      </c>
      <c r="M480" s="185" t="str">
        <f>IFERROR(__xludf.DUMMYFUNCTION("ifna(VALUE(REGEXEXTRACT(E480,""[0-9.]+[,]+[0-9]+"")))"),"")</f>
        <v/>
      </c>
      <c r="N480" s="185"/>
      <c r="O480" s="185"/>
      <c r="P480" s="185"/>
      <c r="Q480" s="185"/>
      <c r="R480" s="185"/>
      <c r="S480" s="185"/>
      <c r="T480" s="185"/>
      <c r="U480" s="185"/>
      <c r="V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184" t="str">
        <f>IFERROR(__xludf.DUMMYFUNCTION("ifna(IF(and(D481=""Saída"",J481=""Sangria""),if(sum(QUERY(IMPORTRANGE(""https://docs.google.com/spreadsheets/d/1ykfbEpHEAAZVCgujsGjRFJRCTULkzlWa8UjdyLzkDBM"",""BD M Sangrias!a:i""),""select Col6 where Col7 = 'Depositada' and Col9 = '""&amp;K481&amp;""' and Col6 ="&amp;" ""&amp;M481&amp;"" and Col4 = date '""&amp;YEAR(C481)&amp;""-""&amp;MONTH(C481)&amp;""-""&amp;DAY(C481)&amp;""'""))&gt;0,""Depositada"",if(sum(QUERY(IMPORTRANGE(""https://docs.google.com/spreadsheets/d/1ykfbEpHEAAZVCgujsGjRFJRCTULkzlWa8UjdyLzkDBM"",""BD M Sangrias!a:i""),""select Col6 whe"&amp;"re Col7 = 'Caixa Atendimento' and Col9 = '""&amp;K481&amp;""' and Col6 = ""&amp;M481&amp;"" and Col4 = date '""&amp;YEAR(C481)&amp;""-""&amp;MONTH(C481)&amp;""-""&amp;DAY(C481)&amp;""'""))&gt;0,""Caixa Atendimento"",""Caixa Sangria"")),""""),""Caixa Sangria"")"),"")</f>
        <v/>
      </c>
      <c r="M481" s="185" t="str">
        <f>IFERROR(__xludf.DUMMYFUNCTION("ifna(VALUE(REGEXEXTRACT(E481,""[0-9.]+[,]+[0-9]+"")))"),"")</f>
        <v/>
      </c>
      <c r="N481" s="185"/>
      <c r="O481" s="185"/>
      <c r="P481" s="185"/>
      <c r="Q481" s="185"/>
      <c r="R481" s="185"/>
      <c r="S481" s="185"/>
      <c r="T481" s="185"/>
      <c r="U481" s="185"/>
      <c r="V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184" t="str">
        <f>IFERROR(__xludf.DUMMYFUNCTION("ifna(IF(and(D482=""Saída"",J482=""Sangria""),if(sum(QUERY(IMPORTRANGE(""https://docs.google.com/spreadsheets/d/1ykfbEpHEAAZVCgujsGjRFJRCTULkzlWa8UjdyLzkDBM"",""BD M Sangrias!a:i""),""select Col6 where Col7 = 'Depositada' and Col9 = '""&amp;K482&amp;""' and Col6 ="&amp;" ""&amp;M482&amp;"" and Col4 = date '""&amp;YEAR(C482)&amp;""-""&amp;MONTH(C482)&amp;""-""&amp;DAY(C482)&amp;""'""))&gt;0,""Depositada"",if(sum(QUERY(IMPORTRANGE(""https://docs.google.com/spreadsheets/d/1ykfbEpHEAAZVCgujsGjRFJRCTULkzlWa8UjdyLzkDBM"",""BD M Sangrias!a:i""),""select Col6 whe"&amp;"re Col7 = 'Caixa Atendimento' and Col9 = '""&amp;K482&amp;""' and Col6 = ""&amp;M482&amp;"" and Col4 = date '""&amp;YEAR(C482)&amp;""-""&amp;MONTH(C482)&amp;""-""&amp;DAY(C482)&amp;""'""))&gt;0,""Caixa Atendimento"",""Caixa Sangria"")),""""),""Caixa Sangria"")"),"")</f>
        <v/>
      </c>
      <c r="M482" s="185" t="str">
        <f>IFERROR(__xludf.DUMMYFUNCTION("ifna(VALUE(REGEXEXTRACT(E482,""[0-9.]+[,]+[0-9]+"")))"),"")</f>
        <v/>
      </c>
      <c r="N482" s="185"/>
      <c r="O482" s="185"/>
      <c r="P482" s="185"/>
      <c r="Q482" s="185"/>
      <c r="R482" s="185"/>
      <c r="S482" s="185"/>
      <c r="T482" s="185"/>
      <c r="U482" s="185"/>
      <c r="V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184" t="str">
        <f>IFERROR(__xludf.DUMMYFUNCTION("ifna(IF(and(D483=""Saída"",J483=""Sangria""),if(sum(QUERY(IMPORTRANGE(""https://docs.google.com/spreadsheets/d/1ykfbEpHEAAZVCgujsGjRFJRCTULkzlWa8UjdyLzkDBM"",""BD M Sangrias!a:i""),""select Col6 where Col7 = 'Depositada' and Col9 = '""&amp;K483&amp;""' and Col6 ="&amp;" ""&amp;M483&amp;"" and Col4 = date '""&amp;YEAR(C483)&amp;""-""&amp;MONTH(C483)&amp;""-""&amp;DAY(C483)&amp;""'""))&gt;0,""Depositada"",if(sum(QUERY(IMPORTRANGE(""https://docs.google.com/spreadsheets/d/1ykfbEpHEAAZVCgujsGjRFJRCTULkzlWa8UjdyLzkDBM"",""BD M Sangrias!a:i""),""select Col6 whe"&amp;"re Col7 = 'Caixa Atendimento' and Col9 = '""&amp;K483&amp;""' and Col6 = ""&amp;M483&amp;"" and Col4 = date '""&amp;YEAR(C483)&amp;""-""&amp;MONTH(C483)&amp;""-""&amp;DAY(C483)&amp;""'""))&gt;0,""Caixa Atendimento"",""Caixa Sangria"")),""""),""Caixa Sangria"")"),"")</f>
        <v/>
      </c>
      <c r="M483" s="185" t="str">
        <f>IFERROR(__xludf.DUMMYFUNCTION("ifna(VALUE(REGEXEXTRACT(E483,""[0-9.]+[,]+[0-9]+"")))"),"")</f>
        <v/>
      </c>
      <c r="N483" s="185"/>
      <c r="O483" s="185"/>
      <c r="P483" s="185"/>
      <c r="Q483" s="185"/>
      <c r="R483" s="185"/>
      <c r="S483" s="185"/>
      <c r="T483" s="185"/>
      <c r="U483" s="185"/>
      <c r="V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184" t="str">
        <f>IFERROR(__xludf.DUMMYFUNCTION("ifna(IF(and(D484=""Saída"",J484=""Sangria""),if(sum(QUERY(IMPORTRANGE(""https://docs.google.com/spreadsheets/d/1ykfbEpHEAAZVCgujsGjRFJRCTULkzlWa8UjdyLzkDBM"",""BD M Sangrias!a:i""),""select Col6 where Col7 = 'Depositada' and Col9 = '""&amp;K484&amp;""' and Col6 ="&amp;" ""&amp;M484&amp;"" and Col4 = date '""&amp;YEAR(C484)&amp;""-""&amp;MONTH(C484)&amp;""-""&amp;DAY(C484)&amp;""'""))&gt;0,""Depositada"",if(sum(QUERY(IMPORTRANGE(""https://docs.google.com/spreadsheets/d/1ykfbEpHEAAZVCgujsGjRFJRCTULkzlWa8UjdyLzkDBM"",""BD M Sangrias!a:i""),""select Col6 whe"&amp;"re Col7 = 'Caixa Atendimento' and Col9 = '""&amp;K484&amp;""' and Col6 = ""&amp;M484&amp;"" and Col4 = date '""&amp;YEAR(C484)&amp;""-""&amp;MONTH(C484)&amp;""-""&amp;DAY(C484)&amp;""'""))&gt;0,""Caixa Atendimento"",""Caixa Sangria"")),""""),""Caixa Sangria"")"),"")</f>
        <v/>
      </c>
      <c r="M484" s="185" t="str">
        <f>IFERROR(__xludf.DUMMYFUNCTION("ifna(VALUE(REGEXEXTRACT(E484,""[0-9.]+[,]+[0-9]+"")))"),"")</f>
        <v/>
      </c>
      <c r="N484" s="185"/>
      <c r="O484" s="185"/>
      <c r="P484" s="185"/>
      <c r="Q484" s="185"/>
      <c r="R484" s="185"/>
      <c r="S484" s="185"/>
      <c r="T484" s="185"/>
      <c r="U484" s="185"/>
      <c r="V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184" t="str">
        <f>IFERROR(__xludf.DUMMYFUNCTION("ifna(IF(and(D485=""Saída"",J485=""Sangria""),if(sum(QUERY(IMPORTRANGE(""https://docs.google.com/spreadsheets/d/1ykfbEpHEAAZVCgujsGjRFJRCTULkzlWa8UjdyLzkDBM"",""BD M Sangrias!a:i""),""select Col6 where Col7 = 'Depositada' and Col9 = '""&amp;K485&amp;""' and Col6 ="&amp;" ""&amp;M485&amp;"" and Col4 = date '""&amp;YEAR(C485)&amp;""-""&amp;MONTH(C485)&amp;""-""&amp;DAY(C485)&amp;""'""))&gt;0,""Depositada"",if(sum(QUERY(IMPORTRANGE(""https://docs.google.com/spreadsheets/d/1ykfbEpHEAAZVCgujsGjRFJRCTULkzlWa8UjdyLzkDBM"",""BD M Sangrias!a:i""),""select Col6 whe"&amp;"re Col7 = 'Caixa Atendimento' and Col9 = '""&amp;K485&amp;""' and Col6 = ""&amp;M485&amp;"" and Col4 = date '""&amp;YEAR(C485)&amp;""-""&amp;MONTH(C485)&amp;""-""&amp;DAY(C485)&amp;""'""))&gt;0,""Caixa Atendimento"",""Caixa Sangria"")),""""),""Caixa Sangria"")"),"")</f>
        <v/>
      </c>
      <c r="M485" s="185" t="str">
        <f>IFERROR(__xludf.DUMMYFUNCTION("ifna(VALUE(REGEXEXTRACT(E485,""[0-9.]+[,]+[0-9]+"")))"),"")</f>
        <v/>
      </c>
      <c r="N485" s="185"/>
      <c r="O485" s="185"/>
      <c r="P485" s="185"/>
      <c r="Q485" s="185"/>
      <c r="R485" s="185"/>
      <c r="S485" s="185"/>
      <c r="T485" s="185"/>
      <c r="U485" s="185"/>
      <c r="V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184" t="str">
        <f>IFERROR(__xludf.DUMMYFUNCTION("ifna(IF(and(D486=""Saída"",J486=""Sangria""),if(sum(QUERY(IMPORTRANGE(""https://docs.google.com/spreadsheets/d/1ykfbEpHEAAZVCgujsGjRFJRCTULkzlWa8UjdyLzkDBM"",""BD M Sangrias!a:i""),""select Col6 where Col7 = 'Depositada' and Col9 = '""&amp;K486&amp;""' and Col6 ="&amp;" ""&amp;M486&amp;"" and Col4 = date '""&amp;YEAR(C486)&amp;""-""&amp;MONTH(C486)&amp;""-""&amp;DAY(C486)&amp;""'""))&gt;0,""Depositada"",if(sum(QUERY(IMPORTRANGE(""https://docs.google.com/spreadsheets/d/1ykfbEpHEAAZVCgujsGjRFJRCTULkzlWa8UjdyLzkDBM"",""BD M Sangrias!a:i""),""select Col6 whe"&amp;"re Col7 = 'Caixa Atendimento' and Col9 = '""&amp;K486&amp;""' and Col6 = ""&amp;M486&amp;"" and Col4 = date '""&amp;YEAR(C486)&amp;""-""&amp;MONTH(C486)&amp;""-""&amp;DAY(C486)&amp;""'""))&gt;0,""Caixa Atendimento"",""Caixa Sangria"")),""""),""Caixa Sangria"")"),"")</f>
        <v/>
      </c>
      <c r="M486" s="185" t="str">
        <f>IFERROR(__xludf.DUMMYFUNCTION("ifna(VALUE(REGEXEXTRACT(E486,""[0-9.]+[,]+[0-9]+"")))"),"")</f>
        <v/>
      </c>
      <c r="N486" s="185"/>
      <c r="O486" s="185"/>
      <c r="P486" s="185"/>
      <c r="Q486" s="185"/>
      <c r="R486" s="185"/>
      <c r="S486" s="185"/>
      <c r="T486" s="185"/>
      <c r="U486" s="185"/>
      <c r="V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184" t="str">
        <f>IFERROR(__xludf.DUMMYFUNCTION("ifna(IF(and(D487=""Saída"",J487=""Sangria""),if(sum(QUERY(IMPORTRANGE(""https://docs.google.com/spreadsheets/d/1ykfbEpHEAAZVCgujsGjRFJRCTULkzlWa8UjdyLzkDBM"",""BD M Sangrias!a:i""),""select Col6 where Col7 = 'Depositada' and Col9 = '""&amp;K487&amp;""' and Col6 ="&amp;" ""&amp;M487&amp;"" and Col4 = date '""&amp;YEAR(C487)&amp;""-""&amp;MONTH(C487)&amp;""-""&amp;DAY(C487)&amp;""'""))&gt;0,""Depositada"",if(sum(QUERY(IMPORTRANGE(""https://docs.google.com/spreadsheets/d/1ykfbEpHEAAZVCgujsGjRFJRCTULkzlWa8UjdyLzkDBM"",""BD M Sangrias!a:i""),""select Col6 whe"&amp;"re Col7 = 'Caixa Atendimento' and Col9 = '""&amp;K487&amp;""' and Col6 = ""&amp;M487&amp;"" and Col4 = date '""&amp;YEAR(C487)&amp;""-""&amp;MONTH(C487)&amp;""-""&amp;DAY(C487)&amp;""'""))&gt;0,""Caixa Atendimento"",""Caixa Sangria"")),""""),""Caixa Sangria"")"),"")</f>
        <v/>
      </c>
      <c r="M487" s="185" t="str">
        <f>IFERROR(__xludf.DUMMYFUNCTION("ifna(VALUE(REGEXEXTRACT(E487,""[0-9.]+[,]+[0-9]+"")))"),"")</f>
        <v/>
      </c>
      <c r="N487" s="185"/>
      <c r="O487" s="185"/>
      <c r="P487" s="185"/>
      <c r="Q487" s="185"/>
      <c r="R487" s="185"/>
      <c r="S487" s="185"/>
      <c r="T487" s="185"/>
      <c r="U487" s="185"/>
      <c r="V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184" t="str">
        <f>IFERROR(__xludf.DUMMYFUNCTION("ifna(IF(and(D488=""Saída"",J488=""Sangria""),if(sum(QUERY(IMPORTRANGE(""https://docs.google.com/spreadsheets/d/1ykfbEpHEAAZVCgujsGjRFJRCTULkzlWa8UjdyLzkDBM"",""BD M Sangrias!a:i""),""select Col6 where Col7 = 'Depositada' and Col9 = '""&amp;K488&amp;""' and Col6 ="&amp;" ""&amp;M488&amp;"" and Col4 = date '""&amp;YEAR(C488)&amp;""-""&amp;MONTH(C488)&amp;""-""&amp;DAY(C488)&amp;""'""))&gt;0,""Depositada"",if(sum(QUERY(IMPORTRANGE(""https://docs.google.com/spreadsheets/d/1ykfbEpHEAAZVCgujsGjRFJRCTULkzlWa8UjdyLzkDBM"",""BD M Sangrias!a:i""),""select Col6 whe"&amp;"re Col7 = 'Caixa Atendimento' and Col9 = '""&amp;K488&amp;""' and Col6 = ""&amp;M488&amp;"" and Col4 = date '""&amp;YEAR(C488)&amp;""-""&amp;MONTH(C488)&amp;""-""&amp;DAY(C488)&amp;""'""))&gt;0,""Caixa Atendimento"",""Caixa Sangria"")),""""),""Caixa Sangria"")"),"")</f>
        <v/>
      </c>
      <c r="M488" s="185" t="str">
        <f>IFERROR(__xludf.DUMMYFUNCTION("ifna(VALUE(REGEXEXTRACT(E488,""[0-9.]+[,]+[0-9]+"")))"),"")</f>
        <v/>
      </c>
      <c r="N488" s="185"/>
      <c r="O488" s="185"/>
      <c r="P488" s="185"/>
      <c r="Q488" s="185"/>
      <c r="R488" s="185"/>
      <c r="S488" s="185"/>
      <c r="T488" s="185"/>
      <c r="U488" s="185"/>
      <c r="V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184" t="str">
        <f>IFERROR(__xludf.DUMMYFUNCTION("ifna(IF(and(D489=""Saída"",J489=""Sangria""),if(sum(QUERY(IMPORTRANGE(""https://docs.google.com/spreadsheets/d/1ykfbEpHEAAZVCgujsGjRFJRCTULkzlWa8UjdyLzkDBM"",""BD M Sangrias!a:i""),""select Col6 where Col7 = 'Depositada' and Col9 = '""&amp;K489&amp;""' and Col6 ="&amp;" ""&amp;M489&amp;"" and Col4 = date '""&amp;YEAR(C489)&amp;""-""&amp;MONTH(C489)&amp;""-""&amp;DAY(C489)&amp;""'""))&gt;0,""Depositada"",if(sum(QUERY(IMPORTRANGE(""https://docs.google.com/spreadsheets/d/1ykfbEpHEAAZVCgujsGjRFJRCTULkzlWa8UjdyLzkDBM"",""BD M Sangrias!a:i""),""select Col6 whe"&amp;"re Col7 = 'Caixa Atendimento' and Col9 = '""&amp;K489&amp;""' and Col6 = ""&amp;M489&amp;"" and Col4 = date '""&amp;YEAR(C489)&amp;""-""&amp;MONTH(C489)&amp;""-""&amp;DAY(C489)&amp;""'""))&gt;0,""Caixa Atendimento"",""Caixa Sangria"")),""""),""Caixa Sangria"")"),"")</f>
        <v/>
      </c>
      <c r="M489" s="185" t="str">
        <f>IFERROR(__xludf.DUMMYFUNCTION("ifna(VALUE(REGEXEXTRACT(E489,""[0-9.]+[,]+[0-9]+"")))"),"")</f>
        <v/>
      </c>
      <c r="N489" s="185"/>
      <c r="O489" s="185"/>
      <c r="P489" s="185"/>
      <c r="Q489" s="185"/>
      <c r="R489" s="185"/>
      <c r="S489" s="185"/>
      <c r="T489" s="185"/>
      <c r="U489" s="185"/>
      <c r="V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184" t="str">
        <f>IFERROR(__xludf.DUMMYFUNCTION("ifna(IF(and(D490=""Saída"",J490=""Sangria""),if(sum(QUERY(IMPORTRANGE(""https://docs.google.com/spreadsheets/d/1ykfbEpHEAAZVCgujsGjRFJRCTULkzlWa8UjdyLzkDBM"",""BD M Sangrias!a:i""),""select Col6 where Col7 = 'Depositada' and Col9 = '""&amp;K490&amp;""' and Col6 ="&amp;" ""&amp;M490&amp;"" and Col4 = date '""&amp;YEAR(C490)&amp;""-""&amp;MONTH(C490)&amp;""-""&amp;DAY(C490)&amp;""'""))&gt;0,""Depositada"",if(sum(QUERY(IMPORTRANGE(""https://docs.google.com/spreadsheets/d/1ykfbEpHEAAZVCgujsGjRFJRCTULkzlWa8UjdyLzkDBM"",""BD M Sangrias!a:i""),""select Col6 whe"&amp;"re Col7 = 'Caixa Atendimento' and Col9 = '""&amp;K490&amp;""' and Col6 = ""&amp;M490&amp;"" and Col4 = date '""&amp;YEAR(C490)&amp;""-""&amp;MONTH(C490)&amp;""-""&amp;DAY(C490)&amp;""'""))&gt;0,""Caixa Atendimento"",""Caixa Sangria"")),""""),""Caixa Sangria"")"),"")</f>
        <v/>
      </c>
      <c r="M490" s="185" t="str">
        <f>IFERROR(__xludf.DUMMYFUNCTION("ifna(VALUE(REGEXEXTRACT(E490,""[0-9.]+[,]+[0-9]+"")))"),"")</f>
        <v/>
      </c>
      <c r="N490" s="185"/>
      <c r="O490" s="185"/>
      <c r="P490" s="185"/>
      <c r="Q490" s="185"/>
      <c r="R490" s="185"/>
      <c r="S490" s="185"/>
      <c r="T490" s="185"/>
      <c r="U490" s="185"/>
      <c r="V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184" t="str">
        <f>IFERROR(__xludf.DUMMYFUNCTION("ifna(IF(and(D491=""Saída"",J491=""Sangria""),if(sum(QUERY(IMPORTRANGE(""https://docs.google.com/spreadsheets/d/1ykfbEpHEAAZVCgujsGjRFJRCTULkzlWa8UjdyLzkDBM"",""BD M Sangrias!a:i""),""select Col6 where Col7 = 'Depositada' and Col9 = '""&amp;K491&amp;""' and Col6 ="&amp;" ""&amp;M491&amp;"" and Col4 = date '""&amp;YEAR(C491)&amp;""-""&amp;MONTH(C491)&amp;""-""&amp;DAY(C491)&amp;""'""))&gt;0,""Depositada"",if(sum(QUERY(IMPORTRANGE(""https://docs.google.com/spreadsheets/d/1ykfbEpHEAAZVCgujsGjRFJRCTULkzlWa8UjdyLzkDBM"",""BD M Sangrias!a:i""),""select Col6 whe"&amp;"re Col7 = 'Caixa Atendimento' and Col9 = '""&amp;K491&amp;""' and Col6 = ""&amp;M491&amp;"" and Col4 = date '""&amp;YEAR(C491)&amp;""-""&amp;MONTH(C491)&amp;""-""&amp;DAY(C491)&amp;""'""))&gt;0,""Caixa Atendimento"",""Caixa Sangria"")),""""),""Caixa Sangria"")"),"")</f>
        <v/>
      </c>
      <c r="M491" s="185" t="str">
        <f>IFERROR(__xludf.DUMMYFUNCTION("ifna(VALUE(REGEXEXTRACT(E491,""[0-9.]+[,]+[0-9]+"")))"),"")</f>
        <v/>
      </c>
      <c r="N491" s="185"/>
      <c r="O491" s="185"/>
      <c r="P491" s="185"/>
      <c r="Q491" s="185"/>
      <c r="R491" s="185"/>
      <c r="S491" s="185"/>
      <c r="T491" s="185"/>
      <c r="U491" s="185"/>
      <c r="V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184" t="str">
        <f>IFERROR(__xludf.DUMMYFUNCTION("ifna(IF(and(D492=""Saída"",J492=""Sangria""),if(sum(QUERY(IMPORTRANGE(""https://docs.google.com/spreadsheets/d/1ykfbEpHEAAZVCgujsGjRFJRCTULkzlWa8UjdyLzkDBM"",""BD M Sangrias!a:i""),""select Col6 where Col7 = 'Depositada' and Col9 = '""&amp;K492&amp;""' and Col6 ="&amp;" ""&amp;M492&amp;"" and Col4 = date '""&amp;YEAR(C492)&amp;""-""&amp;MONTH(C492)&amp;""-""&amp;DAY(C492)&amp;""'""))&gt;0,""Depositada"",if(sum(QUERY(IMPORTRANGE(""https://docs.google.com/spreadsheets/d/1ykfbEpHEAAZVCgujsGjRFJRCTULkzlWa8UjdyLzkDBM"",""BD M Sangrias!a:i""),""select Col6 whe"&amp;"re Col7 = 'Caixa Atendimento' and Col9 = '""&amp;K492&amp;""' and Col6 = ""&amp;M492&amp;"" and Col4 = date '""&amp;YEAR(C492)&amp;""-""&amp;MONTH(C492)&amp;""-""&amp;DAY(C492)&amp;""'""))&gt;0,""Caixa Atendimento"",""Caixa Sangria"")),""""),""Caixa Sangria"")"),"")</f>
        <v/>
      </c>
      <c r="M492" s="185" t="str">
        <f>IFERROR(__xludf.DUMMYFUNCTION("ifna(VALUE(REGEXEXTRACT(E492,""[0-9.]+[,]+[0-9]+"")))"),"")</f>
        <v/>
      </c>
      <c r="N492" s="185"/>
      <c r="O492" s="185"/>
      <c r="P492" s="185"/>
      <c r="Q492" s="185"/>
      <c r="R492" s="185"/>
      <c r="S492" s="185"/>
      <c r="T492" s="185"/>
      <c r="U492" s="185"/>
      <c r="V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184" t="str">
        <f>IFERROR(__xludf.DUMMYFUNCTION("ifna(IF(and(D493=""Saída"",J493=""Sangria""),if(sum(QUERY(IMPORTRANGE(""https://docs.google.com/spreadsheets/d/1ykfbEpHEAAZVCgujsGjRFJRCTULkzlWa8UjdyLzkDBM"",""BD M Sangrias!a:i""),""select Col6 where Col7 = 'Depositada' and Col9 = '""&amp;K493&amp;""' and Col6 ="&amp;" ""&amp;M493&amp;"" and Col4 = date '""&amp;YEAR(C493)&amp;""-""&amp;MONTH(C493)&amp;""-""&amp;DAY(C493)&amp;""'""))&gt;0,""Depositada"",if(sum(QUERY(IMPORTRANGE(""https://docs.google.com/spreadsheets/d/1ykfbEpHEAAZVCgujsGjRFJRCTULkzlWa8UjdyLzkDBM"",""BD M Sangrias!a:i""),""select Col6 whe"&amp;"re Col7 = 'Caixa Atendimento' and Col9 = '""&amp;K493&amp;""' and Col6 = ""&amp;M493&amp;"" and Col4 = date '""&amp;YEAR(C493)&amp;""-""&amp;MONTH(C493)&amp;""-""&amp;DAY(C493)&amp;""'""))&gt;0,""Caixa Atendimento"",""Caixa Sangria"")),""""),""Caixa Sangria"")"),"")</f>
        <v/>
      </c>
      <c r="M493" s="185" t="str">
        <f>IFERROR(__xludf.DUMMYFUNCTION("ifna(VALUE(REGEXEXTRACT(E493,""[0-9.]+[,]+[0-9]+"")))"),"")</f>
        <v/>
      </c>
      <c r="N493" s="185"/>
      <c r="O493" s="185"/>
      <c r="P493" s="185"/>
      <c r="Q493" s="185"/>
      <c r="R493" s="185"/>
      <c r="S493" s="185"/>
      <c r="T493" s="185"/>
      <c r="U493" s="185"/>
      <c r="V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184" t="str">
        <f>IFERROR(__xludf.DUMMYFUNCTION("ifna(IF(and(D494=""Saída"",J494=""Sangria""),if(sum(QUERY(IMPORTRANGE(""https://docs.google.com/spreadsheets/d/1ykfbEpHEAAZVCgujsGjRFJRCTULkzlWa8UjdyLzkDBM"",""BD M Sangrias!a:i""),""select Col6 where Col7 = 'Depositada' and Col9 = '""&amp;K494&amp;""' and Col6 ="&amp;" ""&amp;M494&amp;"" and Col4 = date '""&amp;YEAR(C494)&amp;""-""&amp;MONTH(C494)&amp;""-""&amp;DAY(C494)&amp;""'""))&gt;0,""Depositada"",if(sum(QUERY(IMPORTRANGE(""https://docs.google.com/spreadsheets/d/1ykfbEpHEAAZVCgujsGjRFJRCTULkzlWa8UjdyLzkDBM"",""BD M Sangrias!a:i""),""select Col6 whe"&amp;"re Col7 = 'Caixa Atendimento' and Col9 = '""&amp;K494&amp;""' and Col6 = ""&amp;M494&amp;"" and Col4 = date '""&amp;YEAR(C494)&amp;""-""&amp;MONTH(C494)&amp;""-""&amp;DAY(C494)&amp;""'""))&gt;0,""Caixa Atendimento"",""Caixa Sangria"")),""""),""Caixa Sangria"")"),"")</f>
        <v/>
      </c>
      <c r="M494" s="185" t="str">
        <f>IFERROR(__xludf.DUMMYFUNCTION("ifna(VALUE(REGEXEXTRACT(E494,""[0-9.]+[,]+[0-9]+"")))"),"")</f>
        <v/>
      </c>
      <c r="N494" s="185"/>
      <c r="O494" s="185"/>
      <c r="P494" s="185"/>
      <c r="Q494" s="185"/>
      <c r="R494" s="185"/>
      <c r="S494" s="185"/>
      <c r="T494" s="185"/>
      <c r="U494" s="185"/>
      <c r="V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184" t="str">
        <f>IFERROR(__xludf.DUMMYFUNCTION("ifna(IF(and(D495=""Saída"",J495=""Sangria""),if(sum(QUERY(IMPORTRANGE(""https://docs.google.com/spreadsheets/d/1ykfbEpHEAAZVCgujsGjRFJRCTULkzlWa8UjdyLzkDBM"",""BD M Sangrias!a:i""),""select Col6 where Col7 = 'Depositada' and Col9 = '""&amp;K495&amp;""' and Col6 ="&amp;" ""&amp;M495&amp;"" and Col4 = date '""&amp;YEAR(C495)&amp;""-""&amp;MONTH(C495)&amp;""-""&amp;DAY(C495)&amp;""'""))&gt;0,""Depositada"",if(sum(QUERY(IMPORTRANGE(""https://docs.google.com/spreadsheets/d/1ykfbEpHEAAZVCgujsGjRFJRCTULkzlWa8UjdyLzkDBM"",""BD M Sangrias!a:i""),""select Col6 whe"&amp;"re Col7 = 'Caixa Atendimento' and Col9 = '""&amp;K495&amp;""' and Col6 = ""&amp;M495&amp;"" and Col4 = date '""&amp;YEAR(C495)&amp;""-""&amp;MONTH(C495)&amp;""-""&amp;DAY(C495)&amp;""'""))&gt;0,""Caixa Atendimento"",""Caixa Sangria"")),""""),""Caixa Sangria"")"),"")</f>
        <v/>
      </c>
      <c r="M495" s="185" t="str">
        <f>IFERROR(__xludf.DUMMYFUNCTION("ifna(VALUE(REGEXEXTRACT(E495,""[0-9.]+[,]+[0-9]+"")))"),"")</f>
        <v/>
      </c>
      <c r="N495" s="185"/>
      <c r="O495" s="185"/>
      <c r="P495" s="185"/>
      <c r="Q495" s="185"/>
      <c r="R495" s="185"/>
      <c r="S495" s="185"/>
      <c r="T495" s="185"/>
      <c r="U495" s="185"/>
      <c r="V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184" t="str">
        <f>IFERROR(__xludf.DUMMYFUNCTION("ifna(IF(and(D496=""Saída"",J496=""Sangria""),if(sum(QUERY(IMPORTRANGE(""https://docs.google.com/spreadsheets/d/1ykfbEpHEAAZVCgujsGjRFJRCTULkzlWa8UjdyLzkDBM"",""BD M Sangrias!a:i""),""select Col6 where Col7 = 'Depositada' and Col9 = '""&amp;K496&amp;""' and Col6 ="&amp;" ""&amp;M496&amp;"" and Col4 = date '""&amp;YEAR(C496)&amp;""-""&amp;MONTH(C496)&amp;""-""&amp;DAY(C496)&amp;""'""))&gt;0,""Depositada"",if(sum(QUERY(IMPORTRANGE(""https://docs.google.com/spreadsheets/d/1ykfbEpHEAAZVCgujsGjRFJRCTULkzlWa8UjdyLzkDBM"",""BD M Sangrias!a:i""),""select Col6 whe"&amp;"re Col7 = 'Caixa Atendimento' and Col9 = '""&amp;K496&amp;""' and Col6 = ""&amp;M496&amp;"" and Col4 = date '""&amp;YEAR(C496)&amp;""-""&amp;MONTH(C496)&amp;""-""&amp;DAY(C496)&amp;""'""))&gt;0,""Caixa Atendimento"",""Caixa Sangria"")),""""),""Caixa Sangria"")"),"")</f>
        <v/>
      </c>
      <c r="M496" s="185" t="str">
        <f>IFERROR(__xludf.DUMMYFUNCTION("ifna(VALUE(REGEXEXTRACT(E496,""[0-9.]+[,]+[0-9]+"")))"),"")</f>
        <v/>
      </c>
      <c r="N496" s="185"/>
      <c r="O496" s="185"/>
      <c r="P496" s="185"/>
      <c r="Q496" s="185"/>
      <c r="R496" s="185"/>
      <c r="S496" s="185"/>
      <c r="T496" s="185"/>
      <c r="U496" s="185"/>
      <c r="V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184" t="str">
        <f>IFERROR(__xludf.DUMMYFUNCTION("ifna(IF(and(D497=""Saída"",J497=""Sangria""),if(sum(QUERY(IMPORTRANGE(""https://docs.google.com/spreadsheets/d/1ykfbEpHEAAZVCgujsGjRFJRCTULkzlWa8UjdyLzkDBM"",""BD M Sangrias!a:i""),""select Col6 where Col7 = 'Depositada' and Col9 = '""&amp;K497&amp;""' and Col6 ="&amp;" ""&amp;M497&amp;"" and Col4 = date '""&amp;YEAR(C497)&amp;""-""&amp;MONTH(C497)&amp;""-""&amp;DAY(C497)&amp;""'""))&gt;0,""Depositada"",if(sum(QUERY(IMPORTRANGE(""https://docs.google.com/spreadsheets/d/1ykfbEpHEAAZVCgujsGjRFJRCTULkzlWa8UjdyLzkDBM"",""BD M Sangrias!a:i""),""select Col6 whe"&amp;"re Col7 = 'Caixa Atendimento' and Col9 = '""&amp;K497&amp;""' and Col6 = ""&amp;M497&amp;"" and Col4 = date '""&amp;YEAR(C497)&amp;""-""&amp;MONTH(C497)&amp;""-""&amp;DAY(C497)&amp;""'""))&gt;0,""Caixa Atendimento"",""Caixa Sangria"")),""""),""Caixa Sangria"")"),"")</f>
        <v/>
      </c>
      <c r="M497" s="185" t="str">
        <f>IFERROR(__xludf.DUMMYFUNCTION("ifna(VALUE(REGEXEXTRACT(E497,""[0-9.]+[,]+[0-9]+"")))"),"")</f>
        <v/>
      </c>
      <c r="N497" s="185"/>
      <c r="O497" s="185"/>
      <c r="P497" s="185"/>
      <c r="Q497" s="185"/>
      <c r="R497" s="185"/>
      <c r="S497" s="185"/>
      <c r="T497" s="185"/>
      <c r="U497" s="185"/>
      <c r="V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184" t="str">
        <f>IFERROR(__xludf.DUMMYFUNCTION("ifna(IF(and(D498=""Saída"",J498=""Sangria""),if(sum(QUERY(IMPORTRANGE(""https://docs.google.com/spreadsheets/d/1ykfbEpHEAAZVCgujsGjRFJRCTULkzlWa8UjdyLzkDBM"",""BD M Sangrias!a:i""),""select Col6 where Col7 = 'Depositada' and Col9 = '""&amp;K498&amp;""' and Col6 ="&amp;" ""&amp;M498&amp;"" and Col4 = date '""&amp;YEAR(C498)&amp;""-""&amp;MONTH(C498)&amp;""-""&amp;DAY(C498)&amp;""'""))&gt;0,""Depositada"",if(sum(QUERY(IMPORTRANGE(""https://docs.google.com/spreadsheets/d/1ykfbEpHEAAZVCgujsGjRFJRCTULkzlWa8UjdyLzkDBM"",""BD M Sangrias!a:i""),""select Col6 whe"&amp;"re Col7 = 'Caixa Atendimento' and Col9 = '""&amp;K498&amp;""' and Col6 = ""&amp;M498&amp;"" and Col4 = date '""&amp;YEAR(C498)&amp;""-""&amp;MONTH(C498)&amp;""-""&amp;DAY(C498)&amp;""'""))&gt;0,""Caixa Atendimento"",""Caixa Sangria"")),""""),""Caixa Sangria"")"),"")</f>
        <v/>
      </c>
      <c r="M498" s="185" t="str">
        <f>IFERROR(__xludf.DUMMYFUNCTION("ifna(VALUE(REGEXEXTRACT(E498,""[0-9.]+[,]+[0-9]+"")))"),"")</f>
        <v/>
      </c>
      <c r="N498" s="185"/>
      <c r="O498" s="185"/>
      <c r="P498" s="185"/>
      <c r="Q498" s="185"/>
      <c r="R498" s="185"/>
      <c r="S498" s="185"/>
      <c r="T498" s="185"/>
      <c r="U498" s="185"/>
      <c r="V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184" t="str">
        <f>IFERROR(__xludf.DUMMYFUNCTION("ifna(IF(and(D499=""Saída"",J499=""Sangria""),if(sum(QUERY(IMPORTRANGE(""https://docs.google.com/spreadsheets/d/1ykfbEpHEAAZVCgujsGjRFJRCTULkzlWa8UjdyLzkDBM"",""BD M Sangrias!a:i""),""select Col6 where Col7 = 'Depositada' and Col9 = '""&amp;K499&amp;""' and Col6 ="&amp;" ""&amp;M499&amp;"" and Col4 = date '""&amp;YEAR(C499)&amp;""-""&amp;MONTH(C499)&amp;""-""&amp;DAY(C499)&amp;""'""))&gt;0,""Depositada"",if(sum(QUERY(IMPORTRANGE(""https://docs.google.com/spreadsheets/d/1ykfbEpHEAAZVCgujsGjRFJRCTULkzlWa8UjdyLzkDBM"",""BD M Sangrias!a:i""),""select Col6 whe"&amp;"re Col7 = 'Caixa Atendimento' and Col9 = '""&amp;K499&amp;""' and Col6 = ""&amp;M499&amp;"" and Col4 = date '""&amp;YEAR(C499)&amp;""-""&amp;MONTH(C499)&amp;""-""&amp;DAY(C499)&amp;""'""))&gt;0,""Caixa Atendimento"",""Caixa Sangria"")),""""),""Caixa Sangria"")"),"")</f>
        <v/>
      </c>
      <c r="M499" s="185" t="str">
        <f>IFERROR(__xludf.DUMMYFUNCTION("ifna(VALUE(REGEXEXTRACT(E499,""[0-9.]+[,]+[0-9]+"")))"),"")</f>
        <v/>
      </c>
      <c r="N499" s="185"/>
      <c r="O499" s="185"/>
      <c r="P499" s="185"/>
      <c r="Q499" s="185"/>
      <c r="R499" s="185"/>
      <c r="S499" s="185"/>
      <c r="T499" s="185"/>
      <c r="U499" s="185"/>
      <c r="V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184" t="str">
        <f>IFERROR(__xludf.DUMMYFUNCTION("ifna(IF(and(D500=""Saída"",J500=""Sangria""),if(sum(QUERY(IMPORTRANGE(""https://docs.google.com/spreadsheets/d/1ykfbEpHEAAZVCgujsGjRFJRCTULkzlWa8UjdyLzkDBM"",""BD M Sangrias!a:i""),""select Col6 where Col7 = 'Depositada' and Col9 = '""&amp;K500&amp;""' and Col6 ="&amp;" ""&amp;M500&amp;"" and Col4 = date '""&amp;YEAR(C500)&amp;""-""&amp;MONTH(C500)&amp;""-""&amp;DAY(C500)&amp;""'""))&gt;0,""Depositada"",if(sum(QUERY(IMPORTRANGE(""https://docs.google.com/spreadsheets/d/1ykfbEpHEAAZVCgujsGjRFJRCTULkzlWa8UjdyLzkDBM"",""BD M Sangrias!a:i""),""select Col6 whe"&amp;"re Col7 = 'Caixa Atendimento' and Col9 = '""&amp;K500&amp;""' and Col6 = ""&amp;M500&amp;"" and Col4 = date '""&amp;YEAR(C500)&amp;""-""&amp;MONTH(C500)&amp;""-""&amp;DAY(C500)&amp;""'""))&gt;0,""Caixa Atendimento"",""Caixa Sangria"")),""""),""Caixa Sangria"")"),"")</f>
        <v/>
      </c>
      <c r="M500" s="185" t="str">
        <f>IFERROR(__xludf.DUMMYFUNCTION("ifna(VALUE(REGEXEXTRACT(E500,""[0-9.]+[,]+[0-9]+"")))"),"")</f>
        <v/>
      </c>
      <c r="N500" s="185"/>
      <c r="O500" s="185"/>
      <c r="P500" s="185"/>
      <c r="Q500" s="185"/>
      <c r="R500" s="185"/>
      <c r="S500" s="185"/>
      <c r="T500" s="185"/>
      <c r="U500" s="185"/>
      <c r="V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184" t="str">
        <f>IFERROR(__xludf.DUMMYFUNCTION("ifna(IF(and(D501=""Saída"",J501=""Sangria""),if(sum(QUERY(IMPORTRANGE(""https://docs.google.com/spreadsheets/d/1ykfbEpHEAAZVCgujsGjRFJRCTULkzlWa8UjdyLzkDBM"",""BD M Sangrias!a:i""),""select Col6 where Col7 = 'Depositada' and Col9 = '""&amp;K501&amp;""' and Col6 ="&amp;" ""&amp;M501&amp;"" and Col4 = date '""&amp;YEAR(C501)&amp;""-""&amp;MONTH(C501)&amp;""-""&amp;DAY(C501)&amp;""'""))&gt;0,""Depositada"",if(sum(QUERY(IMPORTRANGE(""https://docs.google.com/spreadsheets/d/1ykfbEpHEAAZVCgujsGjRFJRCTULkzlWa8UjdyLzkDBM"",""BD M Sangrias!a:i""),""select Col6 whe"&amp;"re Col7 = 'Caixa Atendimento' and Col9 = '""&amp;K501&amp;""' and Col6 = ""&amp;M501&amp;"" and Col4 = date '""&amp;YEAR(C501)&amp;""-""&amp;MONTH(C501)&amp;""-""&amp;DAY(C501)&amp;""'""))&gt;0,""Caixa Atendimento"",""Caixa Sangria"")),""""),""Caixa Sangria"")"),"")</f>
        <v/>
      </c>
      <c r="M501" s="185" t="str">
        <f>IFERROR(__xludf.DUMMYFUNCTION("ifna(VALUE(REGEXEXTRACT(E501,""[0-9.]+[,]+[0-9]+"")))"),"")</f>
        <v/>
      </c>
      <c r="N501" s="185"/>
      <c r="O501" s="185"/>
      <c r="P501" s="185"/>
      <c r="Q501" s="185"/>
      <c r="R501" s="185"/>
      <c r="S501" s="185"/>
      <c r="T501" s="185"/>
      <c r="U501" s="185"/>
      <c r="V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184" t="str">
        <f>IFERROR(__xludf.DUMMYFUNCTION("ifna(IF(and(D502=""Saída"",J502=""Sangria""),if(sum(QUERY(IMPORTRANGE(""https://docs.google.com/spreadsheets/d/1ykfbEpHEAAZVCgujsGjRFJRCTULkzlWa8UjdyLzkDBM"",""BD M Sangrias!a:i""),""select Col6 where Col7 = 'Depositada' and Col9 = '""&amp;K502&amp;""' and Col6 ="&amp;" ""&amp;M502&amp;"" and Col4 = date '""&amp;YEAR(C502)&amp;""-""&amp;MONTH(C502)&amp;""-""&amp;DAY(C502)&amp;""'""))&gt;0,""Depositada"",if(sum(QUERY(IMPORTRANGE(""https://docs.google.com/spreadsheets/d/1ykfbEpHEAAZVCgujsGjRFJRCTULkzlWa8UjdyLzkDBM"",""BD M Sangrias!a:i""),""select Col6 whe"&amp;"re Col7 = 'Caixa Atendimento' and Col9 = '""&amp;K502&amp;""' and Col6 = ""&amp;M502&amp;"" and Col4 = date '""&amp;YEAR(C502)&amp;""-""&amp;MONTH(C502)&amp;""-""&amp;DAY(C502)&amp;""'""))&gt;0,""Caixa Atendimento"",""Caixa Sangria"")),""""),""Caixa Sangria"")"),"")</f>
        <v/>
      </c>
      <c r="M502" s="185" t="str">
        <f>IFERROR(__xludf.DUMMYFUNCTION("ifna(VALUE(REGEXEXTRACT(E502,""[0-9.]+[,]+[0-9]+"")))"),"")</f>
        <v/>
      </c>
      <c r="N502" s="185"/>
      <c r="O502" s="185"/>
      <c r="P502" s="185"/>
      <c r="Q502" s="185"/>
      <c r="R502" s="185"/>
      <c r="S502" s="185"/>
      <c r="T502" s="185"/>
      <c r="U502" s="185"/>
      <c r="V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184" t="str">
        <f>IFERROR(__xludf.DUMMYFUNCTION("ifna(IF(and(D503=""Saída"",J503=""Sangria""),if(sum(QUERY(IMPORTRANGE(""https://docs.google.com/spreadsheets/d/1ykfbEpHEAAZVCgujsGjRFJRCTULkzlWa8UjdyLzkDBM"",""BD M Sangrias!a:i""),""select Col6 where Col7 = 'Depositada' and Col9 = '""&amp;K503&amp;""' and Col6 ="&amp;" ""&amp;M503&amp;"" and Col4 = date '""&amp;YEAR(C503)&amp;""-""&amp;MONTH(C503)&amp;""-""&amp;DAY(C503)&amp;""'""))&gt;0,""Depositada"",if(sum(QUERY(IMPORTRANGE(""https://docs.google.com/spreadsheets/d/1ykfbEpHEAAZVCgujsGjRFJRCTULkzlWa8UjdyLzkDBM"",""BD M Sangrias!a:i""),""select Col6 whe"&amp;"re Col7 = 'Caixa Atendimento' and Col9 = '""&amp;K503&amp;""' and Col6 = ""&amp;M503&amp;"" and Col4 = date '""&amp;YEAR(C503)&amp;""-""&amp;MONTH(C503)&amp;""-""&amp;DAY(C503)&amp;""'""))&gt;0,""Caixa Atendimento"",""Caixa Sangria"")),""""),""Caixa Sangria"")"),"")</f>
        <v/>
      </c>
      <c r="M503" s="185" t="str">
        <f>IFERROR(__xludf.DUMMYFUNCTION("ifna(VALUE(REGEXEXTRACT(E503,""[0-9.]+[,]+[0-9]+"")))"),"")</f>
        <v/>
      </c>
      <c r="N503" s="185"/>
      <c r="O503" s="185"/>
      <c r="P503" s="185"/>
      <c r="Q503" s="185"/>
      <c r="R503" s="185"/>
      <c r="S503" s="185"/>
      <c r="T503" s="185"/>
      <c r="U503" s="185"/>
      <c r="V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184" t="str">
        <f>IFERROR(__xludf.DUMMYFUNCTION("ifna(IF(and(D504=""Saída"",J504=""Sangria""),if(sum(QUERY(IMPORTRANGE(""https://docs.google.com/spreadsheets/d/1ykfbEpHEAAZVCgujsGjRFJRCTULkzlWa8UjdyLzkDBM"",""BD M Sangrias!a:i""),""select Col6 where Col7 = 'Depositada' and Col9 = '""&amp;K504&amp;""' and Col6 ="&amp;" ""&amp;M504&amp;"" and Col4 = date '""&amp;YEAR(C504)&amp;""-""&amp;MONTH(C504)&amp;""-""&amp;DAY(C504)&amp;""'""))&gt;0,""Depositada"",if(sum(QUERY(IMPORTRANGE(""https://docs.google.com/spreadsheets/d/1ykfbEpHEAAZVCgujsGjRFJRCTULkzlWa8UjdyLzkDBM"",""BD M Sangrias!a:i""),""select Col6 whe"&amp;"re Col7 = 'Caixa Atendimento' and Col9 = '""&amp;K504&amp;""' and Col6 = ""&amp;M504&amp;"" and Col4 = date '""&amp;YEAR(C504)&amp;""-""&amp;MONTH(C504)&amp;""-""&amp;DAY(C504)&amp;""'""))&gt;0,""Caixa Atendimento"",""Caixa Sangria"")),""""),""Caixa Sangria"")"),"")</f>
        <v/>
      </c>
      <c r="M504" s="185" t="str">
        <f>IFERROR(__xludf.DUMMYFUNCTION("ifna(VALUE(REGEXEXTRACT(E504,""[0-9.]+[,]+[0-9]+"")))"),"")</f>
        <v/>
      </c>
      <c r="N504" s="185"/>
      <c r="O504" s="185"/>
      <c r="P504" s="185"/>
      <c r="Q504" s="185"/>
      <c r="R504" s="185"/>
      <c r="S504" s="185"/>
      <c r="T504" s="185"/>
      <c r="U504" s="185"/>
      <c r="V504" s="185"/>
    </row>
  </sheetData>
  <mergeCells count="47">
    <mergeCell ref="A2:L2"/>
    <mergeCell ref="N2:V2"/>
    <mergeCell ref="A3:B3"/>
    <mergeCell ref="C3:D3"/>
    <mergeCell ref="E3:F3"/>
    <mergeCell ref="G3:H3"/>
    <mergeCell ref="I3:J3"/>
    <mergeCell ref="S3:V3"/>
    <mergeCell ref="K3:L3"/>
    <mergeCell ref="N3:Q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C19:D19"/>
    <mergeCell ref="C23:D23"/>
    <mergeCell ref="E23:F23"/>
    <mergeCell ref="G23:H23"/>
    <mergeCell ref="I23:J23"/>
    <mergeCell ref="I24:J24"/>
    <mergeCell ref="I25:J25"/>
    <mergeCell ref="B27:L27"/>
    <mergeCell ref="G14:H14"/>
    <mergeCell ref="I14:J14"/>
    <mergeCell ref="C18:D18"/>
    <mergeCell ref="E18:H18"/>
    <mergeCell ref="I18:J18"/>
    <mergeCell ref="E19:F19"/>
    <mergeCell ref="I22:J22"/>
    <mergeCell ref="N93:S94"/>
    <mergeCell ref="R95:S95"/>
    <mergeCell ref="K18:L18"/>
    <mergeCell ref="K19:L19"/>
    <mergeCell ref="S19:V19"/>
    <mergeCell ref="N48:Q48"/>
    <mergeCell ref="S48:V48"/>
    <mergeCell ref="N68:Q68"/>
    <mergeCell ref="S68:V68"/>
  </mergeCells>
  <conditionalFormatting sqref="E29:E178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V4 L11 D20 R20:V20 N49:V49 N69:V69">
    <cfRule type="cellIs" dxfId="6" priority="10" operator="greaterThanOrEqual">
      <formula>500</formula>
    </cfRule>
  </conditionalFormatting>
  <conditionalFormatting sqref="L4:V4 L11 D20 R20:V20 N49:V49 N69:V69">
    <cfRule type="cellIs" dxfId="7" priority="11" operator="between">
      <formula>400</formula>
      <formula>500</formula>
    </cfRule>
  </conditionalFormatting>
  <conditionalFormatting sqref="E29:E504">
    <cfRule type="containsText" dxfId="9" priority="12" operator="containsText" text="R$">
      <formula>NOT(ISERROR(SEARCH(("R$"),(E29))))</formula>
    </cfRule>
  </conditionalFormatting>
  <conditionalFormatting sqref="B29:L504">
    <cfRule type="expression" dxfId="5" priority="13">
      <formula>and($J$29:$J$504="Sangria",$D$29:$D$504="Saída")</formula>
    </cfRule>
  </conditionalFormatting>
  <conditionalFormatting sqref="K29:K504">
    <cfRule type="expression" dxfId="10" priority="14">
      <formula>or($J$29:$J$218="Compra Moedas",$J$29:$J$218="Cortesias",$J$29:$J$218="Troco")</formula>
    </cfRule>
  </conditionalFormatting>
  <conditionalFormatting sqref="K29:K504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4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4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4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4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4">
    <cfRule type="expression" dxfId="11" priority="21">
      <formula>and($C$29:$C$218="",or($D$29:$D$218="Entrada",$D$29:$D$218="Saída"))</formula>
    </cfRule>
  </conditionalFormatting>
  <conditionalFormatting sqref="I29:I504">
    <cfRule type="expression" dxfId="8" priority="22">
      <formula>and(K29 = "",or(J29="Consumo",J29="Adiantamento"))</formula>
    </cfRule>
  </conditionalFormatting>
  <dataValidations>
    <dataValidation type="list" allowBlank="1" showErrorMessage="1" sqref="K29:K504">
      <formula1>'OUTUBRO 2025'!$B$4:$B$16</formula1>
    </dataValidation>
    <dataValidation type="list" allowBlank="1" showErrorMessage="1" sqref="J29:J77 J79:J96 J98 J100:J105 J107:J130 J132:J176 J178:J179 J181:J190 J192:J195 J197:J208 J210:J267 J269:J286 J288:J303 J306:J308 J310:J376 J378:J388 J390:J504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3.25"/>
    <col customWidth="1" min="15" max="15" width="10.13"/>
    <col customWidth="1" min="16" max="16" width="12.0"/>
    <col customWidth="1" min="17" max="17" width="12.75"/>
    <col customWidth="1" min="18" max="18" width="14.63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26"/>
      <c r="O2" s="30" t="s">
        <v>1840</v>
      </c>
      <c r="P2" s="28"/>
      <c r="Q2" s="28"/>
      <c r="R2" s="28"/>
      <c r="S2" s="28"/>
      <c r="T2" s="28"/>
      <c r="U2" s="28"/>
      <c r="V2" s="28"/>
      <c r="W2" s="29"/>
    </row>
    <row r="3">
      <c r="A3" s="31" t="s">
        <v>1847</v>
      </c>
      <c r="B3" s="32"/>
      <c r="C3" s="33" t="str">
        <f>B4</f>
        <v>Marcelo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>Helena Cardoso</v>
      </c>
      <c r="J3" s="32"/>
      <c r="K3" s="34" t="str">
        <f>B8</f>
        <v/>
      </c>
      <c r="L3" s="35"/>
      <c r="M3" s="36"/>
      <c r="N3" s="36"/>
      <c r="O3" s="37" t="str">
        <f>B4</f>
        <v>Marcelo</v>
      </c>
      <c r="P3" s="28"/>
      <c r="Q3" s="28"/>
      <c r="R3" s="29"/>
      <c r="S3" s="38"/>
      <c r="T3" s="39" t="str">
        <f>B5</f>
        <v>Mariane</v>
      </c>
      <c r="U3" s="28"/>
      <c r="V3" s="28"/>
      <c r="W3" s="29"/>
    </row>
    <row r="4" ht="15.75" customHeight="1">
      <c r="A4" s="40" t="s">
        <v>132</v>
      </c>
      <c r="B4" s="41" t="s">
        <v>6576</v>
      </c>
      <c r="C4" s="42" t="s">
        <v>1900</v>
      </c>
      <c r="D4" s="43">
        <f>SUMIFS(N29:N504,J29:J504,C4,K29:K504,C3)+SUMIF(Q62:Q104,A4,R62:R104)+D9</f>
        <v>0</v>
      </c>
      <c r="E4" s="44" t="s">
        <v>1900</v>
      </c>
      <c r="F4" s="43">
        <f>SUMIFS(N29:N504,J29:J504,E4,K29:K504,E3)+SUMIF(Q62:Q104,A5,R62:R104)+F9</f>
        <v>0</v>
      </c>
      <c r="G4" s="44" t="s">
        <v>1900</v>
      </c>
      <c r="H4" s="43">
        <f>SUMIFS(N29:N504,J29:J504,C4,K29:K504,G3)+SUMIF(Q62:Q104,A6,R62:R104)+H9</f>
        <v>0</v>
      </c>
      <c r="I4" s="44" t="s">
        <v>1900</v>
      </c>
      <c r="J4" s="43">
        <f>SUMIFS(N29:N504,J29:J504,C4,K29:K504,I3)+SUMIF(Q62:Q104,A7,R62:R104)+J9</f>
        <v>0</v>
      </c>
      <c r="K4" s="44" t="s">
        <v>1900</v>
      </c>
      <c r="L4" s="45">
        <f>SUMIFS(N29:N504,J29:J504,C4,K29:K504,K3)+SUMIF(Q62:Q104,A8,R62:R104)+L9</f>
        <v>0</v>
      </c>
      <c r="M4" s="26"/>
      <c r="N4" s="26"/>
      <c r="O4" s="46" t="str">
        <f>IFERROR(__xludf.DUMMYFUNCTION("query(C28:L507,""select Col1,Col3,Col8,Col9 where (Col8 = 'Adiantamento' or Col8 = 'Consumo') and Col9 = '""&amp;B4&amp;""'"",1)"),"Data")</f>
        <v>Data</v>
      </c>
      <c r="P4" s="47" t="str">
        <f>IFERROR(__xludf.DUMMYFUNCTION("""COMPUTED_VALUE"""),"Valor ")</f>
        <v>Valor </v>
      </c>
      <c r="Q4" s="47" t="str">
        <f>IFERROR(__xludf.DUMMYFUNCTION("""COMPUTED_VALUE"""),"Tipo")</f>
        <v>Tipo</v>
      </c>
      <c r="R4" s="48" t="str">
        <f>IFERROR(__xludf.DUMMYFUNCTION("""COMPUTED_VALUE"""),"Funcionário")</f>
        <v>Funcionário</v>
      </c>
      <c r="S4" s="49"/>
      <c r="T4" s="50" t="str">
        <f>IFERROR(__xludf.DUMMYFUNCTION("query(C28:L507,""select Col1,Col3,Col8,Col9 where (Col8 = 'Adiantamento' or Col8 = 'Consumo') and Col9 = '""&amp;B5&amp;""'"",1)"),"Data")</f>
        <v>Data</v>
      </c>
      <c r="U4" s="50" t="str">
        <f>IFERROR(__xludf.DUMMYFUNCTION("""COMPUTED_VALUE"""),"Valor ")</f>
        <v>Valor </v>
      </c>
      <c r="V4" s="50" t="str">
        <f>IFERROR(__xludf.DUMMYFUNCTION("""COMPUTED_VALUE"""),"Tipo")</f>
        <v>Tipo</v>
      </c>
      <c r="W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SUMIFS(N29:N504,J29:J504,C5,K29:K504,C3)</f>
        <v>0</v>
      </c>
      <c r="E5" s="44" t="s">
        <v>2019</v>
      </c>
      <c r="F5" s="43">
        <f>SUMIFS(N29:N504,J29:J504,C5,K29:K504,E3)</f>
        <v>0</v>
      </c>
      <c r="G5" s="44" t="s">
        <v>2019</v>
      </c>
      <c r="H5" s="43">
        <f>SUMIFS(N29:N504,J29:J504,C5,K29:K504,G3)</f>
        <v>138.95</v>
      </c>
      <c r="I5" s="44" t="s">
        <v>2019</v>
      </c>
      <c r="J5" s="43">
        <f>SUMIFS(N29:N504,J29:J504,C5,K29:K504,I3)</f>
        <v>146.03</v>
      </c>
      <c r="K5" s="44" t="s">
        <v>2019</v>
      </c>
      <c r="L5" s="45">
        <f>SUMIFS(N29:N504,J29:J504,C5,K29:K504,K3)</f>
        <v>0</v>
      </c>
      <c r="M5" s="26"/>
      <c r="N5" s="26"/>
      <c r="O5" s="52"/>
      <c r="P5" s="53"/>
      <c r="Q5" s="53"/>
      <c r="R5" s="54"/>
      <c r="S5" s="55"/>
      <c r="T5" s="53"/>
      <c r="U5" s="53"/>
      <c r="V5" s="53"/>
      <c r="W5" s="54"/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0</v>
      </c>
      <c r="G6" s="44" t="s">
        <v>2079</v>
      </c>
      <c r="H6" s="43">
        <f>H5*0.8</f>
        <v>111.16</v>
      </c>
      <c r="I6" s="44" t="s">
        <v>2079</v>
      </c>
      <c r="J6" s="43">
        <f>J5*0.8</f>
        <v>116.824</v>
      </c>
      <c r="K6" s="57" t="s">
        <v>2079</v>
      </c>
      <c r="L6" s="45">
        <f>L5*0.8</f>
        <v>0</v>
      </c>
      <c r="M6" s="26"/>
      <c r="N6" s="26"/>
      <c r="O6" s="52"/>
      <c r="P6" s="53"/>
      <c r="Q6" s="53"/>
      <c r="R6" s="54"/>
      <c r="S6" s="55"/>
      <c r="T6" s="53"/>
      <c r="U6" s="53"/>
      <c r="V6" s="53"/>
      <c r="W6" s="54"/>
    </row>
    <row r="7" ht="14.25" customHeight="1">
      <c r="A7" s="40" t="s">
        <v>754</v>
      </c>
      <c r="B7" s="41" t="s">
        <v>2117</v>
      </c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62"/>
      <c r="O7" s="52"/>
      <c r="P7" s="53"/>
      <c r="Q7" s="53"/>
      <c r="R7" s="54"/>
      <c r="S7" s="55"/>
      <c r="T7" s="53"/>
      <c r="U7" s="53"/>
      <c r="V7" s="53"/>
      <c r="W7" s="54"/>
    </row>
    <row r="8" ht="14.25" customHeight="1">
      <c r="B8" s="41"/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69"/>
      <c r="O8" s="52"/>
      <c r="P8" s="53"/>
      <c r="Q8" s="53"/>
      <c r="R8" s="54"/>
      <c r="S8" s="55"/>
      <c r="T8" s="53"/>
      <c r="U8" s="53"/>
      <c r="V8" s="53"/>
      <c r="W8" s="54"/>
    </row>
    <row r="9">
      <c r="A9" s="40"/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69"/>
      <c r="O9" s="52"/>
      <c r="P9" s="53"/>
      <c r="Q9" s="53"/>
      <c r="R9" s="54"/>
      <c r="S9" s="55"/>
      <c r="T9" s="53"/>
      <c r="U9" s="53"/>
      <c r="V9" s="53"/>
      <c r="W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25"/>
      <c r="O10" s="52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1900</v>
      </c>
      <c r="D11" s="85">
        <f>SUMIFS(N29:N514,J29:J514,C11,K29:K514,C10)+SUMIF(Q62:Q104,A9,R62:R104)+D16</f>
        <v>0</v>
      </c>
      <c r="E11" s="86" t="s">
        <v>1900</v>
      </c>
      <c r="F11" s="85">
        <f>SUMIFS(N29:N514,J29:J514,E11,K29:K514,E10)+SUMIF(Q62:Q104,A10,R62:R104)+F16</f>
        <v>0</v>
      </c>
      <c r="G11" s="86" t="s">
        <v>1900</v>
      </c>
      <c r="H11" s="85">
        <f>SUMIFS(N29:N514,J29:J514,C11,K29:K514,G10)+SUMIF(Q62:Q104,A11,R62:R104)+H16</f>
        <v>0</v>
      </c>
      <c r="I11" s="86" t="s">
        <v>1900</v>
      </c>
      <c r="J11" s="85">
        <f>SUMIFS(N29:N514,J29:J514,C11,K29:K514,I10)+SUMIF(Q62:Q104,A11,R62:R104)+J16</f>
        <v>0</v>
      </c>
      <c r="K11" s="86" t="s">
        <v>1900</v>
      </c>
      <c r="L11" s="87">
        <f>SUMIFS(N29:N514,J29:J514,C11,K29:K514,K10)+SUMIF(Q62:Q104,A13,R62:R104)+L16</f>
        <v>0</v>
      </c>
      <c r="M11" s="25"/>
      <c r="N11" s="25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2019</v>
      </c>
      <c r="D12" s="85">
        <f>SUMIFS(N36:N514,J36:J514,C12,K36:K514,C10)</f>
        <v>0</v>
      </c>
      <c r="E12" s="86" t="s">
        <v>2019</v>
      </c>
      <c r="F12" s="85">
        <f>SUMIFS(N29:N514,J29:J514,C12,K29:K514,E10)</f>
        <v>0</v>
      </c>
      <c r="G12" s="86" t="s">
        <v>2019</v>
      </c>
      <c r="H12" s="85">
        <f>SUMIFS(N36:N514,J36:J514,C12,K36:K514,G10)</f>
        <v>0</v>
      </c>
      <c r="I12" s="86" t="s">
        <v>2019</v>
      </c>
      <c r="J12" s="85">
        <f>SUMIFS(N29:N514,J29:J514,C12,K29:K514,I10)</f>
        <v>0</v>
      </c>
      <c r="K12" s="86" t="s">
        <v>2019</v>
      </c>
      <c r="L12" s="87">
        <f>SUMIFS(N29:N514,J29:J514,C12,K29:K514,K10)</f>
        <v>0</v>
      </c>
      <c r="M12" s="25"/>
      <c r="N12" s="25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25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25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25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25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25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25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4"/>
      <c r="B19" s="24"/>
      <c r="C19" s="112"/>
      <c r="D19" s="113"/>
      <c r="E19" s="112"/>
      <c r="F19" s="114"/>
      <c r="G19" s="266" t="s">
        <v>6509</v>
      </c>
      <c r="H19" s="116">
        <f>SUMIF(L29:L499,G19,N29:N499)</f>
        <v>800</v>
      </c>
      <c r="I19" s="117" t="s">
        <v>2436</v>
      </c>
      <c r="J19" s="118" t="s">
        <v>2438</v>
      </c>
      <c r="K19" s="119" t="s">
        <v>2440</v>
      </c>
      <c r="L19" s="113"/>
      <c r="M19" s="25"/>
      <c r="N19" s="25"/>
      <c r="O19" s="123" t="str">
        <f>B6</f>
        <v>Isabeli Grassmann</v>
      </c>
      <c r="P19" s="106"/>
      <c r="Q19" s="106"/>
      <c r="R19" s="124"/>
      <c r="S19" s="122"/>
      <c r="T19" s="123" t="str">
        <f>B7</f>
        <v>Helena Cardoso</v>
      </c>
      <c r="U19" s="106"/>
      <c r="V19" s="106"/>
      <c r="W19" s="124"/>
    </row>
    <row r="20">
      <c r="A20" s="125"/>
      <c r="B20" s="125"/>
      <c r="C20" s="126" t="s">
        <v>1900</v>
      </c>
      <c r="D20" s="127">
        <f>SUMIFS(N29:N504,J29:J504,C20,K29:K504,C19)+SUMIF(Q68:Q104,A9,R68:R104)+D25</f>
        <v>0</v>
      </c>
      <c r="E20" s="126" t="s">
        <v>1900</v>
      </c>
      <c r="F20" s="128">
        <f>SUMIFS(N29:N504,J29:J504,C20,K29:K504,E19)+SUMIF(Q68:Q104,A10,R68:R104)+F25</f>
        <v>0</v>
      </c>
      <c r="G20" s="129" t="s">
        <v>2473</v>
      </c>
      <c r="H20" s="130">
        <v>8450.0</v>
      </c>
      <c r="I20" s="131">
        <f>SUMIF(J29:J504,I19,N29:N504)</f>
        <v>225</v>
      </c>
      <c r="J20" s="132">
        <f>SUMIF(J29:J504,J19,N29:N504)</f>
        <v>601.73</v>
      </c>
      <c r="K20" s="133" t="s">
        <v>2491</v>
      </c>
      <c r="L20" s="134"/>
      <c r="M20" s="25"/>
      <c r="N20" s="25"/>
      <c r="O20" s="50" t="str">
        <f>IFERROR(__xludf.DUMMYFUNCTION("query(C28:L507,""select Col1,Col3,Col8,Col9 where (Col8 = 'Adiantamento' or Col8 = 'Consumo') and Col9 = '""&amp;B6&amp;""'"",1)"),"Data")</f>
        <v>Data</v>
      </c>
      <c r="P20" s="50" t="str">
        <f>IFERROR(__xludf.DUMMYFUNCTION("""COMPUTED_VALUE"""),"Valor ")</f>
        <v>Valor </v>
      </c>
      <c r="Q20" s="50" t="str">
        <f>IFERROR(__xludf.DUMMYFUNCTION("""COMPUTED_VALUE"""),"Tipo")</f>
        <v>Tipo</v>
      </c>
      <c r="R20" s="51" t="str">
        <f>IFERROR(__xludf.DUMMYFUNCTION("""COMPUTED_VALUE"""),"Funcionário")</f>
        <v>Funcionário</v>
      </c>
      <c r="S20" s="49"/>
      <c r="T20" s="50" t="str">
        <f>IFERROR(__xludf.DUMMYFUNCTION("query(C28:L507,""select Col1,Col3,Col8,Col9 where (Col8 = 'Adiantamento' or Col8 = 'Consumo') and Col9 = '""&amp;B7&amp;""'"",1)"),"Data")</f>
        <v>Data</v>
      </c>
      <c r="U20" s="50" t="str">
        <f>IFERROR(__xludf.DUMMYFUNCTION("""COMPUTED_VALUE"""),"Valor ")</f>
        <v>Valor </v>
      </c>
      <c r="V20" s="50" t="str">
        <f>IFERROR(__xludf.DUMMYFUNCTION("""COMPUTED_VALUE"""),"Tipo")</f>
        <v>Tipo</v>
      </c>
      <c r="W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SUMIFS(N29:N504,J29:J504,C21,K29:K504,C19)</f>
        <v>0</v>
      </c>
      <c r="E21" s="126" t="s">
        <v>2019</v>
      </c>
      <c r="F21" s="128">
        <f>SUMIFS(N29:N504,J29:J504,E21,K29:K504,E19)</f>
        <v>0</v>
      </c>
      <c r="G21" s="86" t="s">
        <v>2522</v>
      </c>
      <c r="H21" s="127">
        <f>SUMIFS(N29:N504,D29:D504,"Saída",J29:J504,"Sangria")</f>
        <v>34900</v>
      </c>
      <c r="I21" s="138"/>
      <c r="J21" s="139"/>
      <c r="K21" s="133" t="s">
        <v>2530</v>
      </c>
      <c r="L21" s="134"/>
      <c r="M21" s="25"/>
      <c r="N21" s="25"/>
      <c r="O21" s="238">
        <f>IFERROR(__xludf.DUMMYFUNCTION("""COMPUTED_VALUE"""),45956.95141203704)</f>
        <v>45956.95141</v>
      </c>
      <c r="P21" s="53" t="str">
        <f>IFERROR(__xludf.DUMMYFUNCTION("""COMPUTED_VALUE"""),"R$ 24,78")</f>
        <v>R$ 24,78</v>
      </c>
      <c r="Q21" s="53" t="str">
        <f>IFERROR(__xludf.DUMMYFUNCTION("""COMPUTED_VALUE"""),"Consumo")</f>
        <v>Consumo</v>
      </c>
      <c r="R21" s="54" t="str">
        <f>IFERROR(__xludf.DUMMYFUNCTION("""COMPUTED_VALUE"""),"Isabeli Grassmann")</f>
        <v>Isabeli Grassmann</v>
      </c>
      <c r="S21" s="55"/>
      <c r="T21" s="238">
        <f>IFERROR(__xludf.DUMMYFUNCTION("""COMPUTED_VALUE"""),45960.83038194444)</f>
        <v>45960.83038</v>
      </c>
      <c r="U21" s="53" t="str">
        <f>IFERROR(__xludf.DUMMYFUNCTION("""COMPUTED_VALUE"""),"R$ 5,00")</f>
        <v>R$ 5,00</v>
      </c>
      <c r="V21" s="53" t="str">
        <f>IFERROR(__xludf.DUMMYFUNCTION("""COMPUTED_VALUE"""),"Consumo")</f>
        <v>Consumo</v>
      </c>
      <c r="W21" s="54" t="str">
        <f>IFERROR(__xludf.DUMMYFUNCTION("""COMPUTED_VALUE"""),"Helena Cardoso")</f>
        <v>Helena Cardoso</v>
      </c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SUMIFS(N29:N504,D29:D504,"Entrada",J29:J504,"Sangria")</f>
        <v>0</v>
      </c>
      <c r="I22" s="144" t="s">
        <v>2556</v>
      </c>
      <c r="J22" s="145"/>
      <c r="K22" s="133" t="s">
        <v>2559</v>
      </c>
      <c r="L22" s="134"/>
      <c r="M22" s="25"/>
      <c r="N22" s="25"/>
      <c r="O22" s="238">
        <f>IFERROR(__xludf.DUMMYFUNCTION("""COMPUTED_VALUE"""),45962.73167824074)</f>
        <v>45962.73168</v>
      </c>
      <c r="P22" s="53" t="str">
        <f>IFERROR(__xludf.DUMMYFUNCTION("""COMPUTED_VALUE"""),"R$ 20,25")</f>
        <v>R$ 20,25</v>
      </c>
      <c r="Q22" s="53" t="str">
        <f>IFERROR(__xludf.DUMMYFUNCTION("""COMPUTED_VALUE"""),"Consumo")</f>
        <v>Consumo</v>
      </c>
      <c r="R22" s="54" t="str">
        <f>IFERROR(__xludf.DUMMYFUNCTION("""COMPUTED_VALUE"""),"Isabeli Grassmann")</f>
        <v>Isabeli Grassmann</v>
      </c>
      <c r="S22" s="55"/>
      <c r="T22" s="238">
        <f>IFERROR(__xludf.DUMMYFUNCTION("""COMPUTED_VALUE"""),45964.74952546296)</f>
        <v>45964.74953</v>
      </c>
      <c r="U22" s="53" t="str">
        <f>IFERROR(__xludf.DUMMYFUNCTION("""COMPUTED_VALUE"""),"R$ 19,00")</f>
        <v>R$ 19,00</v>
      </c>
      <c r="V22" s="53" t="str">
        <f>IFERROR(__xludf.DUMMYFUNCTION("""COMPUTED_VALUE"""),"Consumo")</f>
        <v>Consumo</v>
      </c>
      <c r="W22" s="54" t="str">
        <f>IFERROR(__xludf.DUMMYFUNCTION("""COMPUTED_VALUE"""),"Helena Cardoso")</f>
        <v>Helena Cardoso</v>
      </c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SUMIF(J29:J504,I22,N29:N504)</f>
        <v>0</v>
      </c>
      <c r="J23" s="152"/>
      <c r="K23" s="133" t="s">
        <v>2578</v>
      </c>
      <c r="L23" s="134"/>
      <c r="M23" s="25"/>
      <c r="N23" s="25"/>
      <c r="O23" s="238">
        <f>IFERROR(__xludf.DUMMYFUNCTION("""COMPUTED_VALUE"""),45966.83480324074)</f>
        <v>45966.8348</v>
      </c>
      <c r="P23" s="53" t="str">
        <f>IFERROR(__xludf.DUMMYFUNCTION("""COMPUTED_VALUE"""),"R$ 26,04")</f>
        <v>R$ 26,04</v>
      </c>
      <c r="Q23" s="53" t="str">
        <f>IFERROR(__xludf.DUMMYFUNCTION("""COMPUTED_VALUE"""),"Consumo")</f>
        <v>Consumo</v>
      </c>
      <c r="R23" s="54" t="str">
        <f>IFERROR(__xludf.DUMMYFUNCTION("""COMPUTED_VALUE"""),"Isabeli Grassmann")</f>
        <v>Isabeli Grassmann</v>
      </c>
      <c r="S23" s="55"/>
      <c r="T23" s="238">
        <f>IFERROR(__xludf.DUMMYFUNCTION("""COMPUTED_VALUE"""),45966.83517361111)</f>
        <v>45966.83517</v>
      </c>
      <c r="U23" s="53" t="str">
        <f>IFERROR(__xludf.DUMMYFUNCTION("""COMPUTED_VALUE"""),"R$ 27,24")</f>
        <v>R$ 27,24</v>
      </c>
      <c r="V23" s="53" t="str">
        <f>IFERROR(__xludf.DUMMYFUNCTION("""COMPUTED_VALUE"""),"Consumo")</f>
        <v>Consumo</v>
      </c>
      <c r="W23" s="54" t="str">
        <f>IFERROR(__xludf.DUMMYFUNCTION("""COMPUTED_VALUE"""),"Helena Cardoso")</f>
        <v>Helena Cardoso</v>
      </c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SUMIF(L29:L504,G24,N29:N504)</f>
        <v>0</v>
      </c>
      <c r="I24" s="157" t="s">
        <v>2593</v>
      </c>
      <c r="J24" s="150"/>
      <c r="K24" s="133" t="s">
        <v>2594</v>
      </c>
      <c r="L24" s="134"/>
      <c r="M24" s="25"/>
      <c r="N24" s="25"/>
      <c r="O24" s="238">
        <f>IFERROR(__xludf.DUMMYFUNCTION("""COMPUTED_VALUE"""),45975.52453703704)</f>
        <v>45975.52454</v>
      </c>
      <c r="P24" s="53" t="str">
        <f>IFERROR(__xludf.DUMMYFUNCTION("""COMPUTED_VALUE"""),"R$ 19,12")</f>
        <v>R$ 19,12</v>
      </c>
      <c r="Q24" s="53" t="str">
        <f>IFERROR(__xludf.DUMMYFUNCTION("""COMPUTED_VALUE"""),"Consumo")</f>
        <v>Consumo</v>
      </c>
      <c r="R24" s="54" t="str">
        <f>IFERROR(__xludf.DUMMYFUNCTION("""COMPUTED_VALUE"""),"Isabeli Grassmann")</f>
        <v>Isabeli Grassmann</v>
      </c>
      <c r="S24" s="55"/>
      <c r="T24" s="238">
        <f>IFERROR(__xludf.DUMMYFUNCTION("""COMPUTED_VALUE"""),45970.92969907407)</f>
        <v>45970.9297</v>
      </c>
      <c r="U24" s="53" t="str">
        <f>IFERROR(__xludf.DUMMYFUNCTION("""COMPUTED_VALUE"""),"R$ 5,00")</f>
        <v>R$ 5,00</v>
      </c>
      <c r="V24" s="53" t="str">
        <f>IFERROR(__xludf.DUMMYFUNCTION("""COMPUTED_VALUE"""),"Consumo")</f>
        <v>Consumo</v>
      </c>
      <c r="W24" s="54" t="str">
        <f>IFERROR(__xludf.DUMMYFUNCTION("""COMPUTED_VALUE"""),"Helena Cardoso")</f>
        <v>Helena Cardoso</v>
      </c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SUMIF(L29:L504,G25,N29:N504)</f>
        <v>0</v>
      </c>
      <c r="I25" s="151">
        <f>SUMIF(J29:J504,I24,N29:N504)</f>
        <v>0</v>
      </c>
      <c r="J25" s="152"/>
      <c r="K25" s="162"/>
      <c r="L25" s="163"/>
      <c r="M25" s="26"/>
      <c r="N25" s="26"/>
      <c r="O25" s="238">
        <f>IFERROR(__xludf.DUMMYFUNCTION("""COMPUTED_VALUE"""),45976.527916666666)</f>
        <v>45976.52792</v>
      </c>
      <c r="P25" s="53" t="str">
        <f>IFERROR(__xludf.DUMMYFUNCTION("""COMPUTED_VALUE"""),"R$ 5,00")</f>
        <v>R$ 5,00</v>
      </c>
      <c r="Q25" s="53" t="str">
        <f>IFERROR(__xludf.DUMMYFUNCTION("""COMPUTED_VALUE"""),"Consumo")</f>
        <v>Consumo</v>
      </c>
      <c r="R25" s="54" t="str">
        <f>IFERROR(__xludf.DUMMYFUNCTION("""COMPUTED_VALUE"""),"Isabeli Grassmann")</f>
        <v>Isabeli Grassmann</v>
      </c>
      <c r="S25" s="55"/>
      <c r="T25" s="238">
        <f>IFERROR(__xludf.DUMMYFUNCTION("""COMPUTED_VALUE"""),45971.92570601852)</f>
        <v>45971.92571</v>
      </c>
      <c r="U25" s="53" t="str">
        <f>IFERROR(__xludf.DUMMYFUNCTION("""COMPUTED_VALUE"""),"R$ 12,71")</f>
        <v>R$ 12,71</v>
      </c>
      <c r="V25" s="53" t="str">
        <f>IFERROR(__xludf.DUMMYFUNCTION("""COMPUTED_VALUE"""),"Consumo")</f>
        <v>Consumo</v>
      </c>
      <c r="W25" s="54" t="str">
        <f>IFERROR(__xludf.DUMMYFUNCTION("""COMPUTED_VALUE"""),"Helena Cardoso")</f>
        <v>Helena Cardoso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238">
        <f>IFERROR(__xludf.DUMMYFUNCTION("""COMPUTED_VALUE"""),45981.788252314815)</f>
        <v>45981.78825</v>
      </c>
      <c r="P26" s="79" t="str">
        <f>IFERROR(__xludf.DUMMYFUNCTION("""COMPUTED_VALUE"""),"R$ 43,76")</f>
        <v>R$ 43,76</v>
      </c>
      <c r="Q26" s="79" t="str">
        <f>IFERROR(__xludf.DUMMYFUNCTION("""COMPUTED_VALUE"""),"Consumo")</f>
        <v>Consumo</v>
      </c>
      <c r="R26" s="80" t="str">
        <f>IFERROR(__xludf.DUMMYFUNCTION("""COMPUTED_VALUE"""),"Isabeli Grassmann")</f>
        <v>Isabeli Grassmann</v>
      </c>
      <c r="S26" s="81"/>
      <c r="T26" s="238">
        <f>IFERROR(__xludf.DUMMYFUNCTION("""COMPUTED_VALUE"""),45975.52327546296)</f>
        <v>45975.52328</v>
      </c>
      <c r="U26" s="79" t="str">
        <f>IFERROR(__xludf.DUMMYFUNCTION("""COMPUTED_VALUE"""),"R$ 13,84")</f>
        <v>R$ 13,84</v>
      </c>
      <c r="V26" s="79" t="str">
        <f>IFERROR(__xludf.DUMMYFUNCTION("""COMPUTED_VALUE"""),"Consumo")</f>
        <v>Consumo</v>
      </c>
      <c r="W26" s="80" t="str">
        <f>IFERROR(__xludf.DUMMYFUNCTION("""COMPUTED_VALUE"""),"Helena Cardoso")</f>
        <v>Helena Cardoso</v>
      </c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04"/>
      <c r="N27" s="167"/>
      <c r="O27" s="89"/>
      <c r="P27" s="89"/>
      <c r="Q27" s="89"/>
      <c r="R27" s="90"/>
      <c r="S27" s="91"/>
      <c r="T27" s="267">
        <f>IFERROR(__xludf.DUMMYFUNCTION("""COMPUTED_VALUE"""),45976.527604166666)</f>
        <v>45976.5276</v>
      </c>
      <c r="U27" s="89" t="str">
        <f>IFERROR(__xludf.DUMMYFUNCTION("""COMPUTED_VALUE"""),"R$ 3,00")</f>
        <v>R$ 3,00</v>
      </c>
      <c r="V27" s="89" t="str">
        <f>IFERROR(__xludf.DUMMYFUNCTION("""COMPUTED_VALUE"""),"Consumo")</f>
        <v>Consumo</v>
      </c>
      <c r="W27" s="90" t="str">
        <f>IFERROR(__xludf.DUMMYFUNCTION("""COMPUTED_VALUE"""),"Helena Cardoso")</f>
        <v>Helena Cardoso</v>
      </c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268" t="s">
        <v>2647</v>
      </c>
      <c r="M28" s="269" t="s">
        <v>8</v>
      </c>
      <c r="N28" s="167"/>
      <c r="O28" s="89"/>
      <c r="P28" s="89"/>
      <c r="Q28" s="89"/>
      <c r="R28" s="90"/>
      <c r="S28" s="91"/>
      <c r="T28" s="267">
        <f>IFERROR(__xludf.DUMMYFUNCTION("""COMPUTED_VALUE"""),45976.94431712963)</f>
        <v>45976.94432</v>
      </c>
      <c r="U28" s="89" t="str">
        <f>IFERROR(__xludf.DUMMYFUNCTION("""COMPUTED_VALUE"""),"R$ 10,44")</f>
        <v>R$ 10,44</v>
      </c>
      <c r="V28" s="89" t="str">
        <f>IFERROR(__xludf.DUMMYFUNCTION("""COMPUTED_VALUE"""),"Consumo")</f>
        <v>Consumo</v>
      </c>
      <c r="W28" s="90" t="str">
        <f>IFERROR(__xludf.DUMMYFUNCTION("""COMPUTED_VALUE"""),"Helena Cardoso")</f>
        <v>Helena Cardoso</v>
      </c>
    </row>
    <row r="29" ht="14.25" customHeight="1">
      <c r="A29" s="178"/>
      <c r="B29" s="12">
        <v>1758162.0</v>
      </c>
      <c r="C29" s="13">
        <v>45955.61822916667</v>
      </c>
      <c r="D29" s="179" t="s">
        <v>152</v>
      </c>
      <c r="E29" s="180" t="s">
        <v>6598</v>
      </c>
      <c r="F29" s="181"/>
      <c r="G29" s="179" t="s">
        <v>158</v>
      </c>
      <c r="H29" s="182"/>
      <c r="I29" s="182"/>
      <c r="J29" s="183" t="s">
        <v>2669</v>
      </c>
      <c r="K29" s="183"/>
      <c r="L29" s="270" t="str">
        <f>IFERROR(__xludf.DUMMYFUNCTION("IF(
  AND(D29=""Saída"", J29=""Sangria""),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IFERROR(__xludf.DUMMYFUNCTION("ifna(VALUE(REGEXEXTRACT(E29,""[0-9.]+[,]+[0-9]+"")))"),68.5)</f>
        <v>68.5</v>
      </c>
      <c r="O29" s="89"/>
      <c r="P29" s="89"/>
      <c r="Q29" s="89"/>
      <c r="R29" s="90"/>
      <c r="S29" s="91"/>
      <c r="T29" s="267">
        <f>IFERROR(__xludf.DUMMYFUNCTION("""COMPUTED_VALUE"""),45980.84490740741)</f>
        <v>45980.84491</v>
      </c>
      <c r="U29" s="89" t="str">
        <f>IFERROR(__xludf.DUMMYFUNCTION("""COMPUTED_VALUE"""),"R$ 33,09")</f>
        <v>R$ 33,09</v>
      </c>
      <c r="V29" s="89" t="str">
        <f>IFERROR(__xludf.DUMMYFUNCTION("""COMPUTED_VALUE"""),"Consumo")</f>
        <v>Consumo</v>
      </c>
      <c r="W29" s="90" t="str">
        <f>IFERROR(__xludf.DUMMYFUNCTION("""COMPUTED_VALUE"""),"Helena Cardoso")</f>
        <v>Helena Cardoso</v>
      </c>
    </row>
    <row r="30" ht="14.25" customHeight="1">
      <c r="A30" s="178"/>
      <c r="B30" s="12">
        <v>1759733.0</v>
      </c>
      <c r="C30" s="13">
        <v>45955.9146875</v>
      </c>
      <c r="D30" s="179" t="s">
        <v>81</v>
      </c>
      <c r="E30" s="180" t="s">
        <v>6599</v>
      </c>
      <c r="F30" s="181"/>
      <c r="G30" s="179" t="s">
        <v>6600</v>
      </c>
      <c r="H30" s="186"/>
      <c r="I30" s="186"/>
      <c r="J30" s="187" t="s">
        <v>3151</v>
      </c>
      <c r="K30" s="187"/>
      <c r="L30" s="270" t="str">
        <f>IFERROR(__xludf.DUMMYFUNCTION("IF(
  AND(D30=""Saída"", J30=""Sangria""),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2" t="str">
        <f>IFERROR(__xludf.DUMMYFUNCTION("IF(J30=""Compra de Mercadorias"",
   IF(
      COUNTIF(ARRAYFORMULA(TRIM(CLEAN(TO_TEXT(Notas!BS:BS)))), TRIM(CLEAN(TO_TEXT(B30)))) &gt; 0,
      ""Encontrada"",
      ""Não Encontrada""
   ),
"""")"),"Não Encontrada")</f>
        <v>Não Encontrada</v>
      </c>
      <c r="N30" s="185">
        <f>IFERROR(__xludf.DUMMYFUNCTION("ifna(VALUE(REGEXEXTRACT(E30,""[0-9.]+[,]+[0-9]+"")))"),64.95)</f>
        <v>64.95</v>
      </c>
      <c r="O30" s="89"/>
      <c r="P30" s="89"/>
      <c r="Q30" s="89"/>
      <c r="R30" s="90"/>
      <c r="S30" s="91"/>
      <c r="T30" s="267">
        <f>IFERROR(__xludf.DUMMYFUNCTION("""COMPUTED_VALUE"""),45984.90047453703)</f>
        <v>45984.90047</v>
      </c>
      <c r="U30" s="89" t="str">
        <f>IFERROR(__xludf.DUMMYFUNCTION("""COMPUTED_VALUE"""),"R$ 16,71")</f>
        <v>R$ 16,71</v>
      </c>
      <c r="V30" s="89" t="str">
        <f>IFERROR(__xludf.DUMMYFUNCTION("""COMPUTED_VALUE"""),"Consumo")</f>
        <v>Consumo</v>
      </c>
      <c r="W30" s="90" t="str">
        <f>IFERROR(__xludf.DUMMYFUNCTION("""COMPUTED_VALUE"""),"Helena Cardoso")</f>
        <v>Helena Cardoso</v>
      </c>
    </row>
    <row r="31" ht="14.25" customHeight="1">
      <c r="A31" s="178"/>
      <c r="B31" s="12">
        <v>1759801.0</v>
      </c>
      <c r="C31" s="13">
        <v>45955.920648148145</v>
      </c>
      <c r="D31" s="179" t="s">
        <v>81</v>
      </c>
      <c r="E31" s="180" t="s">
        <v>3362</v>
      </c>
      <c r="F31" s="181"/>
      <c r="G31" s="179" t="s">
        <v>3587</v>
      </c>
      <c r="H31" s="186"/>
      <c r="I31" s="186"/>
      <c r="J31" s="187" t="s">
        <v>2735</v>
      </c>
      <c r="K31" s="187" t="s">
        <v>2018</v>
      </c>
      <c r="L31" s="270" t="str">
        <f>IFERROR(__xludf.DUMMYFUNCTION("IF(
  AND(D31=""Saída"", J31=""Sangria""),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"),"Confirmada")</f>
        <v>Confirmada</v>
      </c>
      <c r="M31" s="273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IFERROR(__xludf.DUMMYFUNCTION("ifna(VALUE(REGEXEXTRACT(E31,""[0-9.]+[,]+[0-9]+"")))"),2150.0)</f>
        <v>2150</v>
      </c>
      <c r="O31" s="89"/>
      <c r="P31" s="89"/>
      <c r="Q31" s="89"/>
      <c r="R31" s="90"/>
      <c r="S31" s="91"/>
      <c r="T31" s="89"/>
      <c r="U31" s="89"/>
      <c r="V31" s="89"/>
      <c r="W31" s="90"/>
    </row>
    <row r="32" ht="14.25" customHeight="1">
      <c r="A32" s="178"/>
      <c r="B32" s="12">
        <v>1761520.0</v>
      </c>
      <c r="C32" s="13">
        <v>45956.79472222222</v>
      </c>
      <c r="D32" s="179" t="s">
        <v>81</v>
      </c>
      <c r="E32" s="180" t="s">
        <v>4106</v>
      </c>
      <c r="F32" s="181"/>
      <c r="G32" s="179" t="s">
        <v>381</v>
      </c>
      <c r="H32" s="186"/>
      <c r="I32" s="186"/>
      <c r="J32" s="187" t="s">
        <v>2735</v>
      </c>
      <c r="K32" s="187" t="s">
        <v>2018</v>
      </c>
      <c r="L32" s="270" t="str">
        <f>IFERROR(__xludf.DUMMYFUNCTION("IF(
  AND(D32=""Saída"", J32=""Sangria""),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"),"Confirmada")</f>
        <v>Confirmada</v>
      </c>
      <c r="M32" s="272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IFERROR(__xludf.DUMMYFUNCTION("ifna(VALUE(REGEXEXTRACT(E32,""[0-9.]+[,]+[0-9]+"")))"),750.0)</f>
        <v>750</v>
      </c>
      <c r="O32" s="89"/>
      <c r="P32" s="89"/>
      <c r="Q32" s="89"/>
      <c r="R32" s="90"/>
      <c r="S32" s="91"/>
      <c r="T32" s="89"/>
      <c r="U32" s="89"/>
      <c r="V32" s="89"/>
      <c r="W32" s="90"/>
    </row>
    <row r="33" ht="14.25" customHeight="1">
      <c r="A33" s="178"/>
      <c r="B33" s="12">
        <v>1762728.0</v>
      </c>
      <c r="C33" s="13">
        <v>45956.95106481481</v>
      </c>
      <c r="D33" s="179" t="s">
        <v>81</v>
      </c>
      <c r="E33" s="180" t="s">
        <v>590</v>
      </c>
      <c r="F33" s="181"/>
      <c r="G33" s="179" t="s">
        <v>381</v>
      </c>
      <c r="H33" s="186"/>
      <c r="I33" s="186"/>
      <c r="J33" s="187" t="s">
        <v>2735</v>
      </c>
      <c r="K33" s="187" t="s">
        <v>2018</v>
      </c>
      <c r="L33" s="270" t="str">
        <f>IFERROR(__xludf.DUMMYFUNCTION("IF(
  AND(D33=""Saída"", J33=""Sangria""),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"),"Confirmada")</f>
        <v>Confirmada</v>
      </c>
      <c r="M33" s="274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IFERROR(__xludf.DUMMYFUNCTION("ifna(VALUE(REGEXEXTRACT(E33,""[0-9.]+[,]+[0-9]+"")))"),350.0)</f>
        <v>350</v>
      </c>
      <c r="O33" s="89"/>
      <c r="P33" s="89"/>
      <c r="Q33" s="89"/>
      <c r="R33" s="90"/>
      <c r="S33" s="91"/>
      <c r="T33" s="89"/>
      <c r="U33" s="89"/>
      <c r="V33" s="89"/>
      <c r="W33" s="90"/>
    </row>
    <row r="34" ht="14.25" customHeight="1">
      <c r="A34" s="178"/>
      <c r="B34" s="12">
        <v>1762731.0</v>
      </c>
      <c r="C34" s="13">
        <v>45956.95141203704</v>
      </c>
      <c r="D34" s="179" t="s">
        <v>81</v>
      </c>
      <c r="E34" s="180" t="s">
        <v>6602</v>
      </c>
      <c r="F34" s="181"/>
      <c r="G34" s="179" t="s">
        <v>544</v>
      </c>
      <c r="H34" s="186"/>
      <c r="I34" s="186"/>
      <c r="J34" s="187" t="s">
        <v>2019</v>
      </c>
      <c r="K34" s="187" t="s">
        <v>2078</v>
      </c>
      <c r="L34" s="270" t="str">
        <f>IFERROR(__xludf.DUMMYFUNCTION("IF(
  AND(D34=""Saída"", J34=""Sangria""),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2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85">
        <f>IFERROR(__xludf.DUMMYFUNCTION("ifna(VALUE(REGEXEXTRACT(E34,""[0-9.]+[,]+[0-9]+"")))"),24.78)</f>
        <v>24.78</v>
      </c>
      <c r="O34" s="109"/>
      <c r="P34" s="109"/>
      <c r="Q34" s="109"/>
      <c r="R34" s="111"/>
      <c r="S34" s="110"/>
      <c r="T34" s="109"/>
      <c r="U34" s="109"/>
      <c r="V34" s="109"/>
      <c r="W34" s="111"/>
    </row>
    <row r="35" ht="18.75" customHeight="1">
      <c r="A35" s="178"/>
      <c r="B35" s="12">
        <v>1762740.0</v>
      </c>
      <c r="C35" s="13">
        <v>45956.95239583333</v>
      </c>
      <c r="D35" s="179" t="s">
        <v>81</v>
      </c>
      <c r="E35" s="180" t="s">
        <v>6604</v>
      </c>
      <c r="F35" s="188"/>
      <c r="G35" s="179" t="s">
        <v>313</v>
      </c>
      <c r="H35" s="186"/>
      <c r="I35" s="186"/>
      <c r="J35" s="187" t="s">
        <v>3151</v>
      </c>
      <c r="K35" s="187"/>
      <c r="L35" s="270" t="str">
        <f>IFERROR(__xludf.DUMMYFUNCTION("IF(
  AND(D35=""Saída"", J35=""Sangria""),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74" t="str">
        <f>IFERROR(__xludf.DUMMYFUNCTION("IF(J35=""Compra de Mercadorias"",
   IF(
      COUNTIF(ARRAYFORMULA(TRIM(CLEAN(TO_TEXT(Notas!BS:BS)))), TRIM(CLEAN(TO_TEXT(B35)))) &gt; 0,
      ""Encontrada"",
      ""Não Encontrada""
   ),
"""")"),"Não Encontrada")</f>
        <v>Não Encontrada</v>
      </c>
      <c r="N35" s="185">
        <f>IFERROR(__xludf.DUMMYFUNCTION("ifna(VALUE(REGEXEXTRACT(E35,""[0-9.]+[,]+[0-9]+"")))"),173.03)</f>
        <v>173.03</v>
      </c>
      <c r="O35" s="275"/>
      <c r="P35" s="25"/>
      <c r="Q35" s="25"/>
      <c r="R35" s="25"/>
      <c r="S35" s="110"/>
      <c r="T35" s="25"/>
      <c r="U35" s="25"/>
      <c r="V35" s="25"/>
      <c r="W35" s="25"/>
    </row>
    <row r="36" ht="14.25" customHeight="1">
      <c r="A36" s="178"/>
      <c r="B36" s="12">
        <v>1764078.0</v>
      </c>
      <c r="C36" s="13">
        <v>45957.88159722222</v>
      </c>
      <c r="D36" s="179" t="s">
        <v>152</v>
      </c>
      <c r="E36" s="180" t="s">
        <v>343</v>
      </c>
      <c r="F36" s="181"/>
      <c r="G36" s="179" t="s">
        <v>5296</v>
      </c>
      <c r="H36" s="186"/>
      <c r="I36" s="186"/>
      <c r="J36" s="187" t="s">
        <v>5195</v>
      </c>
      <c r="K36" s="187"/>
      <c r="L36" s="270" t="str">
        <f>IFERROR(__xludf.DUMMYFUNCTION("IF(
  AND(D36=""Saída"", J36=""Sangria""),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2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IFERROR(__xludf.DUMMYFUNCTION("ifna(VALUE(REGEXEXTRACT(E36,""[0-9.]+[,]+[0-9]+"")))"),550.0)</f>
        <v>550</v>
      </c>
      <c r="O36" s="25"/>
      <c r="P36" s="25"/>
      <c r="Q36" s="25"/>
      <c r="R36" s="25"/>
      <c r="S36" s="110"/>
      <c r="T36" s="25"/>
      <c r="U36" s="25"/>
      <c r="V36" s="25"/>
      <c r="W36" s="25"/>
    </row>
    <row r="37" ht="14.25" customHeight="1">
      <c r="A37" s="178"/>
      <c r="B37" s="12">
        <v>1764083.0</v>
      </c>
      <c r="C37" s="13">
        <v>45957.88269675926</v>
      </c>
      <c r="D37" s="179" t="s">
        <v>81</v>
      </c>
      <c r="E37" s="180" t="s">
        <v>4295</v>
      </c>
      <c r="F37" s="181"/>
      <c r="G37" s="179" t="s">
        <v>6606</v>
      </c>
      <c r="H37" s="186"/>
      <c r="I37" s="186"/>
      <c r="J37" s="187" t="s">
        <v>3151</v>
      </c>
      <c r="K37" s="187"/>
      <c r="L37" s="270" t="str">
        <f>IFERROR(__xludf.DUMMYFUNCTION("IF(
  AND(D37=""Saída"", J37=""Sangria""),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74" t="str">
        <f>IFERROR(__xludf.DUMMYFUNCTION("IF(J37=""Compra de Mercadorias"",
   IF(
      COUNTIF(ARRAYFORMULA(TRIM(CLEAN(TO_TEXT(Notas!BS:BS)))), TRIM(CLEAN(TO_TEXT(B37)))) &gt; 0,
      ""Encontrada"",
      ""Não Encontrada""
   ),
"""")"),"Não Encontrada")</f>
        <v>Não Encontrada</v>
      </c>
      <c r="N37" s="185">
        <f>IFERROR(__xludf.DUMMYFUNCTION("ifna(VALUE(REGEXEXTRACT(E37,""[0-9.]+[,]+[0-9]+"")))"),39.98)</f>
        <v>39.98</v>
      </c>
      <c r="O37" s="193" t="str">
        <f>B8</f>
        <v/>
      </c>
      <c r="P37" s="106"/>
      <c r="Q37" s="106"/>
      <c r="R37" s="106"/>
      <c r="S37" s="110"/>
      <c r="T37" s="123" t="str">
        <f>B9</f>
        <v/>
      </c>
      <c r="U37" s="106"/>
      <c r="V37" s="106"/>
      <c r="W37" s="124"/>
    </row>
    <row r="38" ht="14.25" customHeight="1">
      <c r="A38" s="178"/>
      <c r="B38" s="12">
        <v>1764144.0</v>
      </c>
      <c r="C38" s="13">
        <v>45957.899363425924</v>
      </c>
      <c r="D38" s="179" t="s">
        <v>81</v>
      </c>
      <c r="E38" s="180" t="s">
        <v>335</v>
      </c>
      <c r="F38" s="181"/>
      <c r="G38" s="179" t="s">
        <v>6607</v>
      </c>
      <c r="H38" s="186"/>
      <c r="I38" s="186"/>
      <c r="J38" s="187" t="s">
        <v>3375</v>
      </c>
      <c r="K38" s="187"/>
      <c r="L38" s="270" t="str">
        <f>IFERROR(__xludf.DUMMYFUNCTION("IF(
  AND(D38=""Saída"", J38=""Sangria""),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2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IFERROR(__xludf.DUMMYFUNCTION("ifna(VALUE(REGEXEXTRACT(E38,""[0-9.]+[,]+[0-9]+"")))"),10.0)</f>
        <v>10</v>
      </c>
      <c r="O38" s="46" t="str">
        <f>IFERROR(__xludf.DUMMYFUNCTION("query(C28:L507,""select Col1,Col3,Col8,Col9 where (Col8 = 'Adiantamento' or Col8 = 'Consumo') and Col9 = '""&amp;B8&amp;""'"",1)"),"Data")</f>
        <v>Data</v>
      </c>
      <c r="P38" s="47" t="str">
        <f>IFERROR(__xludf.DUMMYFUNCTION("""COMPUTED_VALUE"""),"Valor ")</f>
        <v>Valor </v>
      </c>
      <c r="Q38" s="47" t="str">
        <f>IFERROR(__xludf.DUMMYFUNCTION("""COMPUTED_VALUE"""),"Tipo")</f>
        <v>Tipo</v>
      </c>
      <c r="R38" s="47" t="str">
        <f>IFERROR(__xludf.DUMMYFUNCTION("""COMPUTED_VALUE"""),"Funcionário")</f>
        <v>Funcionário</v>
      </c>
      <c r="S38" s="49"/>
      <c r="T38" s="50" t="str">
        <f>IFERROR(__xludf.DUMMYFUNCTION("query(C28:L507,""select Col1,Col3,Col8,Col9 where (Col8 = 'Adiantamento' or Col8 = 'Consumo') and Col9 = '""&amp;B9&amp;""'"",1)"),"Data")</f>
        <v>Data</v>
      </c>
      <c r="U38" s="50" t="str">
        <f>IFERROR(__xludf.DUMMYFUNCTION("""COMPUTED_VALUE"""),"Valor ")</f>
        <v>Valor </v>
      </c>
      <c r="V38" s="50" t="str">
        <f>IFERROR(__xludf.DUMMYFUNCTION("""COMPUTED_VALUE"""),"Tipo")</f>
        <v>Tipo</v>
      </c>
      <c r="W38" s="51" t="str">
        <f>IFERROR(__xludf.DUMMYFUNCTION("""COMPUTED_VALUE"""),"Funcionário")</f>
        <v>Funcionário</v>
      </c>
    </row>
    <row r="39" ht="21.75" customHeight="1">
      <c r="A39" s="178"/>
      <c r="B39" s="12">
        <v>1764394.0</v>
      </c>
      <c r="C39" s="13">
        <v>45957.93199074074</v>
      </c>
      <c r="D39" s="179" t="s">
        <v>81</v>
      </c>
      <c r="E39" s="180" t="s">
        <v>6609</v>
      </c>
      <c r="F39" s="181"/>
      <c r="G39" s="179" t="s">
        <v>5535</v>
      </c>
      <c r="H39" s="186"/>
      <c r="I39" s="186"/>
      <c r="J39" s="187" t="s">
        <v>2438</v>
      </c>
      <c r="K39" s="187"/>
      <c r="L39" s="270" t="str">
        <f>IFERROR(__xludf.DUMMYFUNCTION("IF(
  AND(D39=""Saída"", J39=""Sangria""),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74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IFERROR(__xludf.DUMMYFUNCTION("ifna(VALUE(REGEXEXTRACT(E39,""[0-9.]+[,]+[0-9]+"")))"),78.12)</f>
        <v>78.12</v>
      </c>
      <c r="O39" s="52"/>
      <c r="P39" s="53"/>
      <c r="Q39" s="53"/>
      <c r="R39" s="53"/>
      <c r="S39" s="55"/>
      <c r="T39" s="53"/>
      <c r="U39" s="53"/>
      <c r="V39" s="53"/>
      <c r="W39" s="54"/>
    </row>
    <row r="40" ht="14.25" customHeight="1">
      <c r="A40" s="178"/>
      <c r="B40" s="12">
        <v>1764423.0</v>
      </c>
      <c r="C40" s="13">
        <v>45957.93644675926</v>
      </c>
      <c r="D40" s="179" t="s">
        <v>81</v>
      </c>
      <c r="E40" s="180" t="s">
        <v>6610</v>
      </c>
      <c r="F40" s="181"/>
      <c r="G40" s="179" t="s">
        <v>6355</v>
      </c>
      <c r="H40" s="186"/>
      <c r="I40" s="186"/>
      <c r="J40" s="187" t="s">
        <v>1782</v>
      </c>
      <c r="K40" s="187"/>
      <c r="L40" s="270" t="str">
        <f>IFERROR(__xludf.DUMMYFUNCTION("IF(
  AND(D40=""Saída"", J40=""Sangria""),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2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85">
        <f>IFERROR(__xludf.DUMMYFUNCTION("ifna(VALUE(REGEXEXTRACT(E40,""[0-9.]+[,]+[0-9]+"")))"),249.0)</f>
        <v>249</v>
      </c>
      <c r="O40" s="52"/>
      <c r="P40" s="53"/>
      <c r="Q40" s="53"/>
      <c r="R40" s="53"/>
      <c r="S40" s="55"/>
      <c r="T40" s="53"/>
      <c r="U40" s="53"/>
      <c r="V40" s="53"/>
      <c r="W40" s="54"/>
    </row>
    <row r="41" ht="14.25" customHeight="1">
      <c r="A41" s="178"/>
      <c r="B41" s="12">
        <v>1764460.0</v>
      </c>
      <c r="C41" s="13">
        <v>45957.94228009259</v>
      </c>
      <c r="D41" s="179" t="s">
        <v>81</v>
      </c>
      <c r="E41" s="180" t="s">
        <v>343</v>
      </c>
      <c r="F41" s="181"/>
      <c r="G41" s="179" t="s">
        <v>5296</v>
      </c>
      <c r="H41" s="186"/>
      <c r="I41" s="186"/>
      <c r="J41" s="187" t="s">
        <v>5195</v>
      </c>
      <c r="K41" s="187"/>
      <c r="L41" s="270" t="str">
        <f>IFERROR(__xludf.DUMMYFUNCTION("IF(
  AND(D41=""Saída"", J41=""Sangria""),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74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IFERROR(__xludf.DUMMYFUNCTION("ifna(VALUE(REGEXEXTRACT(E41,""[0-9.]+[,]+[0-9]+"")))"),550.0)</f>
        <v>550</v>
      </c>
      <c r="O41" s="52"/>
      <c r="P41" s="53"/>
      <c r="Q41" s="53"/>
      <c r="R41" s="53"/>
      <c r="S41" s="55"/>
      <c r="T41" s="53"/>
      <c r="U41" s="53"/>
      <c r="V41" s="53"/>
      <c r="W41" s="54"/>
    </row>
    <row r="42" ht="14.25" customHeight="1">
      <c r="A42" s="178"/>
      <c r="B42" s="12">
        <v>1764468.0</v>
      </c>
      <c r="C42" s="13">
        <v>45957.94416666667</v>
      </c>
      <c r="D42" s="179" t="s">
        <v>81</v>
      </c>
      <c r="E42" s="180" t="s">
        <v>6611</v>
      </c>
      <c r="F42" s="181"/>
      <c r="G42" s="179" t="s">
        <v>6612</v>
      </c>
      <c r="H42" s="186"/>
      <c r="I42" s="186"/>
      <c r="J42" s="187" t="s">
        <v>3151</v>
      </c>
      <c r="K42" s="187"/>
      <c r="L42" s="270" t="str">
        <f>IFERROR(__xludf.DUMMYFUNCTION("IF(
  AND(D42=""Saída"", J42=""Sangria""),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76" t="str">
        <f>IFERROR(__xludf.DUMMYFUNCTION("IF(J42=""Compra de Mercadorias"",
   IF(
      COUNTIF(ARRAYFORMULA(TRIM(CLEAN(TO_TEXT(Notas!BS:BS)))), TRIM(CLEAN(TO_TEXT(B42)))) &gt; 0,
      ""Encontrada"",
      ""Não Encontrada""
   ),
"""")"),"Não Encontrada")</f>
        <v>Não Encontrada</v>
      </c>
      <c r="N42" s="185">
        <f>IFERROR(__xludf.DUMMYFUNCTION("ifna(VALUE(REGEXEXTRACT(E42,""[0-9.]+[,]+[0-9]+"")))"),526.49)</f>
        <v>526.49</v>
      </c>
      <c r="O42" s="52"/>
      <c r="P42" s="53"/>
      <c r="Q42" s="53"/>
      <c r="R42" s="53"/>
      <c r="S42" s="55"/>
      <c r="T42" s="53"/>
      <c r="U42" s="53"/>
      <c r="V42" s="53"/>
      <c r="W42" s="54"/>
    </row>
    <row r="43" ht="14.25" customHeight="1">
      <c r="A43" s="178"/>
      <c r="B43" s="12">
        <v>1765667.0</v>
      </c>
      <c r="C43" s="13">
        <v>45958.921215277776</v>
      </c>
      <c r="D43" s="179" t="s">
        <v>81</v>
      </c>
      <c r="E43" s="180" t="s">
        <v>6614</v>
      </c>
      <c r="F43" s="181"/>
      <c r="G43" s="179" t="s">
        <v>6615</v>
      </c>
      <c r="H43" s="189"/>
      <c r="I43" s="189"/>
      <c r="J43" s="187" t="s">
        <v>3151</v>
      </c>
      <c r="K43" s="187"/>
      <c r="L43" s="270" t="str">
        <f>IFERROR(__xludf.DUMMYFUNCTION("IF(
  AND(D43=""Saída"", J43=""Sangria""),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74" t="str">
        <f>IFERROR(__xludf.DUMMYFUNCTION("IF(J43=""Compra de Mercadorias"",
   IF(
      COUNTIF(ARRAYFORMULA(TRIM(CLEAN(TO_TEXT(Notas!BS:BS)))), TRIM(CLEAN(TO_TEXT(B43)))) &gt; 0,
      ""Encontrada"",
      ""Não Encontrada""
   ),
"""")"),"Não Encontrada")</f>
        <v>Não Encontrada</v>
      </c>
      <c r="N43" s="185">
        <f>IFERROR(__xludf.DUMMYFUNCTION("ifna(VALUE(REGEXEXTRACT(E43,""[0-9.]+[,]+[0-9]+"")))"),19.98)</f>
        <v>19.98</v>
      </c>
      <c r="O43" s="52"/>
      <c r="P43" s="53"/>
      <c r="Q43" s="53"/>
      <c r="R43" s="53"/>
      <c r="S43" s="55"/>
      <c r="T43" s="53"/>
      <c r="U43" s="53"/>
      <c r="V43" s="53"/>
      <c r="W43" s="54"/>
    </row>
    <row r="44" ht="14.25" customHeight="1">
      <c r="A44" s="178"/>
      <c r="B44" s="12">
        <v>1765671.0</v>
      </c>
      <c r="C44" s="13">
        <v>45958.92140046296</v>
      </c>
      <c r="D44" s="179" t="s">
        <v>81</v>
      </c>
      <c r="E44" s="180" t="s">
        <v>6616</v>
      </c>
      <c r="F44" s="181"/>
      <c r="G44" s="179" t="s">
        <v>6615</v>
      </c>
      <c r="H44" s="189"/>
      <c r="I44" s="189"/>
      <c r="J44" s="187" t="s">
        <v>3151</v>
      </c>
      <c r="K44" s="187"/>
      <c r="L44" s="270" t="str">
        <f>IFERROR(__xludf.DUMMYFUNCTION("IF(
  AND(D44=""Saída"", J44=""Sangria""),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2" t="str">
        <f>IFERROR(__xludf.DUMMYFUNCTION("IF(J44=""Compra de Mercadorias"",
   IF(
      COUNTIF(ARRAYFORMULA(TRIM(CLEAN(TO_TEXT(Notas!BS:BS)))), TRIM(CLEAN(TO_TEXT(B44)))) &gt; 0,
      ""Encontrada"",
      ""Não Encontrada""
   ),
"""")"),"Não Encontrada")</f>
        <v>Não Encontrada</v>
      </c>
      <c r="N44" s="185">
        <f>IFERROR(__xludf.DUMMYFUNCTION("ifna(VALUE(REGEXEXTRACT(E44,""[0-9.]+[,]+[0-9]+"")))"),152.42)</f>
        <v>152.42</v>
      </c>
      <c r="O44" s="52"/>
      <c r="P44" s="79"/>
      <c r="Q44" s="79"/>
      <c r="R44" s="79"/>
      <c r="S44" s="81"/>
      <c r="T44" s="79"/>
      <c r="U44" s="79"/>
      <c r="V44" s="79"/>
      <c r="W44" s="80"/>
    </row>
    <row r="45" ht="14.25" customHeight="1">
      <c r="A45" s="178"/>
      <c r="B45" s="12">
        <v>1765706.0</v>
      </c>
      <c r="C45" s="13">
        <v>45958.9262962963</v>
      </c>
      <c r="D45" s="179" t="s">
        <v>81</v>
      </c>
      <c r="E45" s="180" t="s">
        <v>446</v>
      </c>
      <c r="F45" s="188"/>
      <c r="G45" s="179" t="s">
        <v>381</v>
      </c>
      <c r="H45" s="190"/>
      <c r="I45" s="190"/>
      <c r="J45" s="187" t="s">
        <v>2735</v>
      </c>
      <c r="K45" s="187" t="s">
        <v>6576</v>
      </c>
      <c r="L45" s="270" t="str">
        <f>IFERROR(__xludf.DUMMYFUNCTION("IF(
  AND(D45=""Saída"", J45=""Sangria""),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"),"Confirmada")</f>
        <v>Confirmada</v>
      </c>
      <c r="M45" s="274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IFERROR(__xludf.DUMMYFUNCTION("ifna(VALUE(REGEXEXTRACT(E45,""[0-9.]+[,]+[0-9]+"")))"),700.0)</f>
        <v>700</v>
      </c>
      <c r="O45" s="88"/>
      <c r="P45" s="89"/>
      <c r="Q45" s="89"/>
      <c r="R45" s="89"/>
      <c r="S45" s="91"/>
      <c r="T45" s="89"/>
      <c r="U45" s="89"/>
      <c r="V45" s="89"/>
      <c r="W45" s="90"/>
    </row>
    <row r="46" ht="18.75" customHeight="1">
      <c r="A46" s="178"/>
      <c r="B46" s="12">
        <v>1766977.0</v>
      </c>
      <c r="C46" s="13">
        <v>45959.91923611111</v>
      </c>
      <c r="D46" s="179" t="s">
        <v>81</v>
      </c>
      <c r="E46" s="180" t="s">
        <v>6619</v>
      </c>
      <c r="F46" s="181"/>
      <c r="G46" s="179" t="s">
        <v>6620</v>
      </c>
      <c r="H46" s="190"/>
      <c r="I46" s="190"/>
      <c r="J46" s="187" t="s">
        <v>3151</v>
      </c>
      <c r="K46" s="187"/>
      <c r="L46" s="270" t="str">
        <f>IFERROR(__xludf.DUMMYFUNCTION("IF(
  AND(D46=""Saída"", J46=""Sangria""),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2" t="str">
        <f>IFERROR(__xludf.DUMMYFUNCTION("IF(J46=""Compra de Mercadorias"",
   IF(
      COUNTIF(ARRAYFORMULA(TRIM(CLEAN(TO_TEXT(Notas!BS:BS)))), TRIM(CLEAN(TO_TEXT(B46)))) &gt; 0,
      ""Encontrada"",
      ""Não Encontrada""
   ),
"""")"),"Não Encontrada")</f>
        <v>Não Encontrada</v>
      </c>
      <c r="N46" s="185">
        <f>IFERROR(__xludf.DUMMYFUNCTION("ifna(VALUE(REGEXEXTRACT(E46,""[0-9.]+[,]+[0-9]+"")))"),62.05)</f>
        <v>62.05</v>
      </c>
      <c r="O46" s="88"/>
      <c r="P46" s="89"/>
      <c r="Q46" s="89"/>
      <c r="R46" s="89"/>
      <c r="S46" s="91"/>
      <c r="T46" s="89"/>
      <c r="U46" s="89"/>
      <c r="V46" s="89"/>
      <c r="W46" s="90"/>
    </row>
    <row r="47" ht="14.25" customHeight="1">
      <c r="A47" s="178"/>
      <c r="B47" s="12">
        <v>1766996.0</v>
      </c>
      <c r="C47" s="13">
        <v>45959.92091435185</v>
      </c>
      <c r="D47" s="179" t="s">
        <v>152</v>
      </c>
      <c r="E47" s="180" t="s">
        <v>6621</v>
      </c>
      <c r="F47" s="181"/>
      <c r="G47" s="179" t="s">
        <v>6341</v>
      </c>
      <c r="H47" s="190"/>
      <c r="I47" s="190"/>
      <c r="J47" s="187" t="s">
        <v>2669</v>
      </c>
      <c r="K47" s="187"/>
      <c r="L47" s="270" t="str">
        <f>IFERROR(__xludf.DUMMYFUNCTION("IF(
  AND(D47=""Saída"", J47=""Sangria""),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74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IFERROR(__xludf.DUMMYFUNCTION("ifna(VALUE(REGEXEXTRACT(E47,""[0-9.]+[,]+[0-9]+"")))"),61.2)</f>
        <v>61.2</v>
      </c>
      <c r="O47" s="88"/>
      <c r="P47" s="89"/>
      <c r="Q47" s="89"/>
      <c r="R47" s="89"/>
      <c r="S47" s="91"/>
      <c r="T47" s="89"/>
      <c r="U47" s="89"/>
      <c r="V47" s="89"/>
      <c r="W47" s="90"/>
    </row>
    <row r="48">
      <c r="A48" s="178"/>
      <c r="B48" s="12">
        <v>1767009.0</v>
      </c>
      <c r="C48" s="13">
        <v>45959.92239583333</v>
      </c>
      <c r="D48" s="179" t="s">
        <v>81</v>
      </c>
      <c r="E48" s="180" t="s">
        <v>457</v>
      </c>
      <c r="F48" s="188"/>
      <c r="G48" s="179" t="s">
        <v>4071</v>
      </c>
      <c r="H48" s="190"/>
      <c r="I48" s="190"/>
      <c r="J48" s="187" t="s">
        <v>2735</v>
      </c>
      <c r="K48" s="187" t="s">
        <v>2018</v>
      </c>
      <c r="L48" s="270" t="str">
        <f>IFERROR(__xludf.DUMMYFUNCTION("IF(
  AND(D48=""Saída"", J48=""Sangria""),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"),"Confirmada")</f>
        <v>Confirmada</v>
      </c>
      <c r="M48" s="272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IFERROR(__xludf.DUMMYFUNCTION("ifna(VALUE(REGEXEXTRACT(E48,""[0-9.]+[,]+[0-9]+"")))"),200.0)</f>
        <v>200</v>
      </c>
      <c r="O48" s="88"/>
      <c r="P48" s="89"/>
      <c r="Q48" s="89"/>
      <c r="R48" s="89"/>
      <c r="S48" s="91"/>
      <c r="T48" s="89"/>
      <c r="U48" s="89"/>
      <c r="V48" s="89"/>
      <c r="W48" s="90"/>
    </row>
    <row r="49" ht="14.25" customHeight="1">
      <c r="A49" s="178"/>
      <c r="B49" s="12">
        <v>1767998.0</v>
      </c>
      <c r="C49" s="13">
        <v>45960.83038194444</v>
      </c>
      <c r="D49" s="179" t="s">
        <v>81</v>
      </c>
      <c r="E49" s="180" t="s">
        <v>659</v>
      </c>
      <c r="F49" s="181"/>
      <c r="G49" s="179" t="s">
        <v>5861</v>
      </c>
      <c r="H49" s="190"/>
      <c r="I49" s="190"/>
      <c r="J49" s="187" t="s">
        <v>2019</v>
      </c>
      <c r="K49" s="187" t="s">
        <v>2117</v>
      </c>
      <c r="L49" s="270" t="str">
        <f>IFERROR(__xludf.DUMMYFUNCTION("IF(
  AND(D49=""Saída"", J49=""Sangria""),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74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IFERROR(__xludf.DUMMYFUNCTION("ifna(VALUE(REGEXEXTRACT(E49,""[0-9.]+[,]+[0-9]+"")))"),5.0)</f>
        <v>5</v>
      </c>
      <c r="O49" s="194"/>
      <c r="P49" s="195"/>
      <c r="Q49" s="196"/>
      <c r="R49" s="197"/>
      <c r="S49" s="91"/>
      <c r="T49" s="89"/>
      <c r="U49" s="89"/>
      <c r="V49" s="89"/>
      <c r="W49" s="90"/>
    </row>
    <row r="50" ht="14.25" customHeight="1">
      <c r="A50" s="178"/>
      <c r="B50" s="12">
        <v>1768541.0</v>
      </c>
      <c r="C50" s="13">
        <v>45960.98241898148</v>
      </c>
      <c r="D50" s="179" t="s">
        <v>81</v>
      </c>
      <c r="E50" s="180" t="s">
        <v>910</v>
      </c>
      <c r="F50" s="188"/>
      <c r="G50" s="179" t="s">
        <v>4071</v>
      </c>
      <c r="H50" s="190"/>
      <c r="I50" s="190"/>
      <c r="J50" s="187" t="s">
        <v>2735</v>
      </c>
      <c r="K50" s="187" t="s">
        <v>2018</v>
      </c>
      <c r="L50" s="270" t="str">
        <f>IFERROR(__xludf.DUMMYFUNCTION("IF(
  AND(D50=""Saída"", J50=""Sangria""),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"),"Confirmada")</f>
        <v>Confirmada</v>
      </c>
      <c r="M50" s="272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IFERROR(__xludf.DUMMYFUNCTION("ifna(VALUE(REGEXEXTRACT(E50,""[0-9.]+[,]+[0-9]+"")))"),1000.0)</f>
        <v>1000</v>
      </c>
      <c r="O50" s="88"/>
      <c r="P50" s="89"/>
      <c r="Q50" s="89"/>
      <c r="R50" s="89"/>
      <c r="S50" s="91"/>
      <c r="T50" s="89"/>
      <c r="U50" s="89"/>
      <c r="V50" s="89"/>
      <c r="W50" s="90"/>
    </row>
    <row r="51" ht="19.5" customHeight="1">
      <c r="A51" s="178"/>
      <c r="B51" s="12">
        <v>1770075.0</v>
      </c>
      <c r="C51" s="13">
        <v>45961.96034722222</v>
      </c>
      <c r="D51" s="179" t="s">
        <v>81</v>
      </c>
      <c r="E51" s="180" t="s">
        <v>6624</v>
      </c>
      <c r="F51" s="181"/>
      <c r="G51" s="179" t="s">
        <v>6625</v>
      </c>
      <c r="H51" s="190"/>
      <c r="I51" s="190"/>
      <c r="J51" s="187" t="s">
        <v>3151</v>
      </c>
      <c r="K51" s="187"/>
      <c r="L51" s="270" t="str">
        <f>IFERROR(__xludf.DUMMYFUNCTION("IF(
  AND(D51=""Saída"", J51=""Sangria""),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76" t="str">
        <f>IFERROR(__xludf.DUMMYFUNCTION("IF(J51=""Compra de Mercadorias"",
   IF(
      COUNTIF(ARRAYFORMULA(TRIM(CLEAN(TO_TEXT(Notas!BS:BS)))), TRIM(CLEAN(TO_TEXT(B51)))) &gt; 0,
      ""Encontrada"",
      ""Não Encontrada""
   ),
"""")"),"Não Encontrada")</f>
        <v>Não Encontrada</v>
      </c>
      <c r="N51" s="185">
        <f>IFERROR(__xludf.DUMMYFUNCTION("ifna(VALUE(REGEXEXTRACT(E51,""[0-9.]+[,]+[0-9]+"")))"),536.07)</f>
        <v>536.07</v>
      </c>
      <c r="O51" s="88"/>
      <c r="P51" s="89"/>
      <c r="Q51" s="89"/>
      <c r="R51" s="89"/>
      <c r="S51" s="91"/>
      <c r="T51" s="89"/>
      <c r="U51" s="89"/>
      <c r="V51" s="89"/>
      <c r="W51" s="90"/>
    </row>
    <row r="52" ht="14.25" customHeight="1">
      <c r="A52" s="178"/>
      <c r="B52" s="12">
        <v>1770076.0</v>
      </c>
      <c r="C52" s="13">
        <v>45961.960486111115</v>
      </c>
      <c r="D52" s="179" t="s">
        <v>81</v>
      </c>
      <c r="E52" s="180" t="s">
        <v>6626</v>
      </c>
      <c r="F52" s="181"/>
      <c r="G52" s="179" t="s">
        <v>6625</v>
      </c>
      <c r="H52" s="190"/>
      <c r="I52" s="190"/>
      <c r="J52" s="187" t="s">
        <v>3151</v>
      </c>
      <c r="K52" s="187"/>
      <c r="L52" s="270" t="str">
        <f>IFERROR(__xludf.DUMMYFUNCTION("IF(
  AND(D52=""Saída"", J52=""Sangria""),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3" t="str">
        <f>IFERROR(__xludf.DUMMYFUNCTION("IF(J52=""Compra de Mercadorias"",
   IF(
      COUNTIF(ARRAYFORMULA(TRIM(CLEAN(TO_TEXT(Notas!BS:BS)))), TRIM(CLEAN(TO_TEXT(B52)))) &gt; 0,
      ""Encontrada"",
      ""Não Encontrada""
   ),
"""")"),"Não Encontrada")</f>
        <v>Não Encontrada</v>
      </c>
      <c r="N52" s="185">
        <f>IFERROR(__xludf.DUMMYFUNCTION("ifna(VALUE(REGEXEXTRACT(E52,""[0-9.]+[,]+[0-9]+"")))"),329.9)</f>
        <v>329.9</v>
      </c>
      <c r="O52" s="108"/>
      <c r="P52" s="109"/>
      <c r="Q52" s="109"/>
      <c r="R52" s="109"/>
      <c r="S52" s="110"/>
      <c r="T52" s="109"/>
      <c r="U52" s="109"/>
      <c r="V52" s="109"/>
      <c r="W52" s="111"/>
    </row>
    <row r="53" ht="14.25" customHeight="1">
      <c r="A53" s="178"/>
      <c r="B53" s="12">
        <v>1770099.0</v>
      </c>
      <c r="C53" s="13">
        <v>45961.96570601852</v>
      </c>
      <c r="D53" s="179" t="s">
        <v>81</v>
      </c>
      <c r="E53" s="180" t="s">
        <v>6628</v>
      </c>
      <c r="F53" s="181"/>
      <c r="G53" s="179" t="s">
        <v>313</v>
      </c>
      <c r="H53" s="190"/>
      <c r="I53" s="190"/>
      <c r="J53" s="187" t="s">
        <v>3151</v>
      </c>
      <c r="K53" s="187"/>
      <c r="L53" s="270" t="str">
        <f>IFERROR(__xludf.DUMMYFUNCTION("IF(
  AND(D53=""Saída"", J53=""Sangria""),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74" t="str">
        <f>IFERROR(__xludf.DUMMYFUNCTION("IF(J53=""Compra de Mercadorias"",
   IF(
      COUNTIF(ARRAYFORMULA(TRIM(CLEAN(TO_TEXT(Notas!BS:BS)))), TRIM(CLEAN(TO_TEXT(B53)))) &gt; 0,
      ""Encontrada"",
      ""Não Encontrada""
   ),
"""")"),"Não Encontrada")</f>
        <v>Não Encontrada</v>
      </c>
      <c r="N53" s="185">
        <f>IFERROR(__xludf.DUMMYFUNCTION("ifna(VALUE(REGEXEXTRACT(E53,""[0-9.]+[,]+[0-9]+"")))"),134.99)</f>
        <v>134.99</v>
      </c>
      <c r="S53" s="25"/>
    </row>
    <row r="54" ht="14.25" customHeight="1">
      <c r="A54" s="178"/>
      <c r="B54" s="12">
        <v>1770109.0</v>
      </c>
      <c r="C54" s="13">
        <v>45961.96693287037</v>
      </c>
      <c r="D54" s="179" t="s">
        <v>81</v>
      </c>
      <c r="E54" s="180" t="s">
        <v>457</v>
      </c>
      <c r="F54" s="181"/>
      <c r="G54" s="179" t="s">
        <v>4071</v>
      </c>
      <c r="H54" s="190"/>
      <c r="I54" s="190"/>
      <c r="J54" s="187" t="s">
        <v>2735</v>
      </c>
      <c r="K54" s="187" t="s">
        <v>2018</v>
      </c>
      <c r="L54" s="270" t="str">
        <f>IFERROR(__xludf.DUMMYFUNCTION("IF(
  AND(D54=""Saída"", J54=""Sangria""),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"),"Confirmada")</f>
        <v>Confirmada</v>
      </c>
      <c r="M54" s="272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IFERROR(__xludf.DUMMYFUNCTION("ifna(VALUE(REGEXEXTRACT(E54,""[0-9.]+[,]+[0-9]+"")))"),200.0)</f>
        <v>200</v>
      </c>
      <c r="S54" s="25"/>
    </row>
    <row r="55" ht="14.25" customHeight="1">
      <c r="A55" s="178"/>
      <c r="B55" s="12">
        <v>1770119.0</v>
      </c>
      <c r="C55" s="13">
        <v>45961.96827546296</v>
      </c>
      <c r="D55" s="179" t="s">
        <v>152</v>
      </c>
      <c r="E55" s="180" t="s">
        <v>5872</v>
      </c>
      <c r="F55" s="181"/>
      <c r="G55" s="179" t="s">
        <v>6631</v>
      </c>
      <c r="H55" s="190"/>
      <c r="I55" s="190"/>
      <c r="J55" s="187" t="s">
        <v>2436</v>
      </c>
      <c r="K55" s="187"/>
      <c r="L55" s="270" t="str">
        <f>IFERROR(__xludf.DUMMYFUNCTION("IF(
  AND(D55=""Saída"", J55=""Sangria""),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73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IFERROR(__xludf.DUMMYFUNCTION("ifna(VALUE(REGEXEXTRACT(E55,""[0-9.]+[,]+[0-9]+"")))"),25.0)</f>
        <v>25</v>
      </c>
      <c r="S55" s="25"/>
    </row>
    <row r="56" ht="14.25" customHeight="1">
      <c r="A56" s="178"/>
      <c r="B56" s="12">
        <v>1771021.0</v>
      </c>
      <c r="C56" s="13">
        <v>45962.73167824074</v>
      </c>
      <c r="D56" s="179" t="s">
        <v>81</v>
      </c>
      <c r="E56" s="180" t="s">
        <v>6633</v>
      </c>
      <c r="F56" s="181"/>
      <c r="G56" s="179" t="s">
        <v>6634</v>
      </c>
      <c r="H56" s="190"/>
      <c r="I56" s="190"/>
      <c r="J56" s="187" t="s">
        <v>2019</v>
      </c>
      <c r="K56" s="187" t="s">
        <v>2078</v>
      </c>
      <c r="L56" s="270" t="str">
        <f>IFERROR(__xludf.DUMMYFUNCTION("IF(
  AND(D56=""Saída"", J56=""Sangria""),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2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IFERROR(__xludf.DUMMYFUNCTION("ifna(VALUE(REGEXEXTRACT(E56,""[0-9.]+[,]+[0-9]+"")))"),20.25)</f>
        <v>20.25</v>
      </c>
      <c r="S56" s="25"/>
    </row>
    <row r="57" ht="17.25" customHeight="1">
      <c r="A57" s="178"/>
      <c r="B57" s="12">
        <v>1771092.0</v>
      </c>
      <c r="C57" s="13">
        <v>45962.750081018516</v>
      </c>
      <c r="D57" s="179" t="s">
        <v>152</v>
      </c>
      <c r="E57" s="180" t="s">
        <v>457</v>
      </c>
      <c r="F57" s="181"/>
      <c r="G57" s="179" t="s">
        <v>5296</v>
      </c>
      <c r="H57" s="190"/>
      <c r="I57" s="190"/>
      <c r="J57" s="187" t="s">
        <v>5195</v>
      </c>
      <c r="K57" s="187"/>
      <c r="L57" s="270" t="str">
        <f>IFERROR(__xludf.DUMMYFUNCTION("IF(
  AND(D57=""Saída"", J57=""Sangria""),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74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IFERROR(__xludf.DUMMYFUNCTION("ifna(VALUE(REGEXEXTRACT(E57,""[0-9.]+[,]+[0-9]+"")))"),200.0)</f>
        <v>200</v>
      </c>
      <c r="O57" s="25"/>
      <c r="P57" s="25"/>
      <c r="Q57" s="25"/>
      <c r="R57" s="25"/>
      <c r="S57" s="25"/>
      <c r="T57" s="25"/>
      <c r="U57" s="122"/>
      <c r="V57" s="122"/>
      <c r="W57" s="277"/>
    </row>
    <row r="58" ht="14.25" customHeight="1">
      <c r="A58" s="178"/>
      <c r="B58" s="12">
        <v>1771094.0</v>
      </c>
      <c r="C58" s="13">
        <v>45962.750497685185</v>
      </c>
      <c r="D58" s="179" t="s">
        <v>81</v>
      </c>
      <c r="E58" s="180" t="s">
        <v>6637</v>
      </c>
      <c r="F58" s="181"/>
      <c r="G58" s="179" t="s">
        <v>6638</v>
      </c>
      <c r="H58" s="190"/>
      <c r="I58" s="190"/>
      <c r="J58" s="187" t="s">
        <v>3151</v>
      </c>
      <c r="K58" s="187"/>
      <c r="L58" s="270" t="str">
        <f>IFERROR(__xludf.DUMMYFUNCTION("IF(
  AND(D58=""Saída"", J58=""Sangria""),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2" t="str">
        <f>IFERROR(__xludf.DUMMYFUNCTION("IF(J58=""Compra de Mercadorias"",
   IF(
      COUNTIF(ARRAYFORMULA(TRIM(CLEAN(TO_TEXT(Notas!BS:BS)))), TRIM(CLEAN(TO_TEXT(B58)))) &gt; 0,
      ""Encontrada"",
      ""Não Encontrada""
   ),
"""")"),"Não Encontrada")</f>
        <v>Não Encontrada</v>
      </c>
      <c r="N58" s="185">
        <f>IFERROR(__xludf.DUMMYFUNCTION("ifna(VALUE(REGEXEXTRACT(E58,""[0-9.]+[,]+[0-9]+"")))"),161.76)</f>
        <v>161.76</v>
      </c>
      <c r="O58" s="25"/>
      <c r="P58" s="25"/>
      <c r="Q58" s="25"/>
      <c r="R58" s="25"/>
      <c r="S58" s="25"/>
      <c r="T58" s="25"/>
      <c r="U58" s="278"/>
      <c r="V58" s="278"/>
      <c r="W58" s="279"/>
    </row>
    <row r="59" ht="14.25" customHeight="1">
      <c r="A59" s="178"/>
      <c r="B59" s="12">
        <v>1771120.0</v>
      </c>
      <c r="C59" s="13">
        <v>45962.75630787037</v>
      </c>
      <c r="D59" s="179" t="s">
        <v>81</v>
      </c>
      <c r="E59" s="180" t="s">
        <v>457</v>
      </c>
      <c r="F59" s="181"/>
      <c r="G59" s="179" t="s">
        <v>5296</v>
      </c>
      <c r="H59" s="190"/>
      <c r="I59" s="190"/>
      <c r="J59" s="187" t="s">
        <v>5195</v>
      </c>
      <c r="K59" s="187"/>
      <c r="L59" s="270" t="str">
        <f>IFERROR(__xludf.DUMMYFUNCTION("IF(
  AND(D59=""Saída"", J59=""Sangria""),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73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IFERROR(__xludf.DUMMYFUNCTION("ifna(VALUE(REGEXEXTRACT(E59,""[0-9.]+[,]+[0-9]+"")))"),200.0)</f>
        <v>200</v>
      </c>
      <c r="O59" s="209" t="s">
        <v>3799</v>
      </c>
      <c r="P59" s="210"/>
      <c r="Q59" s="210"/>
      <c r="R59" s="210"/>
      <c r="S59" s="210"/>
      <c r="T59" s="59"/>
      <c r="U59" s="280"/>
      <c r="V59" s="280"/>
      <c r="W59" s="281"/>
    </row>
    <row r="60" ht="14.25" customHeight="1">
      <c r="A60" s="178"/>
      <c r="B60" s="12">
        <v>1771732.0</v>
      </c>
      <c r="C60" s="13">
        <v>45962.89277777778</v>
      </c>
      <c r="D60" s="179" t="s">
        <v>81</v>
      </c>
      <c r="E60" s="180" t="s">
        <v>2818</v>
      </c>
      <c r="F60" s="188"/>
      <c r="G60" s="179" t="s">
        <v>6641</v>
      </c>
      <c r="H60" s="190"/>
      <c r="I60" s="190"/>
      <c r="J60" s="187" t="s">
        <v>1782</v>
      </c>
      <c r="K60" s="187"/>
      <c r="L60" s="270" t="str">
        <f>IFERROR(__xludf.DUMMYFUNCTION("IF(
  AND(D60=""Saída"", J60=""Sangria""),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3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IFERROR(__xludf.DUMMYFUNCTION("ifna(VALUE(REGEXEXTRACT(E60,""[0-9.]+[,]+[0-9]+"")))"),111.0)</f>
        <v>111</v>
      </c>
      <c r="O60" s="211"/>
      <c r="T60" s="212"/>
      <c r="U60" s="280"/>
      <c r="V60" s="280"/>
      <c r="W60" s="281"/>
    </row>
    <row r="61" ht="14.25" customHeight="1">
      <c r="A61" s="178"/>
      <c r="B61" s="12">
        <v>1771774.0</v>
      </c>
      <c r="C61" s="13">
        <v>45962.90091435185</v>
      </c>
      <c r="D61" s="179" t="s">
        <v>81</v>
      </c>
      <c r="E61" s="180" t="s">
        <v>6642</v>
      </c>
      <c r="F61" s="181"/>
      <c r="G61" s="179" t="s">
        <v>6643</v>
      </c>
      <c r="H61" s="190"/>
      <c r="I61" s="190"/>
      <c r="J61" s="187" t="s">
        <v>1782</v>
      </c>
      <c r="K61" s="187"/>
      <c r="L61" s="270" t="str">
        <f>IFERROR(__xludf.DUMMYFUNCTION("IF(
  AND(D61=""Saída"", J61=""Sangria""),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74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IFERROR(__xludf.DUMMYFUNCTION("ifna(VALUE(REGEXEXTRACT(E61,""[0-9.]+[,]+[0-9]+"")))"),94.0)</f>
        <v>94</v>
      </c>
      <c r="O61" s="213" t="s">
        <v>1</v>
      </c>
      <c r="P61" s="214" t="s">
        <v>2</v>
      </c>
      <c r="Q61" s="214" t="s">
        <v>3830</v>
      </c>
      <c r="R61" s="214" t="s">
        <v>46</v>
      </c>
      <c r="S61" s="215" t="s">
        <v>33</v>
      </c>
      <c r="T61" s="212"/>
      <c r="U61" s="280"/>
      <c r="V61" s="280"/>
      <c r="W61" s="281"/>
    </row>
    <row r="62" ht="14.25" customHeight="1">
      <c r="A62" s="178"/>
      <c r="B62" s="12">
        <v>1774382.0</v>
      </c>
      <c r="C62" s="13">
        <v>45963.90771990741</v>
      </c>
      <c r="D62" s="179" t="s">
        <v>81</v>
      </c>
      <c r="E62" s="180" t="s">
        <v>823</v>
      </c>
      <c r="F62" s="181"/>
      <c r="G62" s="179" t="s">
        <v>5895</v>
      </c>
      <c r="H62" s="190"/>
      <c r="I62" s="190"/>
      <c r="J62" s="187" t="s">
        <v>1782</v>
      </c>
      <c r="K62" s="187"/>
      <c r="L62" s="270" t="str">
        <f>IFERROR(__xludf.DUMMYFUNCTION("IF(
  AND(D62=""Saída"", J62=""Sangria""),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2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IFERROR(__xludf.DUMMYFUNCTION("ifna(VALUE(REGEXEXTRACT(E62,""[0-9.]+[,]+[0-9]+"")))"),120.0)</f>
        <v>120</v>
      </c>
      <c r="O62" s="216"/>
      <c r="P62" s="195"/>
      <c r="Q62" s="196"/>
      <c r="R62" s="197"/>
      <c r="S62" s="217"/>
      <c r="T62" s="218" t="str">
        <f t="shared" ref="T62:T82" si="1">IFERROR(VLOOKUP(Q62, $A$4:$B$11, 2, FALSE), "")</f>
        <v/>
      </c>
      <c r="U62" s="280"/>
      <c r="V62" s="280"/>
      <c r="W62" s="281"/>
    </row>
    <row r="63" ht="14.25" customHeight="1">
      <c r="A63" s="178"/>
      <c r="B63" s="12">
        <v>1774490.0</v>
      </c>
      <c r="C63" s="13">
        <v>45963.91824074074</v>
      </c>
      <c r="D63" s="179" t="s">
        <v>81</v>
      </c>
      <c r="E63" s="180" t="s">
        <v>457</v>
      </c>
      <c r="F63" s="181"/>
      <c r="G63" s="179" t="s">
        <v>5831</v>
      </c>
      <c r="H63" s="190"/>
      <c r="I63" s="190"/>
      <c r="J63" s="187" t="s">
        <v>1782</v>
      </c>
      <c r="K63" s="187"/>
      <c r="L63" s="270" t="str">
        <f>IFERROR(__xludf.DUMMYFUNCTION("IF(
  AND(D63=""Saída"", J63=""Sangria""),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74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IFERROR(__xludf.DUMMYFUNCTION("ifna(VALUE(REGEXEXTRACT(E63,""[0-9.]+[,]+[0-9]+"")))"),200.0)</f>
        <v>200</v>
      </c>
      <c r="O63" s="216"/>
      <c r="P63" s="195"/>
      <c r="Q63" s="196"/>
      <c r="R63" s="197"/>
      <c r="S63" s="219"/>
      <c r="T63" s="218" t="str">
        <f t="shared" si="1"/>
        <v/>
      </c>
      <c r="U63" s="280"/>
      <c r="V63" s="280"/>
      <c r="W63" s="281"/>
    </row>
    <row r="64" ht="14.25" customHeight="1">
      <c r="A64" s="178"/>
      <c r="B64" s="12">
        <v>1774500.0</v>
      </c>
      <c r="C64" s="13">
        <v>45963.91857638889</v>
      </c>
      <c r="D64" s="179" t="s">
        <v>81</v>
      </c>
      <c r="E64" s="180" t="s">
        <v>6645</v>
      </c>
      <c r="F64" s="181"/>
      <c r="G64" s="179" t="s">
        <v>5831</v>
      </c>
      <c r="H64" s="190"/>
      <c r="I64" s="190"/>
      <c r="J64" s="187"/>
      <c r="K64" s="187"/>
      <c r="L64" s="270" t="str">
        <f>IFERROR(__xludf.DUMMYFUNCTION("IF(
  AND(D64=""Saída"", J64=""Sangria""),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2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IFERROR(__xludf.DUMMYFUNCTION("ifna(VALUE(REGEXEXTRACT(E64,""[0-9.]+[,]+[0-9]+"")))"),108.0)</f>
        <v>108</v>
      </c>
      <c r="O64" s="216"/>
      <c r="P64" s="195"/>
      <c r="Q64" s="196"/>
      <c r="R64" s="197"/>
      <c r="S64" s="220"/>
      <c r="T64" s="218" t="str">
        <f t="shared" si="1"/>
        <v/>
      </c>
      <c r="U64" s="282"/>
      <c r="V64" s="282"/>
      <c r="W64" s="283"/>
    </row>
    <row r="65" ht="14.25" customHeight="1">
      <c r="A65" s="178"/>
      <c r="B65" s="12">
        <v>1774517.0</v>
      </c>
      <c r="C65" s="13">
        <v>45963.91994212963</v>
      </c>
      <c r="D65" s="179" t="s">
        <v>81</v>
      </c>
      <c r="E65" s="180" t="s">
        <v>6646</v>
      </c>
      <c r="F65" s="181"/>
      <c r="G65" s="179" t="s">
        <v>4071</v>
      </c>
      <c r="H65" s="190"/>
      <c r="I65" s="190"/>
      <c r="J65" s="187" t="s">
        <v>2735</v>
      </c>
      <c r="K65" s="187" t="s">
        <v>2018</v>
      </c>
      <c r="L65" s="270" t="str">
        <f>IFERROR(__xludf.DUMMYFUNCTION("IF(
  AND(D65=""Saída"", J65=""Sangria""),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"),"Confirmada")</f>
        <v>Confirmada</v>
      </c>
      <c r="M65" s="274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IFERROR(__xludf.DUMMYFUNCTION("ifna(VALUE(REGEXEXTRACT(E65,""[0-9.]+[,]+[0-9]+"")))"),2200.0)</f>
        <v>2200</v>
      </c>
      <c r="O65" s="216"/>
      <c r="P65" s="195"/>
      <c r="Q65" s="196"/>
      <c r="R65" s="197"/>
      <c r="S65" s="221"/>
      <c r="T65" s="218" t="str">
        <f t="shared" si="1"/>
        <v/>
      </c>
      <c r="U65" s="284"/>
      <c r="V65" s="284"/>
      <c r="W65" s="285"/>
    </row>
    <row r="66" ht="14.25" customHeight="1">
      <c r="A66" s="178"/>
      <c r="B66" s="12">
        <v>1774529.0</v>
      </c>
      <c r="C66" s="13">
        <v>45963.92054398148</v>
      </c>
      <c r="D66" s="179" t="s">
        <v>81</v>
      </c>
      <c r="E66" s="180" t="s">
        <v>6647</v>
      </c>
      <c r="F66" s="181"/>
      <c r="G66" s="179" t="s">
        <v>4071</v>
      </c>
      <c r="H66" s="190"/>
      <c r="I66" s="190"/>
      <c r="J66" s="187" t="s">
        <v>2735</v>
      </c>
      <c r="K66" s="187" t="s">
        <v>2018</v>
      </c>
      <c r="L66" s="270" t="str">
        <f>IFERROR(__xludf.DUMMYFUNCTION("IF(
  AND(D66=""Saída"", J66=""Sangria""),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"),"Confirmada")</f>
        <v>Confirmada</v>
      </c>
      <c r="M66" s="272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IFERROR(__xludf.DUMMYFUNCTION("ifna(VALUE(REGEXEXTRACT(E66,""[0-9.]+[,]+[0-9]+"")))"),230.0)</f>
        <v>230</v>
      </c>
      <c r="O66" s="216"/>
      <c r="P66" s="195"/>
      <c r="Q66" s="196"/>
      <c r="R66" s="197"/>
      <c r="S66" s="220"/>
      <c r="T66" s="218" t="str">
        <f t="shared" si="1"/>
        <v/>
      </c>
      <c r="U66" s="284"/>
      <c r="V66" s="284"/>
      <c r="W66" s="285"/>
    </row>
    <row r="67" ht="14.25" customHeight="1">
      <c r="A67" s="178"/>
      <c r="B67" s="12">
        <v>1774647.0</v>
      </c>
      <c r="C67" s="13">
        <v>45963.930613425924</v>
      </c>
      <c r="D67" s="179" t="s">
        <v>81</v>
      </c>
      <c r="E67" s="180" t="s">
        <v>1113</v>
      </c>
      <c r="F67" s="181"/>
      <c r="G67" s="179" t="s">
        <v>6649</v>
      </c>
      <c r="H67" s="190"/>
      <c r="I67" s="190"/>
      <c r="J67" s="187" t="s">
        <v>1782</v>
      </c>
      <c r="K67" s="187"/>
      <c r="L67" s="270" t="str">
        <f>IFERROR(__xludf.DUMMYFUNCTION("IF(
  AND(D67=""Saída"", J67=""Sangria""),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73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IFERROR(__xludf.DUMMYFUNCTION("ifna(VALUE(REGEXEXTRACT(E67,""[0-9.]+[,]+[0-9]+"")))"),90.0)</f>
        <v>90</v>
      </c>
      <c r="O67" s="222"/>
      <c r="P67" s="223"/>
      <c r="Q67" s="224"/>
      <c r="R67" s="225"/>
      <c r="S67" s="221"/>
      <c r="T67" s="218" t="str">
        <f t="shared" si="1"/>
        <v/>
      </c>
      <c r="U67" s="284"/>
      <c r="V67" s="284"/>
      <c r="W67" s="285"/>
    </row>
    <row r="68">
      <c r="A68" s="178"/>
      <c r="B68" s="12">
        <v>1774709.0</v>
      </c>
      <c r="C68" s="13">
        <v>45963.935069444444</v>
      </c>
      <c r="D68" s="179" t="s">
        <v>152</v>
      </c>
      <c r="E68" s="180" t="s">
        <v>6645</v>
      </c>
      <c r="F68" s="181"/>
      <c r="G68" s="179" t="s">
        <v>6651</v>
      </c>
      <c r="H68" s="190"/>
      <c r="I68" s="190"/>
      <c r="J68" s="187"/>
      <c r="K68" s="187"/>
      <c r="L68" s="270" t="str">
        <f>IFERROR(__xludf.DUMMYFUNCTION("IF(
  AND(D68=""Saída"", J68=""Sangria""),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2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IFERROR(__xludf.DUMMYFUNCTION("ifna(VALUE(REGEXEXTRACT(E68,""[0-9.]+[,]+[0-9]+"")))"),108.0)</f>
        <v>108</v>
      </c>
      <c r="O68" s="226"/>
      <c r="P68" s="227"/>
      <c r="Q68" s="220"/>
      <c r="R68" s="228" t="str">
        <f t="shared" ref="R68:R104" si="2">IFERROR(VLOOKUP(Q68, $B$4:$C$18, 2, FALSE), "")</f>
        <v/>
      </c>
      <c r="S68" s="220" t="str">
        <f t="shared" ref="S68:S104" si="3">IFERROR(VLOOKUP(Q68, $A$4:$B$18, 2, FALSE), "")</f>
        <v/>
      </c>
      <c r="T68" s="218" t="str">
        <f t="shared" si="1"/>
        <v/>
      </c>
      <c r="U68" s="284"/>
      <c r="V68" s="284"/>
      <c r="W68" s="285"/>
    </row>
    <row r="69" ht="14.25" customHeight="1">
      <c r="A69" s="178"/>
      <c r="B69" s="12">
        <v>1774732.0</v>
      </c>
      <c r="C69" s="13">
        <v>45963.936840277776</v>
      </c>
      <c r="D69" s="179" t="s">
        <v>152</v>
      </c>
      <c r="E69" s="180" t="s">
        <v>350</v>
      </c>
      <c r="F69" s="188"/>
      <c r="G69" s="179" t="s">
        <v>267</v>
      </c>
      <c r="H69" s="190"/>
      <c r="I69" s="190"/>
      <c r="J69" s="187" t="s">
        <v>2669</v>
      </c>
      <c r="K69" s="187"/>
      <c r="L69" s="270" t="str">
        <f>IFERROR(__xludf.DUMMYFUNCTION("IF(
  AND(D69=""Saída"", J69=""Sangria""),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74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IFERROR(__xludf.DUMMYFUNCTION("ifna(VALUE(REGEXEXTRACT(E69,""[0-9.]+[,]+[0-9]+"")))"),12.0)</f>
        <v>12</v>
      </c>
      <c r="O69" s="229"/>
      <c r="P69" s="230"/>
      <c r="Q69" s="221"/>
      <c r="R69" s="231" t="str">
        <f t="shared" si="2"/>
        <v/>
      </c>
      <c r="S69" s="221" t="str">
        <f t="shared" si="3"/>
        <v/>
      </c>
      <c r="T69" s="218" t="str">
        <f t="shared" si="1"/>
        <v/>
      </c>
      <c r="U69" s="284"/>
      <c r="V69" s="284"/>
      <c r="W69" s="285"/>
    </row>
    <row r="70" ht="14.25" customHeight="1">
      <c r="A70" s="178"/>
      <c r="B70" s="12">
        <v>1775211.0</v>
      </c>
      <c r="C70" s="13">
        <v>45964.5265625</v>
      </c>
      <c r="D70" s="179" t="s">
        <v>152</v>
      </c>
      <c r="E70" s="180" t="s">
        <v>6652</v>
      </c>
      <c r="F70" s="181"/>
      <c r="G70" s="179" t="s">
        <v>158</v>
      </c>
      <c r="H70" s="190"/>
      <c r="I70" s="190"/>
      <c r="J70" s="187" t="s">
        <v>2669</v>
      </c>
      <c r="K70" s="187"/>
      <c r="L70" s="270" t="str">
        <f>IFERROR(__xludf.DUMMYFUNCTION("IF(
  AND(D70=""Saída"", J70=""Sangria""),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2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IFERROR(__xludf.DUMMYFUNCTION("ifna(VALUE(REGEXEXTRACT(E70,""[0-9.]+[,]+[0-9]+"")))"),12.4)</f>
        <v>12.4</v>
      </c>
      <c r="O70" s="226"/>
      <c r="P70" s="227"/>
      <c r="Q70" s="220"/>
      <c r="R70" s="228" t="str">
        <f t="shared" si="2"/>
        <v/>
      </c>
      <c r="S70" s="220" t="str">
        <f t="shared" si="3"/>
        <v/>
      </c>
      <c r="T70" s="218" t="str">
        <f t="shared" si="1"/>
        <v/>
      </c>
      <c r="U70" s="284"/>
      <c r="V70" s="284"/>
      <c r="W70" s="285"/>
    </row>
    <row r="71" ht="14.25" customHeight="1">
      <c r="A71" s="178"/>
      <c r="B71" s="12">
        <v>1775855.0</v>
      </c>
      <c r="C71" s="13">
        <v>45964.74952546296</v>
      </c>
      <c r="D71" s="179" t="s">
        <v>81</v>
      </c>
      <c r="E71" s="180" t="s">
        <v>1075</v>
      </c>
      <c r="F71" s="181"/>
      <c r="G71" s="179" t="s">
        <v>5861</v>
      </c>
      <c r="H71" s="190"/>
      <c r="I71" s="190"/>
      <c r="J71" s="187" t="s">
        <v>2019</v>
      </c>
      <c r="K71" s="187" t="s">
        <v>2117</v>
      </c>
      <c r="L71" s="270" t="str">
        <f>IFERROR(__xludf.DUMMYFUNCTION("IF(
  AND(D71=""Saída"", J71=""Sangria""),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74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IFERROR(__xludf.DUMMYFUNCTION("ifna(VALUE(REGEXEXTRACT(E71,""[0-9.]+[,]+[0-9]+"")))"),19.0)</f>
        <v>19</v>
      </c>
      <c r="O71" s="229"/>
      <c r="P71" s="230"/>
      <c r="Q71" s="221"/>
      <c r="R71" s="231" t="str">
        <f t="shared" si="2"/>
        <v/>
      </c>
      <c r="S71" s="221" t="str">
        <f t="shared" si="3"/>
        <v/>
      </c>
      <c r="T71" s="218" t="str">
        <f t="shared" si="1"/>
        <v/>
      </c>
      <c r="U71" s="284"/>
      <c r="V71" s="284"/>
      <c r="W71" s="285"/>
    </row>
    <row r="72" ht="14.25" customHeight="1">
      <c r="A72" s="178"/>
      <c r="B72" s="12">
        <v>1776424.0</v>
      </c>
      <c r="C72" s="13">
        <v>45964.92423611111</v>
      </c>
      <c r="D72" s="179" t="s">
        <v>81</v>
      </c>
      <c r="E72" s="180" t="s">
        <v>1228</v>
      </c>
      <c r="F72" s="188"/>
      <c r="G72" s="179" t="s">
        <v>4071</v>
      </c>
      <c r="H72" s="190"/>
      <c r="I72" s="190"/>
      <c r="J72" s="187" t="s">
        <v>2735</v>
      </c>
      <c r="K72" s="187" t="s">
        <v>2018</v>
      </c>
      <c r="L72" s="270" t="str">
        <f>IFERROR(__xludf.DUMMYFUNCTION("IF(
  AND(D72=""Saída"", J72=""Sangria""),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"),"Confirmada")</f>
        <v>Confirmada</v>
      </c>
      <c r="M72" s="276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IFERROR(__xludf.DUMMYFUNCTION("ifna(VALUE(REGEXEXTRACT(E72,""[0-9.]+[,]+[0-9]+"")))"),950.0)</f>
        <v>950</v>
      </c>
      <c r="O72" s="226"/>
      <c r="P72" s="227"/>
      <c r="Q72" s="220"/>
      <c r="R72" s="228" t="str">
        <f t="shared" si="2"/>
        <v/>
      </c>
      <c r="S72" s="220" t="str">
        <f t="shared" si="3"/>
        <v/>
      </c>
      <c r="T72" s="218" t="str">
        <f t="shared" si="1"/>
        <v/>
      </c>
      <c r="U72" s="275"/>
      <c r="V72" s="275"/>
      <c r="W72" s="286"/>
    </row>
    <row r="73" ht="14.25" customHeight="1">
      <c r="A73" s="178"/>
      <c r="B73" s="12">
        <v>1777462.0</v>
      </c>
      <c r="C73" s="13">
        <v>45965.73081018519</v>
      </c>
      <c r="D73" s="179" t="s">
        <v>152</v>
      </c>
      <c r="E73" s="180" t="s">
        <v>669</v>
      </c>
      <c r="F73" s="181"/>
      <c r="G73" s="179" t="s">
        <v>158</v>
      </c>
      <c r="H73" s="190"/>
      <c r="I73" s="190"/>
      <c r="J73" s="187" t="s">
        <v>2669</v>
      </c>
      <c r="K73" s="187"/>
      <c r="L73" s="270" t="str">
        <f>IFERROR(__xludf.DUMMYFUNCTION("IF(
  AND(D73=""Saída"", J73=""Sangria""),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76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IFERROR(__xludf.DUMMYFUNCTION("ifna(VALUE(REGEXEXTRACT(E73,""[0-9.]+[,]+[0-9]+"")))"),7.0)</f>
        <v>7</v>
      </c>
      <c r="O73" s="229"/>
      <c r="P73" s="221"/>
      <c r="Q73" s="221"/>
      <c r="R73" s="231" t="str">
        <f t="shared" si="2"/>
        <v/>
      </c>
      <c r="S73" s="221" t="str">
        <f t="shared" si="3"/>
        <v/>
      </c>
      <c r="T73" s="218" t="str">
        <f t="shared" si="1"/>
        <v/>
      </c>
      <c r="U73" s="25"/>
      <c r="V73" s="25"/>
      <c r="W73" s="287"/>
    </row>
    <row r="74" ht="14.25" customHeight="1">
      <c r="A74" s="178"/>
      <c r="B74" s="12">
        <v>1777578.0</v>
      </c>
      <c r="C74" s="13">
        <v>45965.759409722225</v>
      </c>
      <c r="D74" s="179" t="s">
        <v>81</v>
      </c>
      <c r="E74" s="180" t="s">
        <v>6654</v>
      </c>
      <c r="F74" s="181"/>
      <c r="G74" s="179" t="s">
        <v>114</v>
      </c>
      <c r="H74" s="190"/>
      <c r="I74" s="190"/>
      <c r="J74" s="187" t="s">
        <v>3151</v>
      </c>
      <c r="K74" s="187"/>
      <c r="L74" s="270" t="str">
        <f>IFERROR(__xludf.DUMMYFUNCTION("IF(
  AND(D74=""Saída"", J74=""Sangria""),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2" t="str">
        <f>IFERROR(__xludf.DUMMYFUNCTION("IF(J74=""Compra de Mercadorias"",
   IF(
      COUNTIF(ARRAYFORMULA(TRIM(CLEAN(TO_TEXT(Notas!BS:BS)))), TRIM(CLEAN(TO_TEXT(B74)))) &gt; 0,
      ""Encontrada"",
      ""Não Encontrada""
   ),
"""")"),"Não Encontrada")</f>
        <v>Não Encontrada</v>
      </c>
      <c r="N74" s="185">
        <f>IFERROR(__xludf.DUMMYFUNCTION("ifna(VALUE(REGEXEXTRACT(E74,""[0-9.]+[,]+[0-9]+"")))"),133.14)</f>
        <v>133.14</v>
      </c>
      <c r="O74" s="226"/>
      <c r="P74" s="220"/>
      <c r="Q74" s="220"/>
      <c r="R74" s="228" t="str">
        <f t="shared" si="2"/>
        <v/>
      </c>
      <c r="S74" s="220" t="str">
        <f t="shared" si="3"/>
        <v/>
      </c>
      <c r="T74" s="218" t="str">
        <f t="shared" si="1"/>
        <v/>
      </c>
      <c r="U74" s="25"/>
      <c r="V74" s="25"/>
      <c r="W74" s="287"/>
    </row>
    <row r="75" ht="14.25" customHeight="1">
      <c r="A75" s="178"/>
      <c r="B75" s="12">
        <v>1777584.0</v>
      </c>
      <c r="C75" s="13">
        <v>45965.76137731481</v>
      </c>
      <c r="D75" s="179" t="s">
        <v>81</v>
      </c>
      <c r="E75" s="180" t="s">
        <v>943</v>
      </c>
      <c r="F75" s="181"/>
      <c r="G75" s="179" t="s">
        <v>3587</v>
      </c>
      <c r="H75" s="190"/>
      <c r="I75" s="190"/>
      <c r="J75" s="187" t="s">
        <v>2735</v>
      </c>
      <c r="K75" s="187" t="s">
        <v>2018</v>
      </c>
      <c r="L75" s="270" t="str">
        <f>IFERROR(__xludf.DUMMYFUNCTION("IF(
  AND(D75=""Saída"", J75=""Sangria""),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"),"Caixa Sangria")</f>
        <v>Caixa Sangria</v>
      </c>
      <c r="M75" s="274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85">
        <f>IFERROR(__xludf.DUMMYFUNCTION("ifna(VALUE(REGEXEXTRACT(E75,""[0-9.]+[,]+[0-9]+"")))"),800.0)</f>
        <v>800</v>
      </c>
      <c r="O75" s="229"/>
      <c r="P75" s="221"/>
      <c r="Q75" s="221"/>
      <c r="R75" s="231" t="str">
        <f t="shared" si="2"/>
        <v/>
      </c>
      <c r="S75" s="221" t="str">
        <f t="shared" si="3"/>
        <v/>
      </c>
      <c r="T75" s="218" t="str">
        <f t="shared" si="1"/>
        <v/>
      </c>
      <c r="U75" s="25"/>
      <c r="V75" s="25"/>
      <c r="W75" s="287"/>
    </row>
    <row r="76" ht="14.25" customHeight="1">
      <c r="A76" s="178"/>
      <c r="B76" s="12">
        <v>1778359.0</v>
      </c>
      <c r="C76" s="13">
        <v>45965.94582175926</v>
      </c>
      <c r="D76" s="179" t="s">
        <v>81</v>
      </c>
      <c r="E76" s="180" t="s">
        <v>1228</v>
      </c>
      <c r="F76" s="181"/>
      <c r="G76" s="179" t="s">
        <v>3587</v>
      </c>
      <c r="H76" s="190"/>
      <c r="I76" s="190"/>
      <c r="J76" s="187" t="s">
        <v>2735</v>
      </c>
      <c r="K76" s="187" t="s">
        <v>2018</v>
      </c>
      <c r="L76" s="270" t="str">
        <f>IFERROR(__xludf.DUMMYFUNCTION("IF(
  AND(D76=""Saída"", J76=""Sangria""),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"),"Confirmada")</f>
        <v>Confirmada</v>
      </c>
      <c r="M76" s="272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IFERROR(__xludf.DUMMYFUNCTION("ifna(VALUE(REGEXEXTRACT(E76,""[0-9.]+[,]+[0-9]+"")))"),950.0)</f>
        <v>950</v>
      </c>
      <c r="O76" s="226"/>
      <c r="P76" s="220"/>
      <c r="Q76" s="220"/>
      <c r="R76" s="228" t="str">
        <f t="shared" si="2"/>
        <v/>
      </c>
      <c r="S76" s="220" t="str">
        <f t="shared" si="3"/>
        <v/>
      </c>
      <c r="T76" s="288" t="str">
        <f t="shared" si="1"/>
        <v/>
      </c>
      <c r="U76" s="25"/>
      <c r="V76" s="25"/>
      <c r="W76" s="25"/>
    </row>
    <row r="77" ht="14.25" customHeight="1">
      <c r="A77" s="178"/>
      <c r="B77" s="12">
        <v>1779628.0</v>
      </c>
      <c r="C77" s="13">
        <v>45966.83480324074</v>
      </c>
      <c r="D77" s="179" t="s">
        <v>81</v>
      </c>
      <c r="E77" s="180" t="s">
        <v>6658</v>
      </c>
      <c r="F77" s="181"/>
      <c r="G77" s="179" t="s">
        <v>544</v>
      </c>
      <c r="H77" s="190"/>
      <c r="I77" s="190"/>
      <c r="J77" s="187" t="s">
        <v>2019</v>
      </c>
      <c r="K77" s="187" t="s">
        <v>2078</v>
      </c>
      <c r="L77" s="270" t="str">
        <f>IFERROR(__xludf.DUMMYFUNCTION("IF(
  AND(D77=""Saída"", J77=""Sangria""),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74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IFERROR(__xludf.DUMMYFUNCTION("ifna(VALUE(REGEXEXTRACT(E77,""[0-9.]+[,]+[0-9]+"")))"),26.04)</f>
        <v>26.04</v>
      </c>
      <c r="O77" s="229"/>
      <c r="P77" s="221"/>
      <c r="Q77" s="221"/>
      <c r="R77" s="231" t="str">
        <f t="shared" si="2"/>
        <v/>
      </c>
      <c r="S77" s="221" t="str">
        <f t="shared" si="3"/>
        <v/>
      </c>
      <c r="T77" s="288" t="str">
        <f t="shared" si="1"/>
        <v/>
      </c>
      <c r="U77" s="25"/>
      <c r="V77" s="25"/>
      <c r="W77" s="25"/>
    </row>
    <row r="78" ht="14.25" customHeight="1">
      <c r="A78" s="178"/>
      <c r="B78" s="12">
        <v>1779630.0</v>
      </c>
      <c r="C78" s="13">
        <v>45966.835173611114</v>
      </c>
      <c r="D78" s="179" t="s">
        <v>81</v>
      </c>
      <c r="E78" s="180" t="s">
        <v>6660</v>
      </c>
      <c r="F78" s="181"/>
      <c r="G78" s="179" t="s">
        <v>5861</v>
      </c>
      <c r="H78" s="190"/>
      <c r="I78" s="190"/>
      <c r="J78" s="187" t="s">
        <v>2019</v>
      </c>
      <c r="K78" s="187" t="s">
        <v>2117</v>
      </c>
      <c r="L78" s="270" t="str">
        <f>IFERROR(__xludf.DUMMYFUNCTION("IF(
  AND(D78=""Saída"", J78=""Sangria""),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2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IFERROR(__xludf.DUMMYFUNCTION("ifna(VALUE(REGEXEXTRACT(E78,""[0-9.]+[,]+[0-9]+"")))"),27.24)</f>
        <v>27.24</v>
      </c>
      <c r="O78" s="226"/>
      <c r="P78" s="220"/>
      <c r="Q78" s="220"/>
      <c r="R78" s="228" t="str">
        <f t="shared" si="2"/>
        <v/>
      </c>
      <c r="S78" s="220" t="str">
        <f t="shared" si="3"/>
        <v/>
      </c>
      <c r="T78" s="288" t="str">
        <f t="shared" si="1"/>
        <v/>
      </c>
      <c r="U78" s="25"/>
      <c r="V78" s="25"/>
      <c r="W78" s="25"/>
    </row>
    <row r="79" ht="14.25" customHeight="1">
      <c r="A79" s="178"/>
      <c r="B79" s="12">
        <v>1779744.0</v>
      </c>
      <c r="C79" s="13">
        <v>45966.874247685184</v>
      </c>
      <c r="D79" s="179" t="s">
        <v>81</v>
      </c>
      <c r="E79" s="180" t="s">
        <v>6662</v>
      </c>
      <c r="F79" s="181"/>
      <c r="G79" s="179" t="s">
        <v>4041</v>
      </c>
      <c r="H79" s="190"/>
      <c r="I79" s="190"/>
      <c r="J79" s="187" t="s">
        <v>3151</v>
      </c>
      <c r="K79" s="187"/>
      <c r="L79" s="270" t="str">
        <f>IFERROR(__xludf.DUMMYFUNCTION("IF(
  AND(D79=""Saída"", J79=""Sangria""),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74" t="str">
        <f>IFERROR(__xludf.DUMMYFUNCTION("IF(J79=""Compra de Mercadorias"",
   IF(
      COUNTIF(ARRAYFORMULA(TRIM(CLEAN(TO_TEXT(Notas!BS:BS)))), TRIM(CLEAN(TO_TEXT(B79)))) &gt; 0,
      ""Encontrada"",
      ""Não Encontrada""
   ),
"""")"),"Não Encontrada")</f>
        <v>Não Encontrada</v>
      </c>
      <c r="N79" s="185">
        <f>IFERROR(__xludf.DUMMYFUNCTION("ifna(VALUE(REGEXEXTRACT(E79,""[0-9.]+[,]+[0-9]+"")))"),5.41)</f>
        <v>5.41</v>
      </c>
      <c r="O79" s="229"/>
      <c r="P79" s="221"/>
      <c r="Q79" s="221"/>
      <c r="R79" s="231" t="str">
        <f t="shared" si="2"/>
        <v/>
      </c>
      <c r="S79" s="221" t="str">
        <f t="shared" si="3"/>
        <v/>
      </c>
      <c r="T79" s="288" t="str">
        <f t="shared" si="1"/>
        <v/>
      </c>
      <c r="U79" s="25"/>
      <c r="V79" s="25"/>
      <c r="W79" s="25"/>
    </row>
    <row r="80" ht="14.25" customHeight="1">
      <c r="A80" s="178"/>
      <c r="B80" s="12">
        <v>1779755.0</v>
      </c>
      <c r="C80" s="13">
        <v>45966.87645833333</v>
      </c>
      <c r="D80" s="179" t="s">
        <v>81</v>
      </c>
      <c r="E80" s="180" t="s">
        <v>6663</v>
      </c>
      <c r="F80" s="181"/>
      <c r="G80" s="179" t="s">
        <v>6664</v>
      </c>
      <c r="H80" s="190"/>
      <c r="I80" s="190"/>
      <c r="J80" s="187" t="s">
        <v>3151</v>
      </c>
      <c r="K80" s="187"/>
      <c r="L80" s="270" t="str">
        <f>IFERROR(__xludf.DUMMYFUNCTION("IF(
  AND(D80=""Saída"", J80=""Sangria""),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2" t="str">
        <f>IFERROR(__xludf.DUMMYFUNCTION("IF(J80=""Compra de Mercadorias"",
   IF(
      COUNTIF(ARRAYFORMULA(TRIM(CLEAN(TO_TEXT(Notas!BS:BS)))), TRIM(CLEAN(TO_TEXT(B80)))) &gt; 0,
      ""Encontrada"",
      ""Não Encontrada""
   ),
"""")"),"Não Encontrada")</f>
        <v>Não Encontrada</v>
      </c>
      <c r="N80" s="185">
        <f>IFERROR(__xludf.DUMMYFUNCTION("ifna(VALUE(REGEXEXTRACT(E80,""[0-9.]+[,]+[0-9]+"")))"),33.46)</f>
        <v>33.46</v>
      </c>
      <c r="O80" s="226"/>
      <c r="P80" s="220"/>
      <c r="Q80" s="220"/>
      <c r="R80" s="228" t="str">
        <f t="shared" si="2"/>
        <v/>
      </c>
      <c r="S80" s="220" t="str">
        <f t="shared" si="3"/>
        <v/>
      </c>
      <c r="T80" s="218" t="str">
        <f t="shared" si="1"/>
        <v/>
      </c>
      <c r="U80" s="25"/>
      <c r="V80" s="25"/>
      <c r="W80" s="25"/>
    </row>
    <row r="81" ht="14.25" customHeight="1">
      <c r="A81" s="178"/>
      <c r="B81" s="12">
        <v>1780209.0</v>
      </c>
      <c r="C81" s="13">
        <v>45966.95340277778</v>
      </c>
      <c r="D81" s="179" t="s">
        <v>81</v>
      </c>
      <c r="E81" s="180" t="s">
        <v>6665</v>
      </c>
      <c r="F81" s="181"/>
      <c r="G81" s="179" t="s">
        <v>381</v>
      </c>
      <c r="H81" s="190"/>
      <c r="I81" s="190"/>
      <c r="J81" s="187" t="s">
        <v>2735</v>
      </c>
      <c r="K81" s="187" t="s">
        <v>6576</v>
      </c>
      <c r="L81" s="270" t="str">
        <f>IFERROR(__xludf.DUMMYFUNCTION("IF(
  AND(D81=""Saída"", J81=""Sangria""),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"),"Confirmada")</f>
        <v>Confirmada</v>
      </c>
      <c r="M81" s="274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IFERROR(__xludf.DUMMYFUNCTION("ifna(VALUE(REGEXEXTRACT(E81,""[0-9.]+[,]+[0-9]+"")))"),1460.0)</f>
        <v>1460</v>
      </c>
      <c r="O81" s="229"/>
      <c r="P81" s="221"/>
      <c r="Q81" s="221"/>
      <c r="R81" s="231" t="str">
        <f t="shared" si="2"/>
        <v/>
      </c>
      <c r="S81" s="221" t="str">
        <f t="shared" si="3"/>
        <v/>
      </c>
      <c r="T81" s="218" t="str">
        <f t="shared" si="1"/>
        <v/>
      </c>
      <c r="U81" s="185"/>
      <c r="V81" s="185"/>
      <c r="W81" s="185"/>
    </row>
    <row r="82" ht="14.25" customHeight="1">
      <c r="A82" s="178"/>
      <c r="B82" s="12">
        <v>1780224.0</v>
      </c>
      <c r="C82" s="13">
        <v>45966.95581018519</v>
      </c>
      <c r="D82" s="179" t="s">
        <v>152</v>
      </c>
      <c r="E82" s="180" t="s">
        <v>6667</v>
      </c>
      <c r="F82" s="188"/>
      <c r="G82" s="179" t="s">
        <v>267</v>
      </c>
      <c r="H82" s="190"/>
      <c r="I82" s="190"/>
      <c r="J82" s="187" t="s">
        <v>2669</v>
      </c>
      <c r="K82" s="187"/>
      <c r="L82" s="270" t="str">
        <f>IFERROR(__xludf.DUMMYFUNCTION("IF(
  AND(D82=""Saída"", J82=""Sangria""),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2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IFERROR(__xludf.DUMMYFUNCTION("ifna(VALUE(REGEXEXTRACT(E82,""[0-9.]+[,]+[0-9]+"")))"),5.1)</f>
        <v>5.1</v>
      </c>
      <c r="O82" s="226"/>
      <c r="P82" s="220"/>
      <c r="Q82" s="220"/>
      <c r="R82" s="228" t="str">
        <f t="shared" si="2"/>
        <v/>
      </c>
      <c r="S82" s="220" t="str">
        <f t="shared" si="3"/>
        <v/>
      </c>
      <c r="T82" s="218" t="str">
        <f t="shared" si="1"/>
        <v/>
      </c>
      <c r="U82" s="185"/>
      <c r="V82" s="185"/>
      <c r="W82" s="185"/>
    </row>
    <row r="83" ht="14.25" customHeight="1">
      <c r="A83" s="178"/>
      <c r="B83" s="12">
        <v>1781792.0</v>
      </c>
      <c r="C83" s="13">
        <v>45967.923854166664</v>
      </c>
      <c r="D83" s="179" t="s">
        <v>81</v>
      </c>
      <c r="E83" s="180" t="s">
        <v>6050</v>
      </c>
      <c r="F83" s="181"/>
      <c r="G83" s="179" t="s">
        <v>6355</v>
      </c>
      <c r="H83" s="190"/>
      <c r="I83" s="190"/>
      <c r="J83" s="187" t="s">
        <v>1782</v>
      </c>
      <c r="K83" s="187"/>
      <c r="L83" s="270" t="str">
        <f>IFERROR(__xludf.DUMMYFUNCTION("IF(
  AND(D83=""Saída"", J83=""Sangria""),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74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IFERROR(__xludf.DUMMYFUNCTION("ifna(VALUE(REGEXEXTRACT(E83,""[0-9.]+[,]+[0-9]+"")))"),130.0)</f>
        <v>130</v>
      </c>
      <c r="O83" s="229"/>
      <c r="P83" s="221"/>
      <c r="Q83" s="221"/>
      <c r="R83" s="231" t="str">
        <f t="shared" si="2"/>
        <v/>
      </c>
      <c r="S83" s="221" t="str">
        <f t="shared" si="3"/>
        <v/>
      </c>
      <c r="T83" s="232" t="str">
        <f t="shared" ref="T83:T104" si="4">IFERROR(VLOOKUP(Q83, $A$4:$B$18, 2, FALSE), "")</f>
        <v/>
      </c>
      <c r="U83" s="185"/>
      <c r="V83" s="185"/>
      <c r="W83" s="185"/>
    </row>
    <row r="84" ht="14.25" customHeight="1">
      <c r="A84" s="178"/>
      <c r="B84" s="12">
        <v>1781850.0</v>
      </c>
      <c r="C84" s="13">
        <v>45967.930393518516</v>
      </c>
      <c r="D84" s="179" t="s">
        <v>81</v>
      </c>
      <c r="E84" s="180" t="s">
        <v>6668</v>
      </c>
      <c r="F84" s="181"/>
      <c r="G84" s="179" t="s">
        <v>4041</v>
      </c>
      <c r="H84" s="190"/>
      <c r="I84" s="190"/>
      <c r="J84" s="187" t="s">
        <v>3151</v>
      </c>
      <c r="K84" s="187"/>
      <c r="L84" s="270" t="str">
        <f>IFERROR(__xludf.DUMMYFUNCTION("IF(
  AND(D84=""Saída"", J84=""Sangria""),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2" t="str">
        <f>IFERROR(__xludf.DUMMYFUNCTION("IF(J84=""Compra de Mercadorias"",
   IF(
      COUNTIF(ARRAYFORMULA(TRIM(CLEAN(TO_TEXT(Notas!BS:BS)))), TRIM(CLEAN(TO_TEXT(B84)))) &gt; 0,
      ""Encontrada"",
      ""Não Encontrada""
   ),
"""")"),"Não Encontrada")</f>
        <v>Não Encontrada</v>
      </c>
      <c r="N84" s="185">
        <f>IFERROR(__xludf.DUMMYFUNCTION("ifna(VALUE(REGEXEXTRACT(E84,""[0-9.]+[,]+[0-9]+"")))"),10.99)</f>
        <v>10.99</v>
      </c>
      <c r="O84" s="226"/>
      <c r="P84" s="220"/>
      <c r="Q84" s="220"/>
      <c r="R84" s="228" t="str">
        <f t="shared" si="2"/>
        <v/>
      </c>
      <c r="S84" s="220" t="str">
        <f t="shared" si="3"/>
        <v/>
      </c>
      <c r="T84" s="232" t="str">
        <f t="shared" si="4"/>
        <v/>
      </c>
      <c r="U84" s="185"/>
      <c r="V84" s="185"/>
      <c r="W84" s="185"/>
    </row>
    <row r="85" ht="14.25" customHeight="1">
      <c r="A85" s="178"/>
      <c r="B85" s="12">
        <v>1781883.0</v>
      </c>
      <c r="C85" s="13">
        <v>45967.93537037037</v>
      </c>
      <c r="D85" s="179" t="s">
        <v>81</v>
      </c>
      <c r="E85" s="180" t="s">
        <v>1163</v>
      </c>
      <c r="F85" s="188"/>
      <c r="G85" s="179" t="s">
        <v>381</v>
      </c>
      <c r="H85" s="190"/>
      <c r="I85" s="190"/>
      <c r="J85" s="187" t="s">
        <v>2735</v>
      </c>
      <c r="K85" s="187" t="s">
        <v>6576</v>
      </c>
      <c r="L85" s="270" t="str">
        <f>IFERROR(__xludf.DUMMYFUNCTION("IF(
  AND(D85=""Saída"", J85=""Sangria""),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"),"Confirmada")</f>
        <v>Confirmada</v>
      </c>
      <c r="M85" s="274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85">
        <f>IFERROR(__xludf.DUMMYFUNCTION("ifna(VALUE(REGEXEXTRACT(E85,""[0-9.]+[,]+[0-9]+"")))"),2000.0)</f>
        <v>2000</v>
      </c>
      <c r="O85" s="229"/>
      <c r="P85" s="221"/>
      <c r="Q85" s="221"/>
      <c r="R85" s="231" t="str">
        <f t="shared" si="2"/>
        <v/>
      </c>
      <c r="S85" s="221" t="str">
        <f t="shared" si="3"/>
        <v/>
      </c>
      <c r="T85" s="232" t="str">
        <f t="shared" si="4"/>
        <v/>
      </c>
      <c r="U85" s="185"/>
      <c r="V85" s="185"/>
      <c r="W85" s="185"/>
    </row>
    <row r="86" ht="14.25" customHeight="1">
      <c r="A86" s="178"/>
      <c r="B86" s="12">
        <v>1782939.0</v>
      </c>
      <c r="C86" s="13">
        <v>45968.751967592594</v>
      </c>
      <c r="D86" s="179" t="s">
        <v>152</v>
      </c>
      <c r="E86" s="180" t="s">
        <v>443</v>
      </c>
      <c r="F86" s="181"/>
      <c r="G86" s="179" t="s">
        <v>6670</v>
      </c>
      <c r="H86" s="190"/>
      <c r="I86" s="190"/>
      <c r="J86" s="187" t="s">
        <v>2669</v>
      </c>
      <c r="K86" s="187"/>
      <c r="L86" s="270" t="str">
        <f>IFERROR(__xludf.DUMMYFUNCTION("IF(
  AND(D86=""Saída"", J86=""Sangria""),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2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IFERROR(__xludf.DUMMYFUNCTION("ifna(VALUE(REGEXEXTRACT(E86,""[0-9.]+[,]+[0-9]+"")))"),900.0)</f>
        <v>900</v>
      </c>
      <c r="O86" s="226"/>
      <c r="P86" s="220"/>
      <c r="Q86" s="220"/>
      <c r="R86" s="228" t="str">
        <f t="shared" si="2"/>
        <v/>
      </c>
      <c r="S86" s="220" t="str">
        <f t="shared" si="3"/>
        <v/>
      </c>
      <c r="T86" s="232" t="str">
        <f t="shared" si="4"/>
        <v/>
      </c>
      <c r="U86" s="185"/>
      <c r="V86" s="185"/>
      <c r="W86" s="185"/>
    </row>
    <row r="87" ht="14.25" customHeight="1">
      <c r="A87" s="178"/>
      <c r="B87" s="12">
        <v>1782941.0</v>
      </c>
      <c r="C87" s="13">
        <v>45968.752233796295</v>
      </c>
      <c r="D87" s="179" t="s">
        <v>81</v>
      </c>
      <c r="E87" s="180" t="s">
        <v>5263</v>
      </c>
      <c r="F87" s="181"/>
      <c r="G87" s="179" t="s">
        <v>6671</v>
      </c>
      <c r="H87" s="190"/>
      <c r="I87" s="190"/>
      <c r="J87" s="187" t="s">
        <v>2669</v>
      </c>
      <c r="K87" s="187"/>
      <c r="L87" s="270" t="str">
        <f>IFERROR(__xludf.DUMMYFUNCTION("IF(
  AND(D87=""Saída"", J87=""Sangria""),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74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IFERROR(__xludf.DUMMYFUNCTION("ifna(VALUE(REGEXEXTRACT(E87,""[0-9.]+[,]+[0-9]+"")))"),180.0)</f>
        <v>180</v>
      </c>
      <c r="O87" s="229"/>
      <c r="P87" s="221"/>
      <c r="Q87" s="221"/>
      <c r="R87" s="231" t="str">
        <f t="shared" si="2"/>
        <v/>
      </c>
      <c r="S87" s="221" t="str">
        <f t="shared" si="3"/>
        <v/>
      </c>
      <c r="T87" s="232" t="str">
        <f t="shared" si="4"/>
        <v/>
      </c>
      <c r="U87" s="185"/>
      <c r="V87" s="185"/>
      <c r="W87" s="185"/>
    </row>
    <row r="88" ht="14.25" customHeight="1">
      <c r="A88" s="178"/>
      <c r="B88" s="12">
        <v>1782944.0</v>
      </c>
      <c r="C88" s="13">
        <v>45968.75269675926</v>
      </c>
      <c r="D88" s="179" t="s">
        <v>81</v>
      </c>
      <c r="E88" s="180" t="s">
        <v>416</v>
      </c>
      <c r="F88" s="181"/>
      <c r="G88" s="179" t="s">
        <v>6672</v>
      </c>
      <c r="H88" s="190"/>
      <c r="I88" s="190"/>
      <c r="J88" s="187" t="s">
        <v>3151</v>
      </c>
      <c r="K88" s="187"/>
      <c r="L88" s="270" t="str">
        <f>IFERROR(__xludf.DUMMYFUNCTION("IF(
  AND(D88=""Saída"", J88=""Sangria""),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2" t="str">
        <f>IFERROR(__xludf.DUMMYFUNCTION("IF(J88=""Compra de Mercadorias"",
   IF(
      COUNTIF(ARRAYFORMULA(TRIM(CLEAN(TO_TEXT(Notas!BS:BS)))), TRIM(CLEAN(TO_TEXT(B88)))) &gt; 0,
      ""Encontrada"",
      ""Não Encontrada""
   ),
"""")"),"Não Encontrada")</f>
        <v>Não Encontrada</v>
      </c>
      <c r="N88" s="185">
        <f>IFERROR(__xludf.DUMMYFUNCTION("ifna(VALUE(REGEXEXTRACT(E88,""[0-9.]+[,]+[0-9]+"")))"),100.0)</f>
        <v>100</v>
      </c>
      <c r="O88" s="226"/>
      <c r="P88" s="220"/>
      <c r="Q88" s="220"/>
      <c r="R88" s="228" t="str">
        <f t="shared" si="2"/>
        <v/>
      </c>
      <c r="S88" s="220" t="str">
        <f t="shared" si="3"/>
        <v/>
      </c>
      <c r="T88" s="232" t="str">
        <f t="shared" si="4"/>
        <v/>
      </c>
      <c r="U88" s="185"/>
      <c r="V88" s="185"/>
      <c r="W88" s="185"/>
    </row>
    <row r="89" ht="14.25" customHeight="1">
      <c r="A89" s="178"/>
      <c r="B89" s="12">
        <v>1783017.0</v>
      </c>
      <c r="C89" s="13">
        <v>45968.776412037034</v>
      </c>
      <c r="D89" s="179" t="s">
        <v>81</v>
      </c>
      <c r="E89" s="180" t="s">
        <v>6673</v>
      </c>
      <c r="F89" s="181"/>
      <c r="G89" s="179" t="s">
        <v>313</v>
      </c>
      <c r="H89" s="190"/>
      <c r="I89" s="190"/>
      <c r="J89" s="187" t="s">
        <v>3151</v>
      </c>
      <c r="K89" s="187"/>
      <c r="L89" s="270" t="str">
        <f>IFERROR(__xludf.DUMMYFUNCTION("IF(
  AND(D89=""Saída"", J89=""Sangria""),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74" t="str">
        <f>IFERROR(__xludf.DUMMYFUNCTION("IF(J89=""Compra de Mercadorias"",
   IF(
      COUNTIF(ARRAYFORMULA(TRIM(CLEAN(TO_TEXT(Notas!BS:BS)))), TRIM(CLEAN(TO_TEXT(B89)))) &gt; 0,
      ""Encontrada"",
      ""Não Encontrada""
   ),
"""")"),"Não Encontrada")</f>
        <v>Não Encontrada</v>
      </c>
      <c r="N89" s="185">
        <f>IFERROR(__xludf.DUMMYFUNCTION("ifna(VALUE(REGEXEXTRACT(E89,""[0-9.]+[,]+[0-9]+"")))"),425.5)</f>
        <v>425.5</v>
      </c>
      <c r="O89" s="229"/>
      <c r="P89" s="221"/>
      <c r="Q89" s="221"/>
      <c r="R89" s="231" t="str">
        <f t="shared" si="2"/>
        <v/>
      </c>
      <c r="S89" s="221" t="str">
        <f t="shared" si="3"/>
        <v/>
      </c>
      <c r="T89" s="232" t="str">
        <f t="shared" si="4"/>
        <v/>
      </c>
      <c r="U89" s="185"/>
      <c r="V89" s="185"/>
      <c r="W89" s="185"/>
    </row>
    <row r="90" ht="14.25" customHeight="1">
      <c r="A90" s="178"/>
      <c r="B90" s="12">
        <v>1783024.0</v>
      </c>
      <c r="C90" s="13">
        <v>45968.77908564815</v>
      </c>
      <c r="D90" s="179" t="s">
        <v>81</v>
      </c>
      <c r="E90" s="180" t="s">
        <v>6674</v>
      </c>
      <c r="F90" s="181"/>
      <c r="G90" s="179" t="s">
        <v>460</v>
      </c>
      <c r="H90" s="190"/>
      <c r="I90" s="190"/>
      <c r="J90" s="187" t="s">
        <v>3151</v>
      </c>
      <c r="K90" s="187"/>
      <c r="L90" s="270" t="str">
        <f>IFERROR(__xludf.DUMMYFUNCTION("IF(
  AND(D90=""Saída"", J90=""Sangria""),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2" t="str">
        <f>IFERROR(__xludf.DUMMYFUNCTION("IF(J90=""Compra de Mercadorias"",
   IF(
      COUNTIF(ARRAYFORMULA(TRIM(CLEAN(TO_TEXT(Notas!BS:BS)))), TRIM(CLEAN(TO_TEXT(B90)))) &gt; 0,
      ""Encontrada"",
      ""Não Encontrada""
   ),
"""")"),"Não Encontrada")</f>
        <v>Não Encontrada</v>
      </c>
      <c r="N90" s="185">
        <f>IFERROR(__xludf.DUMMYFUNCTION("ifna(VALUE(REGEXEXTRACT(E90,""[0-9.]+[,]+[0-9]+"")))"),145.5)</f>
        <v>145.5</v>
      </c>
      <c r="O90" s="226"/>
      <c r="P90" s="220"/>
      <c r="Q90" s="220"/>
      <c r="R90" s="228" t="str">
        <f t="shared" si="2"/>
        <v/>
      </c>
      <c r="S90" s="220" t="str">
        <f t="shared" si="3"/>
        <v/>
      </c>
      <c r="T90" s="232" t="str">
        <f t="shared" si="4"/>
        <v/>
      </c>
      <c r="U90" s="185"/>
      <c r="V90" s="185"/>
      <c r="W90" s="185"/>
    </row>
    <row r="91" ht="14.25" customHeight="1">
      <c r="A91" s="178"/>
      <c r="B91" s="12">
        <v>1783050.0</v>
      </c>
      <c r="C91" s="13">
        <v>45968.78928240741</v>
      </c>
      <c r="D91" s="179" t="s">
        <v>152</v>
      </c>
      <c r="E91" s="180" t="s">
        <v>485</v>
      </c>
      <c r="F91" s="181"/>
      <c r="G91" s="179" t="s">
        <v>6676</v>
      </c>
      <c r="H91" s="190"/>
      <c r="I91" s="190"/>
      <c r="J91" s="187"/>
      <c r="K91" s="187"/>
      <c r="L91" s="270" t="str">
        <f>IFERROR(__xludf.DUMMYFUNCTION("IF(
  AND(D91=""Saída"", J91=""Sangria""),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74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IFERROR(__xludf.DUMMYFUNCTION("ifna(VALUE(REGEXEXTRACT(E91,""[0-9.]+[,]+[0-9]+"")))"),60.0)</f>
        <v>60</v>
      </c>
      <c r="O91" s="229"/>
      <c r="P91" s="221"/>
      <c r="Q91" s="221"/>
      <c r="R91" s="231" t="str">
        <f t="shared" si="2"/>
        <v/>
      </c>
      <c r="S91" s="221" t="str">
        <f t="shared" si="3"/>
        <v/>
      </c>
      <c r="T91" s="232" t="str">
        <f t="shared" si="4"/>
        <v/>
      </c>
      <c r="U91" s="185"/>
      <c r="V91" s="185"/>
      <c r="W91" s="185"/>
    </row>
    <row r="92" ht="14.25" customHeight="1">
      <c r="A92" s="178"/>
      <c r="B92" s="12">
        <v>1785665.0</v>
      </c>
      <c r="C92" s="13">
        <v>45969.9315625</v>
      </c>
      <c r="D92" s="179" t="s">
        <v>81</v>
      </c>
      <c r="E92" s="180" t="s">
        <v>127</v>
      </c>
      <c r="F92" s="181"/>
      <c r="G92" s="179" t="s">
        <v>6678</v>
      </c>
      <c r="H92" s="190"/>
      <c r="I92" s="190"/>
      <c r="J92" s="187" t="s">
        <v>2735</v>
      </c>
      <c r="K92" s="187" t="s">
        <v>2018</v>
      </c>
      <c r="L92" s="270" t="str">
        <f>IFERROR(__xludf.DUMMYFUNCTION("IF(
  AND(D92=""Saída"", J92=""Sangria""),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"),"Confirmada")</f>
        <v>Confirmada</v>
      </c>
      <c r="M92" s="272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IFERROR(__xludf.DUMMYFUNCTION("ifna(VALUE(REGEXEXTRACT(E92,""[0-9.]+[,]+[0-9]+"")))"),250.0)</f>
        <v>250</v>
      </c>
      <c r="O92" s="226"/>
      <c r="P92" s="220"/>
      <c r="Q92" s="220"/>
      <c r="R92" s="228" t="str">
        <f t="shared" si="2"/>
        <v/>
      </c>
      <c r="S92" s="220" t="str">
        <f t="shared" si="3"/>
        <v/>
      </c>
      <c r="T92" s="232" t="str">
        <f t="shared" si="4"/>
        <v/>
      </c>
      <c r="U92" s="185"/>
      <c r="V92" s="185"/>
      <c r="W92" s="185"/>
    </row>
    <row r="93" ht="14.25" customHeight="1">
      <c r="A93" s="178"/>
      <c r="B93" s="12">
        <v>1788333.0</v>
      </c>
      <c r="C93" s="13">
        <v>45970.92969907408</v>
      </c>
      <c r="D93" s="179" t="s">
        <v>81</v>
      </c>
      <c r="E93" s="180" t="s">
        <v>659</v>
      </c>
      <c r="F93" s="181"/>
      <c r="G93" s="179" t="s">
        <v>5810</v>
      </c>
      <c r="H93" s="190"/>
      <c r="I93" s="190"/>
      <c r="J93" s="187" t="s">
        <v>2019</v>
      </c>
      <c r="K93" s="187" t="s">
        <v>2117</v>
      </c>
      <c r="L93" s="270" t="str">
        <f>IFERROR(__xludf.DUMMYFUNCTION("IF(
  AND(D93=""Saída"", J93=""Sangria""),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74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IFERROR(__xludf.DUMMYFUNCTION("ifna(VALUE(REGEXEXTRACT(E93,""[0-9.]+[,]+[0-9]+"")))"),5.0)</f>
        <v>5</v>
      </c>
      <c r="O93" s="229"/>
      <c r="P93" s="221"/>
      <c r="Q93" s="221"/>
      <c r="R93" s="231" t="str">
        <f t="shared" si="2"/>
        <v/>
      </c>
      <c r="S93" s="221" t="str">
        <f t="shared" si="3"/>
        <v/>
      </c>
      <c r="T93" s="232" t="str">
        <f t="shared" si="4"/>
        <v/>
      </c>
      <c r="U93" s="185"/>
      <c r="V93" s="185"/>
      <c r="W93" s="185"/>
    </row>
    <row r="94" ht="14.25" customHeight="1">
      <c r="A94" s="178"/>
      <c r="B94" s="12">
        <v>1788380.0</v>
      </c>
      <c r="C94" s="13">
        <v>45970.93407407407</v>
      </c>
      <c r="D94" s="179" t="s">
        <v>81</v>
      </c>
      <c r="E94" s="180" t="s">
        <v>6679</v>
      </c>
      <c r="F94" s="181"/>
      <c r="G94" s="179" t="s">
        <v>5575</v>
      </c>
      <c r="H94" s="190"/>
      <c r="I94" s="190"/>
      <c r="J94" s="187" t="s">
        <v>2438</v>
      </c>
      <c r="K94" s="187"/>
      <c r="L94" s="270" t="str">
        <f>IFERROR(__xludf.DUMMYFUNCTION("IF(
  AND(D94=""Saída"", J94=""Sangria""),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6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IFERROR(__xludf.DUMMYFUNCTION("ifna(VALUE(REGEXEXTRACT(E94,""[0-9.]+[,]+[0-9]+"")))"),68.31)</f>
        <v>68.31</v>
      </c>
      <c r="O94" s="226"/>
      <c r="P94" s="220"/>
      <c r="Q94" s="220"/>
      <c r="R94" s="228" t="str">
        <f t="shared" si="2"/>
        <v/>
      </c>
      <c r="S94" s="220" t="str">
        <f t="shared" si="3"/>
        <v/>
      </c>
      <c r="T94" s="232" t="str">
        <f t="shared" si="4"/>
        <v/>
      </c>
      <c r="U94" s="185"/>
      <c r="V94" s="185"/>
      <c r="W94" s="185"/>
    </row>
    <row r="95" ht="14.25" customHeight="1">
      <c r="A95" s="178"/>
      <c r="B95" s="12">
        <v>1788401.0</v>
      </c>
      <c r="C95" s="13">
        <v>45970.93578703704</v>
      </c>
      <c r="D95" s="179" t="s">
        <v>81</v>
      </c>
      <c r="E95" s="180" t="s">
        <v>6681</v>
      </c>
      <c r="F95" s="188"/>
      <c r="G95" s="179" t="s">
        <v>6682</v>
      </c>
      <c r="H95" s="190"/>
      <c r="I95" s="190"/>
      <c r="J95" s="187" t="s">
        <v>2735</v>
      </c>
      <c r="K95" s="187" t="s">
        <v>2117</v>
      </c>
      <c r="L95" s="270" t="str">
        <f>IFERROR(__xludf.DUMMYFUNCTION("IF(
  AND(D95=""Saída"", J95=""Sangria""),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"),"Confirmada")</f>
        <v>Confirmada</v>
      </c>
      <c r="M95" s="274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IFERROR(__xludf.DUMMYFUNCTION("ifna(VALUE(REGEXEXTRACT(E95,""[0-9.]+[,]+[0-9]+"")))"),2500.0)</f>
        <v>2500</v>
      </c>
      <c r="O95" s="229"/>
      <c r="P95" s="221"/>
      <c r="Q95" s="221"/>
      <c r="R95" s="231" t="str">
        <f t="shared" si="2"/>
        <v/>
      </c>
      <c r="S95" s="221" t="str">
        <f t="shared" si="3"/>
        <v/>
      </c>
      <c r="T95" s="232" t="str">
        <f t="shared" si="4"/>
        <v/>
      </c>
      <c r="U95" s="185"/>
      <c r="V95" s="185"/>
      <c r="W95" s="185"/>
    </row>
    <row r="96" ht="14.25" customHeight="1">
      <c r="A96" s="178"/>
      <c r="B96" s="12">
        <v>1790357.0</v>
      </c>
      <c r="C96" s="13">
        <v>45971.92313657407</v>
      </c>
      <c r="D96" s="179" t="s">
        <v>81</v>
      </c>
      <c r="E96" s="180" t="s">
        <v>343</v>
      </c>
      <c r="F96" s="181"/>
      <c r="G96" s="179" t="s">
        <v>6678</v>
      </c>
      <c r="H96" s="190"/>
      <c r="I96" s="190"/>
      <c r="J96" s="187" t="s">
        <v>2735</v>
      </c>
      <c r="K96" s="187" t="s">
        <v>2117</v>
      </c>
      <c r="L96" s="270" t="str">
        <f>IFERROR(__xludf.DUMMYFUNCTION("IF(
  AND(D96=""Saída"", J96=""Sangria""),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"),"Confirmada")</f>
        <v>Confirmada</v>
      </c>
      <c r="M96" s="272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IFERROR(__xludf.DUMMYFUNCTION("ifna(VALUE(REGEXEXTRACT(E96,""[0-9.]+[,]+[0-9]+"")))"),550.0)</f>
        <v>550</v>
      </c>
      <c r="O96" s="226"/>
      <c r="P96" s="220"/>
      <c r="Q96" s="220"/>
      <c r="R96" s="228" t="str">
        <f t="shared" si="2"/>
        <v/>
      </c>
      <c r="S96" s="220" t="str">
        <f t="shared" si="3"/>
        <v/>
      </c>
      <c r="T96" s="232" t="str">
        <f t="shared" si="4"/>
        <v/>
      </c>
      <c r="U96" s="185"/>
      <c r="V96" s="185"/>
      <c r="W96" s="185"/>
    </row>
    <row r="97" ht="14.25" customHeight="1">
      <c r="A97" s="178"/>
      <c r="B97" s="12">
        <v>1790359.0</v>
      </c>
      <c r="C97" s="13">
        <v>45971.92340277778</v>
      </c>
      <c r="D97" s="179" t="s">
        <v>81</v>
      </c>
      <c r="E97" s="180" t="s">
        <v>162</v>
      </c>
      <c r="F97" s="181"/>
      <c r="G97" s="179" t="s">
        <v>6678</v>
      </c>
      <c r="H97" s="190"/>
      <c r="I97" s="190"/>
      <c r="J97" s="187" t="s">
        <v>2735</v>
      </c>
      <c r="K97" s="187" t="s">
        <v>2117</v>
      </c>
      <c r="L97" s="270" t="str">
        <f>IFERROR(__xludf.DUMMYFUNCTION("IF(
  AND(D97=""Saída"", J97=""Sangria""),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"),"Confirmada")</f>
        <v>Confirmada</v>
      </c>
      <c r="M97" s="274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IFERROR(__xludf.DUMMYFUNCTION("ifna(VALUE(REGEXEXTRACT(E97,""[0-9.]+[,]+[0-9]+"")))"),150.0)</f>
        <v>150</v>
      </c>
      <c r="O97" s="229"/>
      <c r="P97" s="221"/>
      <c r="Q97" s="221"/>
      <c r="R97" s="231" t="str">
        <f t="shared" si="2"/>
        <v/>
      </c>
      <c r="S97" s="221" t="str">
        <f t="shared" si="3"/>
        <v/>
      </c>
      <c r="T97" s="232" t="str">
        <f t="shared" si="4"/>
        <v/>
      </c>
      <c r="U97" s="185"/>
      <c r="V97" s="185"/>
      <c r="W97" s="185"/>
    </row>
    <row r="98" ht="14.25" customHeight="1">
      <c r="A98" s="178"/>
      <c r="B98" s="12">
        <v>1790365.0</v>
      </c>
      <c r="C98" s="13">
        <v>45971.92376157407</v>
      </c>
      <c r="D98" s="179" t="s">
        <v>81</v>
      </c>
      <c r="E98" s="180" t="s">
        <v>943</v>
      </c>
      <c r="F98" s="181"/>
      <c r="G98" s="179" t="s">
        <v>6684</v>
      </c>
      <c r="H98" s="190"/>
      <c r="I98" s="190"/>
      <c r="J98" s="187" t="s">
        <v>2735</v>
      </c>
      <c r="K98" s="187" t="s">
        <v>2078</v>
      </c>
      <c r="L98" s="270" t="str">
        <f>IFERROR(__xludf.DUMMYFUNCTION("IF(
  AND(D98=""Saída"", J98=""Sangria""),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"),"Confirmada")</f>
        <v>Confirmada</v>
      </c>
      <c r="M98" s="272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IFERROR(__xludf.DUMMYFUNCTION("ifna(VALUE(REGEXEXTRACT(E98,""[0-9.]+[,]+[0-9]+"")))"),800.0)</f>
        <v>800</v>
      </c>
      <c r="O98" s="226"/>
      <c r="P98" s="220"/>
      <c r="Q98" s="220"/>
      <c r="R98" s="228" t="str">
        <f t="shared" si="2"/>
        <v/>
      </c>
      <c r="S98" s="220" t="str">
        <f t="shared" si="3"/>
        <v/>
      </c>
      <c r="T98" s="232" t="str">
        <f t="shared" si="4"/>
        <v/>
      </c>
      <c r="U98" s="185"/>
      <c r="V98" s="185"/>
      <c r="W98" s="185"/>
    </row>
    <row r="99" ht="14.25" customHeight="1">
      <c r="A99" s="178"/>
      <c r="B99" s="12">
        <v>1790384.0</v>
      </c>
      <c r="C99" s="13">
        <v>45971.92570601852</v>
      </c>
      <c r="D99" s="179" t="s">
        <v>81</v>
      </c>
      <c r="E99" s="180" t="s">
        <v>6686</v>
      </c>
      <c r="F99" s="181"/>
      <c r="G99" s="179" t="s">
        <v>5810</v>
      </c>
      <c r="H99" s="190"/>
      <c r="I99" s="190"/>
      <c r="J99" s="187" t="s">
        <v>2019</v>
      </c>
      <c r="K99" s="187" t="s">
        <v>2117</v>
      </c>
      <c r="L99" s="270" t="str">
        <f>IFERROR(__xludf.DUMMYFUNCTION("IF(
  AND(D99=""Saída"", J99=""Sangria""),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74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IFERROR(__xludf.DUMMYFUNCTION("ifna(VALUE(REGEXEXTRACT(E99,""[0-9.]+[,]+[0-9]+"")))"),12.71)</f>
        <v>12.71</v>
      </c>
      <c r="O99" s="235"/>
      <c r="P99" s="236"/>
      <c r="Q99" s="236"/>
      <c r="R99" s="237" t="str">
        <f t="shared" si="2"/>
        <v/>
      </c>
      <c r="S99" s="236" t="str">
        <f t="shared" si="3"/>
        <v/>
      </c>
      <c r="T99" s="232" t="str">
        <f t="shared" si="4"/>
        <v/>
      </c>
      <c r="U99" s="185"/>
      <c r="V99" s="185"/>
      <c r="W99" s="185"/>
    </row>
    <row r="100" ht="14.25" customHeight="1">
      <c r="A100" s="178"/>
      <c r="B100" s="12">
        <v>1790465.0</v>
      </c>
      <c r="C100" s="13">
        <v>45971.94018518519</v>
      </c>
      <c r="D100" s="179" t="s">
        <v>81</v>
      </c>
      <c r="E100" s="180" t="s">
        <v>325</v>
      </c>
      <c r="F100" s="188"/>
      <c r="G100" s="179" t="s">
        <v>6688</v>
      </c>
      <c r="H100" s="190"/>
      <c r="I100" s="190"/>
      <c r="J100" s="187" t="s">
        <v>3151</v>
      </c>
      <c r="K100" s="187"/>
      <c r="L100" s="270" t="str">
        <f>IFERROR(__xludf.DUMMYFUNCTION("IF(
  AND(D100=""Saída"", J100=""Sangria""),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2" t="str">
        <f>IFERROR(__xludf.DUMMYFUNCTION("IF(J100=""Compra de Mercadorias"",
   IF(
      COUNTIF(ARRAYFORMULA(TRIM(CLEAN(TO_TEXT(Notas!BS:BS)))), TRIM(CLEAN(TO_TEXT(B100)))) &gt; 0,
      ""Encontrada"",
      ""Não Encontrada""
   ),
"""")"),"Não Encontrada")</f>
        <v>Não Encontrada</v>
      </c>
      <c r="N100" s="185">
        <f>IFERROR(__xludf.DUMMYFUNCTION("ifna(VALUE(REGEXEXTRACT(E100,""[0-9.]+[,]+[0-9]+"")))"),22.0)</f>
        <v>22</v>
      </c>
      <c r="O100" s="235"/>
      <c r="P100" s="236"/>
      <c r="Q100" s="236"/>
      <c r="R100" s="237" t="str">
        <f t="shared" si="2"/>
        <v/>
      </c>
      <c r="S100" s="236" t="str">
        <f t="shared" si="3"/>
        <v/>
      </c>
      <c r="T100" s="232" t="str">
        <f t="shared" si="4"/>
        <v/>
      </c>
      <c r="U100" s="185"/>
      <c r="V100" s="185"/>
      <c r="W100" s="185"/>
    </row>
    <row r="101" ht="14.25" customHeight="1">
      <c r="A101" s="178"/>
      <c r="B101" s="12">
        <v>1792554.0</v>
      </c>
      <c r="C101" s="13">
        <v>45973.5275</v>
      </c>
      <c r="D101" s="179" t="s">
        <v>81</v>
      </c>
      <c r="E101" s="180" t="s">
        <v>6689</v>
      </c>
      <c r="F101" s="181"/>
      <c r="G101" s="179" t="s">
        <v>6690</v>
      </c>
      <c r="H101" s="190"/>
      <c r="I101" s="190"/>
      <c r="J101" s="187" t="s">
        <v>1782</v>
      </c>
      <c r="K101" s="187"/>
      <c r="L101" s="270" t="str">
        <f>IFERROR(__xludf.DUMMYFUNCTION("IF(
  AND(D101=""Saída"", J101=""Sangria""),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76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IFERROR(__xludf.DUMMYFUNCTION("ifna(VALUE(REGEXEXTRACT(E101,""[0-9.]+[,]+[0-9]+"")))"),303.0)</f>
        <v>303</v>
      </c>
      <c r="O101" s="235"/>
      <c r="P101" s="236"/>
      <c r="Q101" s="236"/>
      <c r="R101" s="237" t="str">
        <f t="shared" si="2"/>
        <v/>
      </c>
      <c r="S101" s="236" t="str">
        <f t="shared" si="3"/>
        <v/>
      </c>
      <c r="T101" s="232" t="str">
        <f t="shared" si="4"/>
        <v/>
      </c>
      <c r="U101" s="185"/>
      <c r="V101" s="185"/>
      <c r="W101" s="185"/>
    </row>
    <row r="102" ht="14.25" customHeight="1">
      <c r="A102" s="178"/>
      <c r="B102" s="12">
        <v>1792555.0</v>
      </c>
      <c r="C102" s="13">
        <v>45973.52798611111</v>
      </c>
      <c r="D102" s="179" t="s">
        <v>81</v>
      </c>
      <c r="E102" s="180" t="s">
        <v>943</v>
      </c>
      <c r="F102" s="181"/>
      <c r="G102" s="179" t="s">
        <v>6691</v>
      </c>
      <c r="H102" s="190"/>
      <c r="I102" s="190"/>
      <c r="J102" s="187" t="s">
        <v>2735</v>
      </c>
      <c r="K102" s="187" t="s">
        <v>2078</v>
      </c>
      <c r="L102" s="270" t="str">
        <f>IFERROR(__xludf.DUMMYFUNCTION("IF(
  AND(D102=""Saída"", J102=""Sangria""),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"),"Confirmada")</f>
        <v>Confirmada</v>
      </c>
      <c r="M102" s="272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IFERROR(__xludf.DUMMYFUNCTION("ifna(VALUE(REGEXEXTRACT(E102,""[0-9.]+[,]+[0-9]+"")))"),800.0)</f>
        <v>800</v>
      </c>
      <c r="O102" s="235"/>
      <c r="P102" s="236"/>
      <c r="Q102" s="236"/>
      <c r="R102" s="237" t="str">
        <f t="shared" si="2"/>
        <v/>
      </c>
      <c r="S102" s="236" t="str">
        <f t="shared" si="3"/>
        <v/>
      </c>
      <c r="T102" s="232" t="str">
        <f t="shared" si="4"/>
        <v/>
      </c>
      <c r="U102" s="185"/>
      <c r="V102" s="185"/>
      <c r="W102" s="185"/>
    </row>
    <row r="103" ht="14.25" customHeight="1">
      <c r="A103" s="178"/>
      <c r="B103" s="12">
        <v>1794124.0</v>
      </c>
      <c r="C103" s="13">
        <v>45973.98354166667</v>
      </c>
      <c r="D103" s="179" t="s">
        <v>81</v>
      </c>
      <c r="E103" s="180" t="s">
        <v>6694</v>
      </c>
      <c r="F103" s="188"/>
      <c r="G103" s="179" t="s">
        <v>193</v>
      </c>
      <c r="H103" s="190"/>
      <c r="I103" s="190"/>
      <c r="J103" s="187" t="s">
        <v>3151</v>
      </c>
      <c r="K103" s="187"/>
      <c r="L103" s="270" t="str">
        <f>IFERROR(__xludf.DUMMYFUNCTION("IF(
  AND(D103=""Saída"", J103=""Sangria""),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74" t="str">
        <f>IFERROR(__xludf.DUMMYFUNCTION("IF(J103=""Compra de Mercadorias"",
   IF(
      COUNTIF(ARRAYFORMULA(TRIM(CLEAN(TO_TEXT(Notas!BS:BS)))), TRIM(CLEAN(TO_TEXT(B103)))) &gt; 0,
      ""Encontrada"",
      ""Não Encontrada""
   ),
"""")"),"Não Encontrada")</f>
        <v>Não Encontrada</v>
      </c>
      <c r="N103" s="185">
        <f>IFERROR(__xludf.DUMMYFUNCTION("ifna(VALUE(REGEXEXTRACT(E103,""[0-9.]+[,]+[0-9]+"")))"),89.9)</f>
        <v>89.9</v>
      </c>
      <c r="O103" s="235"/>
      <c r="P103" s="236"/>
      <c r="Q103" s="236"/>
      <c r="R103" s="237" t="str">
        <f t="shared" si="2"/>
        <v/>
      </c>
      <c r="S103" s="236" t="str">
        <f t="shared" si="3"/>
        <v/>
      </c>
      <c r="T103" s="232" t="str">
        <f t="shared" si="4"/>
        <v/>
      </c>
      <c r="U103" s="185"/>
      <c r="V103" s="185"/>
      <c r="W103" s="185"/>
    </row>
    <row r="104" ht="14.25" customHeight="1">
      <c r="A104" s="178"/>
      <c r="B104" s="12">
        <v>1795833.0</v>
      </c>
      <c r="C104" s="13">
        <v>45975.520833333336</v>
      </c>
      <c r="D104" s="179" t="s">
        <v>81</v>
      </c>
      <c r="E104" s="180" t="s">
        <v>3905</v>
      </c>
      <c r="F104" s="181"/>
      <c r="G104" s="179" t="s">
        <v>6684</v>
      </c>
      <c r="H104" s="190"/>
      <c r="I104" s="190"/>
      <c r="J104" s="187" t="s">
        <v>2735</v>
      </c>
      <c r="K104" s="187" t="s">
        <v>2078</v>
      </c>
      <c r="L104" s="270" t="str">
        <f>IFERROR(__xludf.DUMMYFUNCTION("IF(
  AND(D104=""Saída"", J104=""Sangria""),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"),"Confirmada")</f>
        <v>Confirmada</v>
      </c>
      <c r="M104" s="272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85">
        <f>IFERROR(__xludf.DUMMYFUNCTION("ifna(VALUE(REGEXEXTRACT(E104,""[0-9.]+[,]+[0-9]+"")))"),1050.0)</f>
        <v>1050</v>
      </c>
      <c r="O104" s="239"/>
      <c r="P104" s="240"/>
      <c r="Q104" s="240"/>
      <c r="R104" s="241" t="str">
        <f t="shared" si="2"/>
        <v/>
      </c>
      <c r="S104" s="240" t="str">
        <f t="shared" si="3"/>
        <v/>
      </c>
      <c r="T104" s="242" t="str">
        <f t="shared" si="4"/>
        <v/>
      </c>
      <c r="U104" s="185"/>
      <c r="V104" s="185"/>
      <c r="W104" s="185"/>
    </row>
    <row r="105" ht="14.25" customHeight="1">
      <c r="A105" s="178"/>
      <c r="B105" s="12">
        <v>1795838.0</v>
      </c>
      <c r="C105" s="13">
        <v>45975.52327546296</v>
      </c>
      <c r="D105" s="179" t="s">
        <v>81</v>
      </c>
      <c r="E105" s="180" t="s">
        <v>541</v>
      </c>
      <c r="F105" s="181"/>
      <c r="G105" s="179" t="s">
        <v>5810</v>
      </c>
      <c r="H105" s="190"/>
      <c r="I105" s="190"/>
      <c r="J105" s="187" t="s">
        <v>2019</v>
      </c>
      <c r="K105" s="187" t="s">
        <v>2117</v>
      </c>
      <c r="L105" s="270" t="str">
        <f>IFERROR(__xludf.DUMMYFUNCTION("IF(
  AND(D105=""Saída"", J105=""Sangria""),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73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IFERROR(__xludf.DUMMYFUNCTION("ifna(VALUE(REGEXEXTRACT(E105,""[0-9.]+[,]+[0-9]+"")))"),13.84)</f>
        <v>13.84</v>
      </c>
      <c r="O105" s="25"/>
      <c r="P105" s="25"/>
      <c r="Q105" s="25"/>
      <c r="R105" s="25"/>
      <c r="S105" s="25"/>
      <c r="T105" s="25"/>
      <c r="U105" s="185"/>
      <c r="V105" s="185"/>
      <c r="W105" s="185"/>
    </row>
    <row r="106" ht="14.25" customHeight="1">
      <c r="A106" s="178"/>
      <c r="B106" s="12">
        <v>1795839.0</v>
      </c>
      <c r="C106" s="13">
        <v>45975.523564814815</v>
      </c>
      <c r="D106" s="179" t="s">
        <v>81</v>
      </c>
      <c r="E106" s="180" t="s">
        <v>6697</v>
      </c>
      <c r="F106" s="181"/>
      <c r="G106" s="179" t="s">
        <v>5821</v>
      </c>
      <c r="H106" s="190"/>
      <c r="I106" s="190"/>
      <c r="J106" s="187" t="s">
        <v>2438</v>
      </c>
      <c r="K106" s="187"/>
      <c r="L106" s="270" t="str">
        <f>IFERROR(__xludf.DUMMYFUNCTION("IF(
  AND(D106=""Saída"", J106=""Sangria""),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2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IFERROR(__xludf.DUMMYFUNCTION("ifna(VALUE(REGEXEXTRACT(E106,""[0-9.]+[,]+[0-9]+"")))"),7.13)</f>
        <v>7.13</v>
      </c>
      <c r="O106" s="289" t="s">
        <v>6698</v>
      </c>
      <c r="W106" s="185"/>
    </row>
    <row r="107" ht="14.25" customHeight="1">
      <c r="A107" s="178"/>
      <c r="B107" s="12">
        <v>1795840.0</v>
      </c>
      <c r="C107" s="13">
        <v>45975.52427083333</v>
      </c>
      <c r="D107" s="179" t="s">
        <v>81</v>
      </c>
      <c r="E107" s="180" t="s">
        <v>6699</v>
      </c>
      <c r="F107" s="181"/>
      <c r="G107" s="179" t="s">
        <v>6700</v>
      </c>
      <c r="H107" s="190"/>
      <c r="I107" s="190"/>
      <c r="J107" s="187" t="s">
        <v>2438</v>
      </c>
      <c r="K107" s="187"/>
      <c r="L107" s="270" t="str">
        <f>IFERROR(__xludf.DUMMYFUNCTION("IF(
  AND(D107=""Saída"", J107=""Sangria""),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74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IFERROR(__xludf.DUMMYFUNCTION("ifna(VALUE(REGEXEXTRACT(E107,""[0-9.]+[,]+[0-9]+"")))"),51.2)</f>
        <v>51.2</v>
      </c>
      <c r="O107" s="290" t="str">
        <f>IFERROR(__xludf.DUMMYFUNCTION("QUERY(B28:M507,""Select B,C,D,E,G,H,I,M where M = 'Não Encontrada'"",1)"),"ID")</f>
        <v>ID</v>
      </c>
      <c r="P107" s="290" t="str">
        <f>IFERROR(__xludf.DUMMYFUNCTION("""COMPUTED_VALUE"""),"Data")</f>
        <v>Data</v>
      </c>
      <c r="Q107" s="290" t="str">
        <f>IFERROR(__xludf.DUMMYFUNCTION("""COMPUTED_VALUE"""),"Entrada/Saída")</f>
        <v>Entrada/Saída</v>
      </c>
      <c r="R107" s="291" t="str">
        <f>IFERROR(__xludf.DUMMYFUNCTION("""COMPUTED_VALUE"""),"Valor ")</f>
        <v>Valor </v>
      </c>
      <c r="S107" s="290" t="str">
        <f>IFERROR(__xludf.DUMMYFUNCTION("""COMPUTED_VALUE"""),"Descrição")</f>
        <v>Descrição</v>
      </c>
      <c r="V107" s="292" t="str">
        <f>IFERROR(__xludf.DUMMYFUNCTION("""COMPUTED_VALUE"""),"Nota")</f>
        <v>Nota</v>
      </c>
      <c r="W107" s="185"/>
    </row>
    <row r="108" ht="14.25" customHeight="1">
      <c r="A108" s="178"/>
      <c r="B108" s="12">
        <v>1795842.0</v>
      </c>
      <c r="C108" s="13">
        <v>45975.52453703704</v>
      </c>
      <c r="D108" s="179" t="s">
        <v>81</v>
      </c>
      <c r="E108" s="180" t="s">
        <v>6701</v>
      </c>
      <c r="F108" s="181"/>
      <c r="G108" s="179" t="s">
        <v>568</v>
      </c>
      <c r="H108" s="190"/>
      <c r="I108" s="190"/>
      <c r="J108" s="187" t="s">
        <v>2019</v>
      </c>
      <c r="K108" s="187" t="s">
        <v>2078</v>
      </c>
      <c r="L108" s="270" t="str">
        <f>IFERROR(__xludf.DUMMYFUNCTION("IF(
  AND(D108=""Saída"", J108=""Sangria""),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2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85">
        <f>IFERROR(__xludf.DUMMYFUNCTION("ifna(VALUE(REGEXEXTRACT(E108,""[0-9.]+[,]+[0-9]+"")))"),19.12)</f>
        <v>19.12</v>
      </c>
      <c r="O108" s="293">
        <f>IFERROR(__xludf.DUMMYFUNCTION("""COMPUTED_VALUE"""),1759733.0)</f>
        <v>1759733</v>
      </c>
      <c r="P108" s="294">
        <f>IFERROR(__xludf.DUMMYFUNCTION("""COMPUTED_VALUE"""),45955.9146875)</f>
        <v>45955.91469</v>
      </c>
      <c r="Q108" s="293" t="str">
        <f>IFERROR(__xludf.DUMMYFUNCTION("""COMPUTED_VALUE"""),"Saída")</f>
        <v>Saída</v>
      </c>
      <c r="R108" s="295" t="str">
        <f>IFERROR(__xludf.DUMMYFUNCTION("""COMPUTED_VALUE"""),"R$ 64,95")</f>
        <v>R$ 64,95</v>
      </c>
      <c r="S108" s="293" t="str">
        <f>IFERROR(__xludf.DUMMYFUNCTION("""COMPUTED_VALUE"""),"leite po")</f>
        <v>leite po</v>
      </c>
      <c r="V108" s="296" t="str">
        <f>IFERROR(__xludf.DUMMYFUNCTION("""COMPUTED_VALUE"""),"Não Encontrada")</f>
        <v>Não Encontrada</v>
      </c>
      <c r="W108" s="185"/>
    </row>
    <row r="109" ht="14.25" customHeight="1">
      <c r="A109" s="178"/>
      <c r="B109" s="12">
        <v>1797793.0</v>
      </c>
      <c r="C109" s="13">
        <v>45976.526666666665</v>
      </c>
      <c r="D109" s="179" t="s">
        <v>81</v>
      </c>
      <c r="E109" s="180" t="s">
        <v>3905</v>
      </c>
      <c r="F109" s="181"/>
      <c r="G109" s="179" t="s">
        <v>6678</v>
      </c>
      <c r="H109" s="190"/>
      <c r="I109" s="190"/>
      <c r="J109" s="187" t="s">
        <v>2735</v>
      </c>
      <c r="K109" s="187" t="s">
        <v>2117</v>
      </c>
      <c r="L109" s="270" t="str">
        <f>IFERROR(__xludf.DUMMYFUNCTION("IF(
  AND(D109=""Saída"", J109=""Sangria""),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"),"Confirmada")</f>
        <v>Confirmada</v>
      </c>
      <c r="M109" s="274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85">
        <f>IFERROR(__xludf.DUMMYFUNCTION("ifna(VALUE(REGEXEXTRACT(E109,""[0-9.]+[,]+[0-9]+"")))"),1050.0)</f>
        <v>1050</v>
      </c>
      <c r="O109" s="297">
        <f>IFERROR(__xludf.DUMMYFUNCTION("""COMPUTED_VALUE"""),1762740.0)</f>
        <v>1762740</v>
      </c>
      <c r="P109" s="298">
        <f>IFERROR(__xludf.DUMMYFUNCTION("""COMPUTED_VALUE"""),45956.95239583333)</f>
        <v>45956.9524</v>
      </c>
      <c r="Q109" s="297" t="str">
        <f>IFERROR(__xludf.DUMMYFUNCTION("""COMPUTED_VALUE"""),"Saída")</f>
        <v>Saída</v>
      </c>
      <c r="R109" s="299" t="str">
        <f>IFERROR(__xludf.DUMMYFUNCTION("""COMPUTED_VALUE"""),"R$ 173,03")</f>
        <v>R$ 173,03</v>
      </c>
      <c r="S109" s="297" t="str">
        <f>IFERROR(__xludf.DUMMYFUNCTION("""COMPUTED_VALUE"""),"FRUTAS E CAFE FUNCIONARIOS")</f>
        <v>FRUTAS E CAFE FUNCIONARIOS</v>
      </c>
      <c r="V109" s="300" t="str">
        <f>IFERROR(__xludf.DUMMYFUNCTION("""COMPUTED_VALUE"""),"Não Encontrada")</f>
        <v>Não Encontrada</v>
      </c>
      <c r="W109" s="185"/>
    </row>
    <row r="110" ht="14.25" customHeight="1">
      <c r="A110" s="178"/>
      <c r="B110" s="12">
        <v>1797794.0</v>
      </c>
      <c r="C110" s="13">
        <v>45976.52690972222</v>
      </c>
      <c r="D110" s="179" t="s">
        <v>81</v>
      </c>
      <c r="E110" s="180" t="s">
        <v>457</v>
      </c>
      <c r="F110" s="181"/>
      <c r="G110" s="179" t="s">
        <v>6678</v>
      </c>
      <c r="H110" s="190"/>
      <c r="I110" s="190"/>
      <c r="J110" s="187" t="s">
        <v>2735</v>
      </c>
      <c r="K110" s="187" t="s">
        <v>2117</v>
      </c>
      <c r="L110" s="270" t="str">
        <f>IFERROR(__xludf.DUMMYFUNCTION("IF(
  AND(D110=""Saída"", J110=""Sangria""),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"),"Confirmada")</f>
        <v>Confirmada</v>
      </c>
      <c r="M110" s="272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IFERROR(__xludf.DUMMYFUNCTION("ifna(VALUE(REGEXEXTRACT(E110,""[0-9.]+[,]+[0-9]+"")))"),200.0)</f>
        <v>200</v>
      </c>
      <c r="O110" s="293">
        <f>IFERROR(__xludf.DUMMYFUNCTION("""COMPUTED_VALUE"""),1764083.0)</f>
        <v>1764083</v>
      </c>
      <c r="P110" s="294">
        <f>IFERROR(__xludf.DUMMYFUNCTION("""COMPUTED_VALUE"""),45957.88269675926)</f>
        <v>45957.8827</v>
      </c>
      <c r="Q110" s="293" t="str">
        <f>IFERROR(__xludf.DUMMYFUNCTION("""COMPUTED_VALUE"""),"Saída")</f>
        <v>Saída</v>
      </c>
      <c r="R110" s="295" t="str">
        <f>IFERROR(__xludf.DUMMYFUNCTION("""COMPUTED_VALUE"""),"R$ 39,98")</f>
        <v>R$ 39,98</v>
      </c>
      <c r="S110" s="293" t="str">
        <f>IFERROR(__xludf.DUMMYFUNCTION("""COMPUTED_VALUE"""),"MATERIAL LIMPEZA")</f>
        <v>MATERIAL LIMPEZA</v>
      </c>
      <c r="V110" s="296" t="str">
        <f>IFERROR(__xludf.DUMMYFUNCTION("""COMPUTED_VALUE"""),"Não Encontrada")</f>
        <v>Não Encontrada</v>
      </c>
      <c r="W110" s="185"/>
    </row>
    <row r="111" ht="14.25" customHeight="1">
      <c r="A111" s="178"/>
      <c r="B111" s="12">
        <v>1797795.0</v>
      </c>
      <c r="C111" s="13">
        <v>45976.52725694444</v>
      </c>
      <c r="D111" s="179" t="s">
        <v>81</v>
      </c>
      <c r="E111" s="180" t="s">
        <v>3486</v>
      </c>
      <c r="F111" s="181"/>
      <c r="G111" s="179" t="s">
        <v>6684</v>
      </c>
      <c r="H111" s="190"/>
      <c r="I111" s="190"/>
      <c r="J111" s="187" t="s">
        <v>2735</v>
      </c>
      <c r="K111" s="187" t="s">
        <v>2078</v>
      </c>
      <c r="L111" s="270" t="str">
        <f>IFERROR(__xludf.DUMMYFUNCTION("IF(
  AND(D111=""Saída"", J111=""Sangria""),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"),"Confirmada")</f>
        <v>Confirmada</v>
      </c>
      <c r="M111" s="274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IFERROR(__xludf.DUMMYFUNCTION("ifna(VALUE(REGEXEXTRACT(E111,""[0-9.]+[,]+[0-9]+"")))"),500.0)</f>
        <v>500</v>
      </c>
      <c r="O111" s="297">
        <f>IFERROR(__xludf.DUMMYFUNCTION("""COMPUTED_VALUE"""),1764468.0)</f>
        <v>1764468</v>
      </c>
      <c r="P111" s="298">
        <f>IFERROR(__xludf.DUMMYFUNCTION("""COMPUTED_VALUE"""),45957.94416666667)</f>
        <v>45957.94417</v>
      </c>
      <c r="Q111" s="297" t="str">
        <f>IFERROR(__xludf.DUMMYFUNCTION("""COMPUTED_VALUE"""),"Saída")</f>
        <v>Saída</v>
      </c>
      <c r="R111" s="299" t="str">
        <f>IFERROR(__xludf.DUMMYFUNCTION("""COMPUTED_VALUE"""),"R$ 526,49")</f>
        <v>R$ 526,49</v>
      </c>
      <c r="S111" s="297" t="str">
        <f>IFERROR(__xludf.DUMMYFUNCTION("""COMPUTED_VALUE"""),"ENFEITE DE NATAL")</f>
        <v>ENFEITE DE NATAL</v>
      </c>
      <c r="V111" s="300" t="str">
        <f>IFERROR(__xludf.DUMMYFUNCTION("""COMPUTED_VALUE"""),"Não Encontrada")</f>
        <v>Não Encontrada</v>
      </c>
      <c r="W111" s="185"/>
    </row>
    <row r="112" ht="14.25" customHeight="1">
      <c r="A112" s="178"/>
      <c r="B112" s="12">
        <v>1797796.0</v>
      </c>
      <c r="C112" s="13">
        <v>45976.527604166666</v>
      </c>
      <c r="D112" s="179" t="s">
        <v>81</v>
      </c>
      <c r="E112" s="180" t="s">
        <v>979</v>
      </c>
      <c r="F112" s="181"/>
      <c r="G112" s="179" t="s">
        <v>5810</v>
      </c>
      <c r="H112" s="190"/>
      <c r="I112" s="190"/>
      <c r="J112" s="187" t="s">
        <v>2019</v>
      </c>
      <c r="K112" s="187" t="s">
        <v>2117</v>
      </c>
      <c r="L112" s="270" t="str">
        <f>IFERROR(__xludf.DUMMYFUNCTION("IF(
  AND(D112=""Saída"", J112=""Sangria""),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6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IFERROR(__xludf.DUMMYFUNCTION("ifna(VALUE(REGEXEXTRACT(E112,""[0-9.]+[,]+[0-9]+"")))"),3.0)</f>
        <v>3</v>
      </c>
      <c r="O112" s="293">
        <f>IFERROR(__xludf.DUMMYFUNCTION("""COMPUTED_VALUE"""),1765667.0)</f>
        <v>1765667</v>
      </c>
      <c r="P112" s="294">
        <f>IFERROR(__xludf.DUMMYFUNCTION("""COMPUTED_VALUE"""),45958.921215277776)</f>
        <v>45958.92122</v>
      </c>
      <c r="Q112" s="293" t="str">
        <f>IFERROR(__xludf.DUMMYFUNCTION("""COMPUTED_VALUE"""),"Saída")</f>
        <v>Saída</v>
      </c>
      <c r="R112" s="295" t="str">
        <f>IFERROR(__xludf.DUMMYFUNCTION("""COMPUTED_VALUE"""),"R$ 19,98")</f>
        <v>R$ 19,98</v>
      </c>
      <c r="S112" s="293" t="str">
        <f>IFERROR(__xludf.DUMMYFUNCTION("""COMPUTED_VALUE"""),"EFEITE NATAL")</f>
        <v>EFEITE NATAL</v>
      </c>
      <c r="V112" s="296" t="str">
        <f>IFERROR(__xludf.DUMMYFUNCTION("""COMPUTED_VALUE"""),"Não Encontrada")</f>
        <v>Não Encontrada</v>
      </c>
      <c r="W112" s="185"/>
    </row>
    <row r="113" ht="14.25" customHeight="1">
      <c r="A113" s="178"/>
      <c r="B113" s="12">
        <v>1797798.0</v>
      </c>
      <c r="C113" s="13">
        <v>45976.527916666666</v>
      </c>
      <c r="D113" s="179" t="s">
        <v>81</v>
      </c>
      <c r="E113" s="180" t="s">
        <v>659</v>
      </c>
      <c r="F113" s="188"/>
      <c r="G113" s="179" t="s">
        <v>568</v>
      </c>
      <c r="H113" s="190"/>
      <c r="I113" s="190"/>
      <c r="J113" s="187" t="s">
        <v>2019</v>
      </c>
      <c r="K113" s="187" t="s">
        <v>2078</v>
      </c>
      <c r="L113" s="270" t="str">
        <f>IFERROR(__xludf.DUMMYFUNCTION("IF(
  AND(D113=""Saída"", J113=""Sangria""),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74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IFERROR(__xludf.DUMMYFUNCTION("ifna(VALUE(REGEXEXTRACT(E113,""[0-9.]+[,]+[0-9]+"")))"),5.0)</f>
        <v>5</v>
      </c>
      <c r="O113" s="297">
        <f>IFERROR(__xludf.DUMMYFUNCTION("""COMPUTED_VALUE"""),1765671.0)</f>
        <v>1765671</v>
      </c>
      <c r="P113" s="298">
        <f>IFERROR(__xludf.DUMMYFUNCTION("""COMPUTED_VALUE"""),45958.92140046296)</f>
        <v>45958.9214</v>
      </c>
      <c r="Q113" s="297" t="str">
        <f>IFERROR(__xludf.DUMMYFUNCTION("""COMPUTED_VALUE"""),"Saída")</f>
        <v>Saída</v>
      </c>
      <c r="R113" s="299" t="str">
        <f>IFERROR(__xludf.DUMMYFUNCTION("""COMPUTED_VALUE"""),"R$ 152,42")</f>
        <v>R$ 152,42</v>
      </c>
      <c r="S113" s="297" t="str">
        <f>IFERROR(__xludf.DUMMYFUNCTION("""COMPUTED_VALUE"""),"EFEITE NATAL")</f>
        <v>EFEITE NATAL</v>
      </c>
      <c r="V113" s="300" t="str">
        <f>IFERROR(__xludf.DUMMYFUNCTION("""COMPUTED_VALUE"""),"Não Encontrada")</f>
        <v>Não Encontrada</v>
      </c>
      <c r="W113" s="185"/>
    </row>
    <row r="114" ht="14.25" customHeight="1">
      <c r="A114" s="178"/>
      <c r="B114" s="12">
        <v>1797799.0</v>
      </c>
      <c r="C114" s="13">
        <v>45976.528182870374</v>
      </c>
      <c r="D114" s="179" t="s">
        <v>81</v>
      </c>
      <c r="E114" s="180" t="s">
        <v>6686</v>
      </c>
      <c r="F114" s="181"/>
      <c r="G114" s="179" t="s">
        <v>5821</v>
      </c>
      <c r="H114" s="190"/>
      <c r="I114" s="190"/>
      <c r="J114" s="187" t="s">
        <v>2438</v>
      </c>
      <c r="K114" s="187"/>
      <c r="L114" s="270" t="str">
        <f>IFERROR(__xludf.DUMMYFUNCTION("IF(
  AND(D114=""Saída"", J114=""Sangria""),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2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>
        <f>IFERROR(__xludf.DUMMYFUNCTION("ifna(VALUE(REGEXEXTRACT(E114,""[0-9.]+[,]+[0-9]+"")))"),12.71)</f>
        <v>12.71</v>
      </c>
      <c r="O114" s="293">
        <f>IFERROR(__xludf.DUMMYFUNCTION("""COMPUTED_VALUE"""),1766977.0)</f>
        <v>1766977</v>
      </c>
      <c r="P114" s="294">
        <f>IFERROR(__xludf.DUMMYFUNCTION("""COMPUTED_VALUE"""),45959.91923611111)</f>
        <v>45959.91924</v>
      </c>
      <c r="Q114" s="293" t="str">
        <f>IFERROR(__xludf.DUMMYFUNCTION("""COMPUTED_VALUE"""),"Saída")</f>
        <v>Saída</v>
      </c>
      <c r="R114" s="295" t="str">
        <f>IFERROR(__xludf.DUMMYFUNCTION("""COMPUTED_VALUE"""),"R$ 62,05")</f>
        <v>R$ 62,05</v>
      </c>
      <c r="S114" s="293" t="str">
        <f>IFERROR(__xludf.DUMMYFUNCTION("""COMPUTED_VALUE"""),"CAFE FUNCIONARIOS E SUCO ABX PARA CUBA (BANANA)")</f>
        <v>CAFE FUNCIONARIOS E SUCO ABX PARA CUBA (BANANA)</v>
      </c>
      <c r="V114" s="296" t="str">
        <f>IFERROR(__xludf.DUMMYFUNCTION("""COMPUTED_VALUE"""),"Não Encontrada")</f>
        <v>Não Encontrada</v>
      </c>
      <c r="W114" s="185"/>
    </row>
    <row r="115" ht="14.25" customHeight="1">
      <c r="A115" s="178"/>
      <c r="B115" s="12">
        <v>1797855.0</v>
      </c>
      <c r="C115" s="13">
        <v>45976.54988425926</v>
      </c>
      <c r="D115" s="179" t="s">
        <v>152</v>
      </c>
      <c r="E115" s="180" t="s">
        <v>416</v>
      </c>
      <c r="F115" s="181"/>
      <c r="G115" s="179" t="s">
        <v>6702</v>
      </c>
      <c r="H115" s="190"/>
      <c r="I115" s="190"/>
      <c r="J115" s="187"/>
      <c r="K115" s="187"/>
      <c r="L115" s="270" t="str">
        <f>IFERROR(__xludf.DUMMYFUNCTION("IF(
  AND(D115=""Saída"", J115=""Sangria""),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74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85">
        <f>IFERROR(__xludf.DUMMYFUNCTION("ifna(VALUE(REGEXEXTRACT(E115,""[0-9.]+[,]+[0-9]+"")))"),100.0)</f>
        <v>100</v>
      </c>
      <c r="O115" s="301">
        <f>IFERROR(__xludf.DUMMYFUNCTION("""COMPUTED_VALUE"""),1770075.0)</f>
        <v>1770075</v>
      </c>
      <c r="P115" s="302">
        <f>IFERROR(__xludf.DUMMYFUNCTION("""COMPUTED_VALUE"""),45961.96034722222)</f>
        <v>45961.96035</v>
      </c>
      <c r="Q115" s="301" t="str">
        <f>IFERROR(__xludf.DUMMYFUNCTION("""COMPUTED_VALUE"""),"Saída")</f>
        <v>Saída</v>
      </c>
      <c r="R115" s="303" t="str">
        <f>IFERROR(__xludf.DUMMYFUNCTION("""COMPUTED_VALUE"""),"R$ 536,07")</f>
        <v>R$ 536,07</v>
      </c>
      <c r="S115" s="301" t="str">
        <f>IFERROR(__xludf.DUMMYFUNCTION("""COMPUTED_VALUE"""),"MATERIAIS DE LIMPEZA")</f>
        <v>MATERIAIS DE LIMPEZA</v>
      </c>
      <c r="V115" s="304" t="str">
        <f>IFERROR(__xludf.DUMMYFUNCTION("""COMPUTED_VALUE"""),"Não Encontrada")</f>
        <v>Não Encontrada</v>
      </c>
      <c r="W115" s="185"/>
    </row>
    <row r="116" ht="14.25" customHeight="1">
      <c r="A116" s="178"/>
      <c r="B116" s="12">
        <v>1798626.0</v>
      </c>
      <c r="C116" s="13">
        <v>45976.74681712963</v>
      </c>
      <c r="D116" s="179" t="s">
        <v>81</v>
      </c>
      <c r="E116" s="180" t="s">
        <v>6703</v>
      </c>
      <c r="F116" s="181"/>
      <c r="G116" s="179" t="s">
        <v>6704</v>
      </c>
      <c r="H116" s="190"/>
      <c r="I116" s="190"/>
      <c r="J116" s="187" t="s">
        <v>2438</v>
      </c>
      <c r="K116" s="187"/>
      <c r="L116" s="270" t="str">
        <f>IFERROR(__xludf.DUMMYFUNCTION("IF(
  AND(D116=""Saída"", J116=""Sangria""),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2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IFERROR(__xludf.DUMMYFUNCTION("ifna(VALUE(REGEXEXTRACT(E116,""[0-9.]+[,]+[0-9]+"")))"),106.43)</f>
        <v>106.43</v>
      </c>
      <c r="O116" s="305">
        <f>IFERROR(__xludf.DUMMYFUNCTION("""COMPUTED_VALUE"""),1770076.0)</f>
        <v>1770076</v>
      </c>
      <c r="P116" s="306">
        <f>IFERROR(__xludf.DUMMYFUNCTION("""COMPUTED_VALUE"""),45961.960486111115)</f>
        <v>45961.96049</v>
      </c>
      <c r="Q116" s="305" t="str">
        <f>IFERROR(__xludf.DUMMYFUNCTION("""COMPUTED_VALUE"""),"Saída")</f>
        <v>Saída</v>
      </c>
      <c r="R116" s="307" t="str">
        <f>IFERROR(__xludf.DUMMYFUNCTION("""COMPUTED_VALUE"""),"R$ 329,90")</f>
        <v>R$ 329,90</v>
      </c>
      <c r="S116" s="305" t="str">
        <f>IFERROR(__xludf.DUMMYFUNCTION("""COMPUTED_VALUE"""),"MATERIAIS DE LIMPEZA")</f>
        <v>MATERIAIS DE LIMPEZA</v>
      </c>
      <c r="V116" s="308" t="str">
        <f>IFERROR(__xludf.DUMMYFUNCTION("""COMPUTED_VALUE"""),"Não Encontrada")</f>
        <v>Não Encontrada</v>
      </c>
      <c r="W116" s="185"/>
    </row>
    <row r="117" ht="14.25" customHeight="1">
      <c r="A117" s="178"/>
      <c r="B117" s="12">
        <v>1799837.0</v>
      </c>
      <c r="C117" s="13">
        <v>45976.94431712963</v>
      </c>
      <c r="D117" s="179" t="s">
        <v>81</v>
      </c>
      <c r="E117" s="180" t="s">
        <v>6705</v>
      </c>
      <c r="F117" s="181"/>
      <c r="G117" s="179" t="s">
        <v>5810</v>
      </c>
      <c r="H117" s="190"/>
      <c r="I117" s="190"/>
      <c r="J117" s="187" t="s">
        <v>2019</v>
      </c>
      <c r="K117" s="187" t="s">
        <v>2117</v>
      </c>
      <c r="L117" s="270" t="str">
        <f>IFERROR(__xludf.DUMMYFUNCTION("IF(
  AND(D117=""Saída"", J117=""Sangria""),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74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85">
        <f>IFERROR(__xludf.DUMMYFUNCTION("ifna(VALUE(REGEXEXTRACT(E117,""[0-9.]+[,]+[0-9]+"")))"),10.44)</f>
        <v>10.44</v>
      </c>
      <c r="O117" s="301">
        <f>IFERROR(__xludf.DUMMYFUNCTION("""COMPUTED_VALUE"""),1770099.0)</f>
        <v>1770099</v>
      </c>
      <c r="P117" s="302">
        <f>IFERROR(__xludf.DUMMYFUNCTION("""COMPUTED_VALUE"""),45961.96570601852)</f>
        <v>45961.96571</v>
      </c>
      <c r="Q117" s="301" t="str">
        <f>IFERROR(__xludf.DUMMYFUNCTION("""COMPUTED_VALUE"""),"Saída")</f>
        <v>Saída</v>
      </c>
      <c r="R117" s="303" t="str">
        <f>IFERROR(__xludf.DUMMYFUNCTION("""COMPUTED_VALUE"""),"R$ 134,99")</f>
        <v>R$ 134,99</v>
      </c>
      <c r="S117" s="301" t="str">
        <f>IFERROR(__xludf.DUMMYFUNCTION("""COMPUTED_VALUE"""),"FRUTAS E CAFE FUNCIONARIOS")</f>
        <v>FRUTAS E CAFE FUNCIONARIOS</v>
      </c>
      <c r="V117" s="304" t="str">
        <f>IFERROR(__xludf.DUMMYFUNCTION("""COMPUTED_VALUE"""),"Não Encontrada")</f>
        <v>Não Encontrada</v>
      </c>
      <c r="W117" s="185"/>
    </row>
    <row r="118" ht="14.25" customHeight="1">
      <c r="A118" s="178"/>
      <c r="B118" s="12">
        <v>1800122.0</v>
      </c>
      <c r="C118" s="13">
        <v>45976.98166666667</v>
      </c>
      <c r="D118" s="179" t="s">
        <v>81</v>
      </c>
      <c r="E118" s="180" t="s">
        <v>988</v>
      </c>
      <c r="F118" s="181"/>
      <c r="G118" s="179" t="s">
        <v>3587</v>
      </c>
      <c r="H118" s="190"/>
      <c r="I118" s="190"/>
      <c r="J118" s="187" t="s">
        <v>2735</v>
      </c>
      <c r="K118" s="187" t="s">
        <v>2018</v>
      </c>
      <c r="L118" s="270" t="str">
        <f>IFERROR(__xludf.DUMMYFUNCTION("IF(
  AND(D118=""Saída"", J118=""Sangria""),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"),"Confirmada")</f>
        <v>Confirmada</v>
      </c>
      <c r="M118" s="272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IFERROR(__xludf.DUMMYFUNCTION("ifna(VALUE(REGEXEXTRACT(E118,""[0-9.]+[,]+[0-9]+"")))"),1200.0)</f>
        <v>1200</v>
      </c>
      <c r="O118" s="305">
        <f>IFERROR(__xludf.DUMMYFUNCTION("""COMPUTED_VALUE"""),1771094.0)</f>
        <v>1771094</v>
      </c>
      <c r="P118" s="306">
        <f>IFERROR(__xludf.DUMMYFUNCTION("""COMPUTED_VALUE"""),45962.750497685185)</f>
        <v>45962.7505</v>
      </c>
      <c r="Q118" s="305" t="str">
        <f>IFERROR(__xludf.DUMMYFUNCTION("""COMPUTED_VALUE"""),"Saída")</f>
        <v>Saída</v>
      </c>
      <c r="R118" s="307" t="str">
        <f>IFERROR(__xludf.DUMMYFUNCTION("""COMPUTED_VALUE"""),"R$ 161,76")</f>
        <v>R$ 161,76</v>
      </c>
      <c r="S118" s="305" t="str">
        <f>IFERROR(__xludf.DUMMYFUNCTION("""COMPUTED_VALUE"""),"BEBIDAS")</f>
        <v>BEBIDAS</v>
      </c>
      <c r="V118" s="308" t="str">
        <f>IFERROR(__xludf.DUMMYFUNCTION("""COMPUTED_VALUE"""),"Não Encontrada")</f>
        <v>Não Encontrada</v>
      </c>
      <c r="W118" s="185"/>
    </row>
    <row r="119" ht="14.25" customHeight="1">
      <c r="A119" s="178"/>
      <c r="B119" s="12">
        <v>1800125.0</v>
      </c>
      <c r="C119" s="13">
        <v>45976.98196759259</v>
      </c>
      <c r="D119" s="179" t="s">
        <v>81</v>
      </c>
      <c r="E119" s="180" t="s">
        <v>6706</v>
      </c>
      <c r="F119" s="181"/>
      <c r="G119" s="179" t="s">
        <v>3587</v>
      </c>
      <c r="H119" s="190"/>
      <c r="I119" s="190"/>
      <c r="J119" s="187" t="s">
        <v>2735</v>
      </c>
      <c r="K119" s="187" t="s">
        <v>2018</v>
      </c>
      <c r="L119" s="270" t="str">
        <f>IFERROR(__xludf.DUMMYFUNCTION("IF(
  AND(D119=""Saída"", J119=""Sangria""),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"),"Confirmada")</f>
        <v>Confirmada</v>
      </c>
      <c r="M119" s="274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IFERROR(__xludf.DUMMYFUNCTION("ifna(VALUE(REGEXEXTRACT(E119,""[0-9.]+[,]+[0-9]+"")))"),2610.0)</f>
        <v>2610</v>
      </c>
      <c r="O119" s="301">
        <f>IFERROR(__xludf.DUMMYFUNCTION("""COMPUTED_VALUE"""),1777578.0)</f>
        <v>1777578</v>
      </c>
      <c r="P119" s="302">
        <f>IFERROR(__xludf.DUMMYFUNCTION("""COMPUTED_VALUE"""),45965.75940972222)</f>
        <v>45965.75941</v>
      </c>
      <c r="Q119" s="301" t="str">
        <f>IFERROR(__xludf.DUMMYFUNCTION("""COMPUTED_VALUE"""),"Saída")</f>
        <v>Saída</v>
      </c>
      <c r="R119" s="303" t="str">
        <f>IFERROR(__xludf.DUMMYFUNCTION("""COMPUTED_VALUE"""),"R$ 133,14")</f>
        <v>R$ 133,14</v>
      </c>
      <c r="S119" s="301" t="str">
        <f>IFERROR(__xludf.DUMMYFUNCTION("""COMPUTED_VALUE"""),"frutas")</f>
        <v>frutas</v>
      </c>
      <c r="V119" s="304" t="str">
        <f>IFERROR(__xludf.DUMMYFUNCTION("""COMPUTED_VALUE"""),"Não Encontrada")</f>
        <v>Não Encontrada</v>
      </c>
      <c r="W119" s="185"/>
    </row>
    <row r="120" ht="14.25" customHeight="1">
      <c r="A120" s="178"/>
      <c r="B120" s="12">
        <v>1801144.0</v>
      </c>
      <c r="C120" s="13">
        <v>45977.75939814815</v>
      </c>
      <c r="D120" s="179" t="s">
        <v>81</v>
      </c>
      <c r="E120" s="180" t="s">
        <v>2949</v>
      </c>
      <c r="F120" s="181"/>
      <c r="G120" s="179" t="s">
        <v>506</v>
      </c>
      <c r="H120" s="190"/>
      <c r="I120" s="190"/>
      <c r="J120" s="187" t="s">
        <v>1782</v>
      </c>
      <c r="K120" s="187"/>
      <c r="L120" s="270" t="str">
        <f>IFERROR(__xludf.DUMMYFUNCTION("IF(
  AND(D120=""Saída"", J120=""Sangria""),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2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IFERROR(__xludf.DUMMYFUNCTION("ifna(VALUE(REGEXEXTRACT(E120,""[0-9.]+[,]+[0-9]+"")))"),121.0)</f>
        <v>121</v>
      </c>
      <c r="O120" s="305">
        <f>IFERROR(__xludf.DUMMYFUNCTION("""COMPUTED_VALUE"""),1779744.0)</f>
        <v>1779744</v>
      </c>
      <c r="P120" s="306">
        <f>IFERROR(__xludf.DUMMYFUNCTION("""COMPUTED_VALUE"""),45966.874247685184)</f>
        <v>45966.87425</v>
      </c>
      <c r="Q120" s="305" t="str">
        <f>IFERROR(__xludf.DUMMYFUNCTION("""COMPUTED_VALUE"""),"Saída")</f>
        <v>Saída</v>
      </c>
      <c r="R120" s="307" t="str">
        <f>IFERROR(__xludf.DUMMYFUNCTION("""COMPUTED_VALUE"""),"R$ 5,41")</f>
        <v>R$ 5,41</v>
      </c>
      <c r="S120" s="305" t="str">
        <f>IFERROR(__xludf.DUMMYFUNCTION("""COMPUTED_VALUE"""),"CAFE FUNCIONARIOS")</f>
        <v>CAFE FUNCIONARIOS</v>
      </c>
      <c r="V120" s="308" t="str">
        <f>IFERROR(__xludf.DUMMYFUNCTION("""COMPUTED_VALUE"""),"Não Encontrada")</f>
        <v>Não Encontrada</v>
      </c>
      <c r="W120" s="185"/>
    </row>
    <row r="121" ht="14.25" customHeight="1">
      <c r="A121" s="178"/>
      <c r="B121" s="12">
        <v>1801449.0</v>
      </c>
      <c r="C121" s="13">
        <v>45977.81135416667</v>
      </c>
      <c r="D121" s="179" t="s">
        <v>81</v>
      </c>
      <c r="E121" s="180" t="s">
        <v>6707</v>
      </c>
      <c r="F121" s="181"/>
      <c r="G121" s="179" t="s">
        <v>6708</v>
      </c>
      <c r="H121" s="190"/>
      <c r="I121" s="190"/>
      <c r="J121" s="187" t="s">
        <v>1782</v>
      </c>
      <c r="K121" s="187"/>
      <c r="L121" s="270" t="str">
        <f>IFERROR(__xludf.DUMMYFUNCTION("IF(
  AND(D121=""Saída"", J121=""Sangria""),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74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85">
        <f>IFERROR(__xludf.DUMMYFUNCTION("ifna(VALUE(REGEXEXTRACT(E121,""[0-9.]+[,]+[0-9]+"")))"),592.0)</f>
        <v>592</v>
      </c>
      <c r="O121" s="301">
        <f>IFERROR(__xludf.DUMMYFUNCTION("""COMPUTED_VALUE"""),1779755.0)</f>
        <v>1779755</v>
      </c>
      <c r="P121" s="302">
        <f>IFERROR(__xludf.DUMMYFUNCTION("""COMPUTED_VALUE"""),45966.87645833333)</f>
        <v>45966.87646</v>
      </c>
      <c r="Q121" s="301" t="str">
        <f>IFERROR(__xludf.DUMMYFUNCTION("""COMPUTED_VALUE"""),"Saída")</f>
        <v>Saída</v>
      </c>
      <c r="R121" s="303" t="str">
        <f>IFERROR(__xludf.DUMMYFUNCTION("""COMPUTED_VALUE"""),"R$ 33,46")</f>
        <v>R$ 33,46</v>
      </c>
      <c r="S121" s="301" t="str">
        <f>IFERROR(__xludf.DUMMYFUNCTION("""COMPUTED_VALUE"""),"MATERIAL ESCRITORIO E LUZ NATAL")</f>
        <v>MATERIAL ESCRITORIO E LUZ NATAL</v>
      </c>
      <c r="V121" s="304" t="str">
        <f>IFERROR(__xludf.DUMMYFUNCTION("""COMPUTED_VALUE"""),"Não Encontrada")</f>
        <v>Não Encontrada</v>
      </c>
      <c r="W121" s="185"/>
    </row>
    <row r="122" ht="14.25" customHeight="1">
      <c r="A122" s="178"/>
      <c r="B122" s="12">
        <v>1801502.0</v>
      </c>
      <c r="C122" s="13">
        <v>45977.824594907404</v>
      </c>
      <c r="D122" s="179" t="s">
        <v>81</v>
      </c>
      <c r="E122" s="180" t="s">
        <v>1263</v>
      </c>
      <c r="F122" s="181"/>
      <c r="G122" s="179" t="s">
        <v>6709</v>
      </c>
      <c r="H122" s="190"/>
      <c r="I122" s="190"/>
      <c r="J122" s="187" t="s">
        <v>1782</v>
      </c>
      <c r="K122" s="187"/>
      <c r="L122" s="270" t="str">
        <f>IFERROR(__xludf.DUMMYFUNCTION("IF(
  AND(D122=""Saída"", J122=""Sangria""),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2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>
        <f>IFERROR(__xludf.DUMMYFUNCTION("ifna(VALUE(REGEXEXTRACT(E122,""[0-9.]+[,]+[0-9]+"")))"),70.0)</f>
        <v>70</v>
      </c>
      <c r="O122" s="305">
        <f>IFERROR(__xludf.DUMMYFUNCTION("""COMPUTED_VALUE"""),1781850.0)</f>
        <v>1781850</v>
      </c>
      <c r="P122" s="306">
        <f>IFERROR(__xludf.DUMMYFUNCTION("""COMPUTED_VALUE"""),45967.930393518516)</f>
        <v>45967.93039</v>
      </c>
      <c r="Q122" s="305" t="str">
        <f>IFERROR(__xludf.DUMMYFUNCTION("""COMPUTED_VALUE"""),"Saída")</f>
        <v>Saída</v>
      </c>
      <c r="R122" s="307" t="str">
        <f>IFERROR(__xludf.DUMMYFUNCTION("""COMPUTED_VALUE"""),"R$ 10,99")</f>
        <v>R$ 10,99</v>
      </c>
      <c r="S122" s="305" t="str">
        <f>IFERROR(__xludf.DUMMYFUNCTION("""COMPUTED_VALUE"""),"CAFE FUNCIONARIOS")</f>
        <v>CAFE FUNCIONARIOS</v>
      </c>
      <c r="V122" s="308" t="str">
        <f>IFERROR(__xludf.DUMMYFUNCTION("""COMPUTED_VALUE"""),"Não Encontrada")</f>
        <v>Não Encontrada</v>
      </c>
      <c r="W122" s="185"/>
    </row>
    <row r="123" ht="14.25" customHeight="1">
      <c r="A123" s="178"/>
      <c r="B123" s="12">
        <v>1801666.0</v>
      </c>
      <c r="C123" s="13">
        <v>45977.85291666666</v>
      </c>
      <c r="D123" s="179" t="s">
        <v>81</v>
      </c>
      <c r="E123" s="180" t="s">
        <v>6710</v>
      </c>
      <c r="F123" s="188"/>
      <c r="G123" s="179" t="s">
        <v>6711</v>
      </c>
      <c r="H123" s="190"/>
      <c r="I123" s="190"/>
      <c r="J123" s="187" t="s">
        <v>1782</v>
      </c>
      <c r="K123" s="187"/>
      <c r="L123" s="270" t="str">
        <f>IFERROR(__xludf.DUMMYFUNCTION("IF(
  AND(D123=""Saída"", J123=""Sangria""),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74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>
        <f>IFERROR(__xludf.DUMMYFUNCTION("ifna(VALUE(REGEXEXTRACT(E123,""[0-9.]+[,]+[0-9]+"")))"),433.0)</f>
        <v>433</v>
      </c>
      <c r="O123" s="301">
        <f>IFERROR(__xludf.DUMMYFUNCTION("""COMPUTED_VALUE"""),1782944.0)</f>
        <v>1782944</v>
      </c>
      <c r="P123" s="302">
        <f>IFERROR(__xludf.DUMMYFUNCTION("""COMPUTED_VALUE"""),45968.75269675926)</f>
        <v>45968.7527</v>
      </c>
      <c r="Q123" s="301" t="str">
        <f>IFERROR(__xludf.DUMMYFUNCTION("""COMPUTED_VALUE"""),"Saída")</f>
        <v>Saída</v>
      </c>
      <c r="R123" s="303" t="str">
        <f>IFERROR(__xludf.DUMMYFUNCTION("""COMPUTED_VALUE"""),"R$ 100,00")</f>
        <v>R$ 100,00</v>
      </c>
      <c r="S123" s="301" t="str">
        <f>IFERROR(__xludf.DUMMYFUNCTION("""COMPUTED_VALUE"""),"TOCA FECHADURA DE 2 PORTAS COM PROBLEMA")</f>
        <v>TOCA FECHADURA DE 2 PORTAS COM PROBLEMA</v>
      </c>
      <c r="V123" s="304" t="str">
        <f>IFERROR(__xludf.DUMMYFUNCTION("""COMPUTED_VALUE"""),"Não Encontrada")</f>
        <v>Não Encontrada</v>
      </c>
      <c r="W123" s="185"/>
    </row>
    <row r="124" ht="14.25" customHeight="1">
      <c r="A124" s="178"/>
      <c r="B124" s="12">
        <v>1802390.0</v>
      </c>
      <c r="C124" s="13">
        <v>45977.93215277778</v>
      </c>
      <c r="D124" s="179" t="s">
        <v>81</v>
      </c>
      <c r="E124" s="180" t="s">
        <v>200</v>
      </c>
      <c r="F124" s="188"/>
      <c r="G124" s="179" t="s">
        <v>381</v>
      </c>
      <c r="H124" s="190"/>
      <c r="I124" s="190"/>
      <c r="J124" s="187" t="s">
        <v>2735</v>
      </c>
      <c r="K124" s="187" t="s">
        <v>6576</v>
      </c>
      <c r="L124" s="270" t="str">
        <f>IFERROR(__xludf.DUMMYFUNCTION("IF(
  AND(D124=""Saída"", J124=""Sangria""),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"),"Confirmada")</f>
        <v>Confirmada</v>
      </c>
      <c r="M124" s="272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>
        <f>IFERROR(__xludf.DUMMYFUNCTION("ifna(VALUE(REGEXEXTRACT(E124,""[0-9.]+[,]+[0-9]+"")))"),300.0)</f>
        <v>300</v>
      </c>
      <c r="O124" s="305">
        <f>IFERROR(__xludf.DUMMYFUNCTION("""COMPUTED_VALUE"""),1783017.0)</f>
        <v>1783017</v>
      </c>
      <c r="P124" s="306">
        <f>IFERROR(__xludf.DUMMYFUNCTION("""COMPUTED_VALUE"""),45968.77641203704)</f>
        <v>45968.77641</v>
      </c>
      <c r="Q124" s="305" t="str">
        <f>IFERROR(__xludf.DUMMYFUNCTION("""COMPUTED_VALUE"""),"Saída")</f>
        <v>Saída</v>
      </c>
      <c r="R124" s="307" t="str">
        <f>IFERROR(__xludf.DUMMYFUNCTION("""COMPUTED_VALUE"""),"R$ 425,50")</f>
        <v>R$ 425,50</v>
      </c>
      <c r="S124" s="305" t="str">
        <f>IFERROR(__xludf.DUMMYFUNCTION("""COMPUTED_VALUE"""),"FRUTAS E CAFE FUNCIONARIOS")</f>
        <v>FRUTAS E CAFE FUNCIONARIOS</v>
      </c>
      <c r="V124" s="308" t="str">
        <f>IFERROR(__xludf.DUMMYFUNCTION("""COMPUTED_VALUE"""),"Não Encontrada")</f>
        <v>Não Encontrada</v>
      </c>
      <c r="W124" s="185"/>
    </row>
    <row r="125" ht="14.25" customHeight="1">
      <c r="A125" s="178"/>
      <c r="B125" s="12">
        <v>1804299.0</v>
      </c>
      <c r="C125" s="13">
        <v>45978.92855324074</v>
      </c>
      <c r="D125" s="179" t="s">
        <v>81</v>
      </c>
      <c r="E125" s="180" t="s">
        <v>6712</v>
      </c>
      <c r="F125" s="181"/>
      <c r="G125" s="179" t="s">
        <v>193</v>
      </c>
      <c r="H125" s="190"/>
      <c r="I125" s="190"/>
      <c r="J125" s="187" t="s">
        <v>3151</v>
      </c>
      <c r="K125" s="187"/>
      <c r="L125" s="270" t="str">
        <f>IFERROR(__xludf.DUMMYFUNCTION("IF(
  AND(D125=""Saída"", J125=""Sangria""),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74" t="str">
        <f>IFERROR(__xludf.DUMMYFUNCTION("IF(J125=""Compra de Mercadorias"",
   IF(
      COUNTIF(ARRAYFORMULA(TRIM(CLEAN(TO_TEXT(Notas!BS:BS)))), TRIM(CLEAN(TO_TEXT(B125)))) &gt; 0,
      ""Encontrada"",
      ""Não Encontrada""
   ),
"""")"),"Não Encontrada")</f>
        <v>Não Encontrada</v>
      </c>
      <c r="N125" s="185">
        <f>IFERROR(__xludf.DUMMYFUNCTION("ifna(VALUE(REGEXEXTRACT(E125,""[0-9.]+[,]+[0-9]+"")))"),15.4)</f>
        <v>15.4</v>
      </c>
      <c r="O125" s="301">
        <f>IFERROR(__xludf.DUMMYFUNCTION("""COMPUTED_VALUE"""),1783024.0)</f>
        <v>1783024</v>
      </c>
      <c r="P125" s="302">
        <f>IFERROR(__xludf.DUMMYFUNCTION("""COMPUTED_VALUE"""),45968.779085648144)</f>
        <v>45968.77909</v>
      </c>
      <c r="Q125" s="301" t="str">
        <f>IFERROR(__xludf.DUMMYFUNCTION("""COMPUTED_VALUE"""),"Saída")</f>
        <v>Saída</v>
      </c>
      <c r="R125" s="303" t="str">
        <f>IFERROR(__xludf.DUMMYFUNCTION("""COMPUTED_VALUE"""),"R$ 145,50")</f>
        <v>R$ 145,50</v>
      </c>
      <c r="S125" s="301" t="str">
        <f>IFERROR(__xludf.DUMMYFUNCTION("""COMPUTED_VALUE"""),"FRUTAS")</f>
        <v>FRUTAS</v>
      </c>
      <c r="V125" s="304" t="str">
        <f>IFERROR(__xludf.DUMMYFUNCTION("""COMPUTED_VALUE"""),"Não Encontrada")</f>
        <v>Não Encontrada</v>
      </c>
      <c r="W125" s="185"/>
    </row>
    <row r="126" ht="14.25" customHeight="1">
      <c r="A126" s="178"/>
      <c r="B126" s="12">
        <v>1804316.0</v>
      </c>
      <c r="C126" s="13">
        <v>45978.932905092595</v>
      </c>
      <c r="D126" s="179" t="s">
        <v>81</v>
      </c>
      <c r="E126" s="180" t="s">
        <v>457</v>
      </c>
      <c r="F126" s="188"/>
      <c r="G126" s="179" t="s">
        <v>6680</v>
      </c>
      <c r="H126" s="190"/>
      <c r="I126" s="190"/>
      <c r="J126" s="187" t="s">
        <v>2436</v>
      </c>
      <c r="K126" s="187"/>
      <c r="L126" s="270" t="str">
        <f>IFERROR(__xludf.DUMMYFUNCTION("IF(
  AND(D126=""Saída"", J126=""Sangria""),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2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IFERROR(__xludf.DUMMYFUNCTION("ifna(VALUE(REGEXEXTRACT(E126,""[0-9.]+[,]+[0-9]+"")))"),200.0)</f>
        <v>200</v>
      </c>
      <c r="O126" s="305">
        <f>IFERROR(__xludf.DUMMYFUNCTION("""COMPUTED_VALUE"""),1790465.0)</f>
        <v>1790465</v>
      </c>
      <c r="P126" s="306">
        <f>IFERROR(__xludf.DUMMYFUNCTION("""COMPUTED_VALUE"""),45971.94018518519)</f>
        <v>45971.94019</v>
      </c>
      <c r="Q126" s="305" t="str">
        <f>IFERROR(__xludf.DUMMYFUNCTION("""COMPUTED_VALUE"""),"Saída")</f>
        <v>Saída</v>
      </c>
      <c r="R126" s="307" t="str">
        <f>IFERROR(__xludf.DUMMYFUNCTION("""COMPUTED_VALUE"""),"R$ 22,00")</f>
        <v>R$ 22,00</v>
      </c>
      <c r="S126" s="305" t="str">
        <f>IFERROR(__xludf.DUMMYFUNCTION("""COMPUTED_VALUE"""),"prendedor de roupas")</f>
        <v>prendedor de roupas</v>
      </c>
      <c r="V126" s="308" t="str">
        <f>IFERROR(__xludf.DUMMYFUNCTION("""COMPUTED_VALUE"""),"Não Encontrada")</f>
        <v>Não Encontrada</v>
      </c>
      <c r="W126" s="185"/>
    </row>
    <row r="127" ht="14.25" customHeight="1">
      <c r="A127" s="178"/>
      <c r="B127" s="12">
        <v>1806046.0</v>
      </c>
      <c r="C127" s="13">
        <v>45980.50983796296</v>
      </c>
      <c r="D127" s="179" t="s">
        <v>81</v>
      </c>
      <c r="E127" s="180" t="s">
        <v>6713</v>
      </c>
      <c r="F127" s="181"/>
      <c r="G127" s="179" t="s">
        <v>6714</v>
      </c>
      <c r="H127" s="190"/>
      <c r="I127" s="190"/>
      <c r="J127" s="187" t="s">
        <v>3151</v>
      </c>
      <c r="K127" s="187"/>
      <c r="L127" s="270" t="str">
        <f>IFERROR(__xludf.DUMMYFUNCTION("IF(
  AND(D127=""Saída"", J127=""Sangria""),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74" t="str">
        <f>IFERROR(__xludf.DUMMYFUNCTION("IF(J127=""Compra de Mercadorias"",
   IF(
      COUNTIF(ARRAYFORMULA(TRIM(CLEAN(TO_TEXT(Notas!BS:BS)))), TRIM(CLEAN(TO_TEXT(B127)))) &gt; 0,
      ""Encontrada"",
      ""Não Encontrada""
   ),
"""")"),"Não Encontrada")</f>
        <v>Não Encontrada</v>
      </c>
      <c r="N127" s="185">
        <f>IFERROR(__xludf.DUMMYFUNCTION("ifna(VALUE(REGEXEXTRACT(E127,""[0-9.]+[,]+[0-9]+"")))"),25.9)</f>
        <v>25.9</v>
      </c>
      <c r="O127" s="301">
        <f>IFERROR(__xludf.DUMMYFUNCTION("""COMPUTED_VALUE"""),1794124.0)</f>
        <v>1794124</v>
      </c>
      <c r="P127" s="302">
        <f>IFERROR(__xludf.DUMMYFUNCTION("""COMPUTED_VALUE"""),45973.98354166667)</f>
        <v>45973.98354</v>
      </c>
      <c r="Q127" s="301" t="str">
        <f>IFERROR(__xludf.DUMMYFUNCTION("""COMPUTED_VALUE"""),"Saída")</f>
        <v>Saída</v>
      </c>
      <c r="R127" s="303" t="str">
        <f>IFERROR(__xludf.DUMMYFUNCTION("""COMPUTED_VALUE"""),"R$ 89,90")</f>
        <v>R$ 89,90</v>
      </c>
      <c r="S127" s="301" t="str">
        <f>IFERROR(__xludf.DUMMYFUNCTION("""COMPUTED_VALUE"""),"cafe funcionarios")</f>
        <v>cafe funcionarios</v>
      </c>
      <c r="V127" s="304" t="str">
        <f>IFERROR(__xludf.DUMMYFUNCTION("""COMPUTED_VALUE"""),"Não Encontrada")</f>
        <v>Não Encontrada</v>
      </c>
      <c r="W127" s="185"/>
    </row>
    <row r="128" ht="14.25" customHeight="1">
      <c r="A128" s="178"/>
      <c r="B128" s="12">
        <v>1806048.0</v>
      </c>
      <c r="C128" s="13">
        <v>45980.51013888889</v>
      </c>
      <c r="D128" s="179" t="s">
        <v>81</v>
      </c>
      <c r="E128" s="180" t="s">
        <v>4255</v>
      </c>
      <c r="F128" s="181"/>
      <c r="G128" s="179" t="s">
        <v>6715</v>
      </c>
      <c r="H128" s="190"/>
      <c r="I128" s="190"/>
      <c r="J128" s="187" t="s">
        <v>3151</v>
      </c>
      <c r="K128" s="187"/>
      <c r="L128" s="270" t="str">
        <f>IFERROR(__xludf.DUMMYFUNCTION("IF(
  AND(D128=""Saída"", J128=""Sangria""),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2" t="str">
        <f>IFERROR(__xludf.DUMMYFUNCTION("IF(J128=""Compra de Mercadorias"",
   IF(
      COUNTIF(ARRAYFORMULA(TRIM(CLEAN(TO_TEXT(Notas!BS:BS)))), TRIM(CLEAN(TO_TEXT(B128)))) &gt; 0,
      ""Encontrada"",
      ""Não Encontrada""
   ),
"""")"),"Não Encontrada")</f>
        <v>Não Encontrada</v>
      </c>
      <c r="N128" s="185">
        <f>IFERROR(__xludf.DUMMYFUNCTION("ifna(VALUE(REGEXEXTRACT(E128,""[0-9.]+[,]+[0-9]+"")))"),14.99)</f>
        <v>14.99</v>
      </c>
      <c r="O128" s="308">
        <f>IFERROR(__xludf.DUMMYFUNCTION("""COMPUTED_VALUE"""),1804299.0)</f>
        <v>1804299</v>
      </c>
      <c r="P128" s="306">
        <f>IFERROR(__xludf.DUMMYFUNCTION("""COMPUTED_VALUE"""),45978.92855324074)</f>
        <v>45978.92855</v>
      </c>
      <c r="Q128" s="308" t="str">
        <f>IFERROR(__xludf.DUMMYFUNCTION("""COMPUTED_VALUE"""),"Saída")</f>
        <v>Saída</v>
      </c>
      <c r="R128" s="307" t="str">
        <f>IFERROR(__xludf.DUMMYFUNCTION("""COMPUTED_VALUE"""),"R$ 15,40")</f>
        <v>R$ 15,40</v>
      </c>
      <c r="S128" s="308" t="str">
        <f>IFERROR(__xludf.DUMMYFUNCTION("""COMPUTED_VALUE"""),"cafe funcionarios")</f>
        <v>cafe funcionarios</v>
      </c>
      <c r="V128" s="308" t="str">
        <f>IFERROR(__xludf.DUMMYFUNCTION("""COMPUTED_VALUE"""),"Não Encontrada")</f>
        <v>Não Encontrada</v>
      </c>
      <c r="W128" s="185"/>
    </row>
    <row r="129" ht="14.25" customHeight="1">
      <c r="A129" s="178"/>
      <c r="B129" s="12">
        <v>1806052.0</v>
      </c>
      <c r="C129" s="13">
        <v>45980.5141087963</v>
      </c>
      <c r="D129" s="179" t="s">
        <v>81</v>
      </c>
      <c r="E129" s="180" t="s">
        <v>200</v>
      </c>
      <c r="F129" s="181"/>
      <c r="G129" s="179" t="s">
        <v>381</v>
      </c>
      <c r="H129" s="190"/>
      <c r="I129" s="190"/>
      <c r="J129" s="187" t="s">
        <v>2735</v>
      </c>
      <c r="K129" s="187" t="s">
        <v>6576</v>
      </c>
      <c r="L129" s="270" t="str">
        <f>IFERROR(__xludf.DUMMYFUNCTION("IF(
  AND(D129=""Saída"", J129=""Sangria""),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"),"Confirmada")</f>
        <v>Confirmada</v>
      </c>
      <c r="M129" s="274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>
        <f>IFERROR(__xludf.DUMMYFUNCTION("ifna(VALUE(REGEXEXTRACT(E129,""[0-9.]+[,]+[0-9]+"")))"),300.0)</f>
        <v>300</v>
      </c>
      <c r="O129" s="304">
        <f>IFERROR(__xludf.DUMMYFUNCTION("""COMPUTED_VALUE"""),1806046.0)</f>
        <v>1806046</v>
      </c>
      <c r="P129" s="302">
        <f>IFERROR(__xludf.DUMMYFUNCTION("""COMPUTED_VALUE"""),45980.50983796296)</f>
        <v>45980.50984</v>
      </c>
      <c r="Q129" s="304" t="str">
        <f>IFERROR(__xludf.DUMMYFUNCTION("""COMPUTED_VALUE"""),"Saída")</f>
        <v>Saída</v>
      </c>
      <c r="R129" s="303" t="str">
        <f>IFERROR(__xludf.DUMMYFUNCTION("""COMPUTED_VALUE"""),"R$ 25,90")</f>
        <v>R$ 25,90</v>
      </c>
      <c r="S129" s="304" t="str">
        <f>IFERROR(__xludf.DUMMYFUNCTION("""COMPUTED_VALUE"""),"DECORAÇÃO NATAL")</f>
        <v>DECORAÇÃO NATAL</v>
      </c>
      <c r="V129" s="304" t="str">
        <f>IFERROR(__xludf.DUMMYFUNCTION("""COMPUTED_VALUE"""),"Não Encontrada")</f>
        <v>Não Encontrada</v>
      </c>
      <c r="W129" s="185"/>
    </row>
    <row r="130" ht="14.25" customHeight="1">
      <c r="A130" s="178"/>
      <c r="B130" s="12">
        <v>1807177.0</v>
      </c>
      <c r="C130" s="13">
        <v>45980.84490740741</v>
      </c>
      <c r="D130" s="179" t="s">
        <v>81</v>
      </c>
      <c r="E130" s="180" t="s">
        <v>6716</v>
      </c>
      <c r="F130" s="181"/>
      <c r="G130" s="179" t="s">
        <v>5861</v>
      </c>
      <c r="H130" s="190"/>
      <c r="I130" s="190"/>
      <c r="J130" s="187" t="s">
        <v>2019</v>
      </c>
      <c r="K130" s="187" t="s">
        <v>2117</v>
      </c>
      <c r="L130" s="270" t="str">
        <f>IFERROR(__xludf.DUMMYFUNCTION("IF(
  AND(D130=""Saída"", J130=""Sangria""),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2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>
        <f>IFERROR(__xludf.DUMMYFUNCTION("ifna(VALUE(REGEXEXTRACT(E130,""[0-9.]+[,]+[0-9]+"")))"),33.09)</f>
        <v>33.09</v>
      </c>
      <c r="O130" s="305">
        <f>IFERROR(__xludf.DUMMYFUNCTION("""COMPUTED_VALUE"""),1806048.0)</f>
        <v>1806048</v>
      </c>
      <c r="P130" s="306">
        <f>IFERROR(__xludf.DUMMYFUNCTION("""COMPUTED_VALUE"""),45980.51013888889)</f>
        <v>45980.51014</v>
      </c>
      <c r="Q130" s="305" t="str">
        <f>IFERROR(__xludf.DUMMYFUNCTION("""COMPUTED_VALUE"""),"Saída")</f>
        <v>Saída</v>
      </c>
      <c r="R130" s="307" t="str">
        <f>IFERROR(__xludf.DUMMYFUNCTION("""COMPUTED_VALUE"""),"R$ 14,99")</f>
        <v>R$ 14,99</v>
      </c>
      <c r="S130" s="305" t="str">
        <f>IFERROR(__xludf.DUMMYFUNCTION("""COMPUTED_VALUE"""),"MATERIAL COZINHA")</f>
        <v>MATERIAL COZINHA</v>
      </c>
      <c r="V130" s="305" t="str">
        <f>IFERROR(__xludf.DUMMYFUNCTION("""COMPUTED_VALUE"""),"Não Encontrada")</f>
        <v>Não Encontrada</v>
      </c>
      <c r="W130" s="25"/>
    </row>
    <row r="131" ht="14.25" customHeight="1">
      <c r="A131" s="178"/>
      <c r="B131" s="12">
        <v>1807384.0</v>
      </c>
      <c r="C131" s="13">
        <v>45980.9018287037</v>
      </c>
      <c r="D131" s="179" t="s">
        <v>81</v>
      </c>
      <c r="E131" s="180" t="s">
        <v>6717</v>
      </c>
      <c r="F131" s="181"/>
      <c r="G131" s="179" t="s">
        <v>6718</v>
      </c>
      <c r="H131" s="190"/>
      <c r="I131" s="190"/>
      <c r="J131" s="187"/>
      <c r="K131" s="187"/>
      <c r="L131" s="270" t="str">
        <f>IFERROR(__xludf.DUMMYFUNCTION("IF(
  AND(D131=""Saída"", J131=""Sangria""),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76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>
        <f>IFERROR(__xludf.DUMMYFUNCTION("ifna(VALUE(REGEXEXTRACT(E131,""[0-9.]+[,]+[0-9]+"")))"),34.09)</f>
        <v>34.09</v>
      </c>
      <c r="O131" s="309">
        <f>IFERROR(__xludf.DUMMYFUNCTION("""COMPUTED_VALUE"""),1807428.0)</f>
        <v>1807428</v>
      </c>
      <c r="P131" s="302">
        <f>IFERROR(__xludf.DUMMYFUNCTION("""COMPUTED_VALUE"""),45980.909039351856)</f>
        <v>45980.90904</v>
      </c>
      <c r="Q131" s="301" t="str">
        <f>IFERROR(__xludf.DUMMYFUNCTION("""COMPUTED_VALUE"""),"Saída")</f>
        <v>Saída</v>
      </c>
      <c r="R131" s="303" t="str">
        <f>IFERROR(__xludf.DUMMYFUNCTION("""COMPUTED_VALUE"""),"R$ 10,99")</f>
        <v>R$ 10,99</v>
      </c>
      <c r="S131" s="301" t="str">
        <f>IFERROR(__xludf.DUMMYFUNCTION("""COMPUTED_VALUE"""),"EMBALAGENS")</f>
        <v>EMBALAGENS</v>
      </c>
      <c r="V131" s="301" t="str">
        <f>IFERROR(__xludf.DUMMYFUNCTION("""COMPUTED_VALUE"""),"Não Encontrada")</f>
        <v>Não Encontrada</v>
      </c>
      <c r="W131" s="25"/>
    </row>
    <row r="132" ht="14.25" customHeight="1">
      <c r="A132" s="178"/>
      <c r="B132" s="12">
        <v>1807428.0</v>
      </c>
      <c r="C132" s="13">
        <v>45980.90903935185</v>
      </c>
      <c r="D132" s="179" t="s">
        <v>81</v>
      </c>
      <c r="E132" s="180" t="s">
        <v>6668</v>
      </c>
      <c r="F132" s="181"/>
      <c r="G132" s="179" t="s">
        <v>5054</v>
      </c>
      <c r="H132" s="190"/>
      <c r="I132" s="190"/>
      <c r="J132" s="187" t="s">
        <v>3151</v>
      </c>
      <c r="K132" s="187"/>
      <c r="L132" s="270" t="str">
        <f>IFERROR(__xludf.DUMMYFUNCTION("IF(
  AND(D132=""Saída"", J132=""Sangria""),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2" t="str">
        <f>IFERROR(__xludf.DUMMYFUNCTION("IF(J132=""Compra de Mercadorias"",
   IF(
      COUNTIF(ARRAYFORMULA(TRIM(CLEAN(TO_TEXT(Notas!BS:BS)))), TRIM(CLEAN(TO_TEXT(B132)))) &gt; 0,
      ""Encontrada"",
      ""Não Encontrada""
   ),
"""")"),"Não Encontrada")</f>
        <v>Não Encontrada</v>
      </c>
      <c r="N132" s="185">
        <f>IFERROR(__xludf.DUMMYFUNCTION("ifna(VALUE(REGEXEXTRACT(E132,""[0-9.]+[,]+[0-9]+"")))"),10.99)</f>
        <v>10.99</v>
      </c>
      <c r="O132" s="305">
        <f>IFERROR(__xludf.DUMMYFUNCTION("""COMPUTED_VALUE"""),1807808.0)</f>
        <v>1807808</v>
      </c>
      <c r="P132" s="306">
        <f>IFERROR(__xludf.DUMMYFUNCTION("""COMPUTED_VALUE"""),45980.97277777777)</f>
        <v>45980.97278</v>
      </c>
      <c r="Q132" s="305" t="str">
        <f>IFERROR(__xludf.DUMMYFUNCTION("""COMPUTED_VALUE"""),"Saída")</f>
        <v>Saída</v>
      </c>
      <c r="R132" s="307" t="str">
        <f>IFERROR(__xludf.DUMMYFUNCTION("""COMPUTED_VALUE"""),"R$ 33,30")</f>
        <v>R$ 33,30</v>
      </c>
      <c r="S132" s="305" t="str">
        <f>IFERROR(__xludf.DUMMYFUNCTION("""COMPUTED_VALUE"""),"EMBALAGENS")</f>
        <v>EMBALAGENS</v>
      </c>
      <c r="V132" s="305" t="str">
        <f>IFERROR(__xludf.DUMMYFUNCTION("""COMPUTED_VALUE"""),"Não Encontrada")</f>
        <v>Não Encontrada</v>
      </c>
      <c r="W132" s="25"/>
    </row>
    <row r="133" ht="14.25" customHeight="1">
      <c r="A133" s="178"/>
      <c r="B133" s="12">
        <v>1807448.0</v>
      </c>
      <c r="C133" s="13">
        <v>45980.91358796296</v>
      </c>
      <c r="D133" s="179" t="s">
        <v>81</v>
      </c>
      <c r="E133" s="180" t="s">
        <v>3486</v>
      </c>
      <c r="F133" s="181"/>
      <c r="G133" s="179" t="s">
        <v>381</v>
      </c>
      <c r="H133" s="190"/>
      <c r="I133" s="190"/>
      <c r="J133" s="187" t="s">
        <v>2735</v>
      </c>
      <c r="K133" s="187" t="s">
        <v>6576</v>
      </c>
      <c r="L133" s="270" t="str">
        <f>IFERROR(__xludf.DUMMYFUNCTION("IF(
  AND(D133=""Saída"", J133=""Sangria""),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"),"Confirmada")</f>
        <v>Confirmada</v>
      </c>
      <c r="M133" s="274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>
        <f>IFERROR(__xludf.DUMMYFUNCTION("ifna(VALUE(REGEXEXTRACT(E133,""[0-9.]+[,]+[0-9]+"")))"),500.0)</f>
        <v>500</v>
      </c>
      <c r="O133" s="301">
        <f>IFERROR(__xludf.DUMMYFUNCTION("""COMPUTED_VALUE"""),1807817.0)</f>
        <v>1807817</v>
      </c>
      <c r="P133" s="302">
        <f>IFERROR(__xludf.DUMMYFUNCTION("""COMPUTED_VALUE"""),45980.97443287037)</f>
        <v>45980.97443</v>
      </c>
      <c r="Q133" s="301" t="str">
        <f>IFERROR(__xludf.DUMMYFUNCTION("""COMPUTED_VALUE"""),"Saída")</f>
        <v>Saída</v>
      </c>
      <c r="R133" s="303" t="str">
        <f>IFERROR(__xludf.DUMMYFUNCTION("""COMPUTED_VALUE"""),"R$ 97,93")</f>
        <v>R$ 97,93</v>
      </c>
      <c r="S133" s="301" t="str">
        <f>IFERROR(__xludf.DUMMYFUNCTION("""COMPUTED_VALUE"""),"ENFEITE DE NATAL")</f>
        <v>ENFEITE DE NATAL</v>
      </c>
      <c r="V133" s="301" t="str">
        <f>IFERROR(__xludf.DUMMYFUNCTION("""COMPUTED_VALUE"""),"Não Encontrada")</f>
        <v>Não Encontrada</v>
      </c>
      <c r="W133" s="25"/>
    </row>
    <row r="134" ht="14.25" customHeight="1">
      <c r="A134" s="178"/>
      <c r="B134" s="12">
        <v>1807808.0</v>
      </c>
      <c r="C134" s="13">
        <v>45980.97277777778</v>
      </c>
      <c r="D134" s="179" t="s">
        <v>81</v>
      </c>
      <c r="E134" s="180" t="s">
        <v>6719</v>
      </c>
      <c r="F134" s="181"/>
      <c r="G134" s="179" t="s">
        <v>5054</v>
      </c>
      <c r="H134" s="190"/>
      <c r="I134" s="190"/>
      <c r="J134" s="187" t="s">
        <v>3151</v>
      </c>
      <c r="K134" s="187"/>
      <c r="L134" s="270" t="str">
        <f>IFERROR(__xludf.DUMMYFUNCTION("IF(
  AND(D134=""Saída"", J134=""Sangria""),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2" t="str">
        <f>IFERROR(__xludf.DUMMYFUNCTION("IF(J134=""Compra de Mercadorias"",
   IF(
      COUNTIF(ARRAYFORMULA(TRIM(CLEAN(TO_TEXT(Notas!BS:BS)))), TRIM(CLEAN(TO_TEXT(B134)))) &gt; 0,
      ""Encontrada"",
      ""Não Encontrada""
   ),
"""")"),"Não Encontrada")</f>
        <v>Não Encontrada</v>
      </c>
      <c r="N134" s="185">
        <f>IFERROR(__xludf.DUMMYFUNCTION("ifna(VALUE(REGEXEXTRACT(E134,""[0-9.]+[,]+[0-9]+"")))"),33.3)</f>
        <v>33.3</v>
      </c>
      <c r="O134" s="305">
        <f>IFERROR(__xludf.DUMMYFUNCTION("""COMPUTED_VALUE"""),1809081.0)</f>
        <v>1809081</v>
      </c>
      <c r="P134" s="306">
        <f>IFERROR(__xludf.DUMMYFUNCTION("""COMPUTED_VALUE"""),45981.7928125)</f>
        <v>45981.79281</v>
      </c>
      <c r="Q134" s="305" t="str">
        <f>IFERROR(__xludf.DUMMYFUNCTION("""COMPUTED_VALUE"""),"Saída")</f>
        <v>Saída</v>
      </c>
      <c r="R134" s="307" t="str">
        <f>IFERROR(__xludf.DUMMYFUNCTION("""COMPUTED_VALUE"""),"R$ 36,84")</f>
        <v>R$ 36,84</v>
      </c>
      <c r="S134" s="305" t="str">
        <f>IFERROR(__xludf.DUMMYFUNCTION("""COMPUTED_VALUE"""),"frutas")</f>
        <v>frutas</v>
      </c>
      <c r="V134" s="305" t="str">
        <f>IFERROR(__xludf.DUMMYFUNCTION("""COMPUTED_VALUE"""),"Não Encontrada")</f>
        <v>Não Encontrada</v>
      </c>
      <c r="W134" s="25"/>
    </row>
    <row r="135" ht="14.25" customHeight="1">
      <c r="A135" s="178"/>
      <c r="B135" s="12">
        <v>1807813.0</v>
      </c>
      <c r="C135" s="13">
        <v>45980.97393518518</v>
      </c>
      <c r="D135" s="179" t="s">
        <v>81</v>
      </c>
      <c r="E135" s="180" t="s">
        <v>6720</v>
      </c>
      <c r="F135" s="181"/>
      <c r="G135" s="179" t="s">
        <v>6721</v>
      </c>
      <c r="H135" s="190"/>
      <c r="I135" s="190"/>
      <c r="J135" s="187"/>
      <c r="K135" s="187"/>
      <c r="L135" s="270" t="str">
        <f>IFERROR(__xludf.DUMMYFUNCTION("IF(
  AND(D135=""Saída"", J135=""Sangria""),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74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IFERROR(__xludf.DUMMYFUNCTION("ifna(VALUE(REGEXEXTRACT(E135,""[0-9.]+[,]+[0-9]+"")))"),28.8)</f>
        <v>28.8</v>
      </c>
      <c r="O135" s="301">
        <f>IFERROR(__xludf.DUMMYFUNCTION("""COMPUTED_VALUE"""),1809132.0)</f>
        <v>1809132</v>
      </c>
      <c r="P135" s="302">
        <f>IFERROR(__xludf.DUMMYFUNCTION("""COMPUTED_VALUE"""),45981.80109953704)</f>
        <v>45981.8011</v>
      </c>
      <c r="Q135" s="301" t="str">
        <f>IFERROR(__xludf.DUMMYFUNCTION("""COMPUTED_VALUE"""),"Saída")</f>
        <v>Saída</v>
      </c>
      <c r="R135" s="301" t="str">
        <f>IFERROR(__xludf.DUMMYFUNCTION("""COMPUTED_VALUE"""),"R$ 37,98")</f>
        <v>R$ 37,98</v>
      </c>
      <c r="S135" s="301" t="str">
        <f>IFERROR(__xludf.DUMMYFUNCTION("""COMPUTED_VALUE"""),"enfeites de natal")</f>
        <v>enfeites de natal</v>
      </c>
      <c r="V135" s="301" t="str">
        <f>IFERROR(__xludf.DUMMYFUNCTION("""COMPUTED_VALUE"""),"Não Encontrada")</f>
        <v>Não Encontrada</v>
      </c>
      <c r="W135" s="25"/>
    </row>
    <row r="136" ht="14.25" customHeight="1">
      <c r="A136" s="178"/>
      <c r="B136" s="12">
        <v>1807817.0</v>
      </c>
      <c r="C136" s="13">
        <v>45980.97443287037</v>
      </c>
      <c r="D136" s="179" t="s">
        <v>81</v>
      </c>
      <c r="E136" s="180" t="s">
        <v>6722</v>
      </c>
      <c r="F136" s="188"/>
      <c r="G136" s="179" t="s">
        <v>6612</v>
      </c>
      <c r="H136" s="190"/>
      <c r="I136" s="190"/>
      <c r="J136" s="187" t="s">
        <v>3151</v>
      </c>
      <c r="K136" s="187"/>
      <c r="L136" s="270" t="str">
        <f>IFERROR(__xludf.DUMMYFUNCTION("IF(
  AND(D136=""Saída"", J136=""Sangria""),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6" t="str">
        <f>IFERROR(__xludf.DUMMYFUNCTION("IF(J136=""Compra de Mercadorias"",
   IF(
      COUNTIF(ARRAYFORMULA(TRIM(CLEAN(TO_TEXT(Notas!BS:BS)))), TRIM(CLEAN(TO_TEXT(B136)))) &gt; 0,
      ""Encontrada"",
      ""Não Encontrada""
   ),
"""")"),"Não Encontrada")</f>
        <v>Não Encontrada</v>
      </c>
      <c r="N136" s="185">
        <f>IFERROR(__xludf.DUMMYFUNCTION("ifna(VALUE(REGEXEXTRACT(E136,""[0-9.]+[,]+[0-9]+"")))"),97.93)</f>
        <v>97.93</v>
      </c>
      <c r="O136" s="305">
        <f>IFERROR(__xludf.DUMMYFUNCTION("""COMPUTED_VALUE"""),1817237.0)</f>
        <v>1817237</v>
      </c>
      <c r="P136" s="306">
        <f>IFERROR(__xludf.DUMMYFUNCTION("""COMPUTED_VALUE"""),45984.91123842592)</f>
        <v>45984.91124</v>
      </c>
      <c r="Q136" s="305" t="str">
        <f>IFERROR(__xludf.DUMMYFUNCTION("""COMPUTED_VALUE"""),"Saída")</f>
        <v>Saída</v>
      </c>
      <c r="R136" s="305" t="str">
        <f>IFERROR(__xludf.DUMMYFUNCTION("""COMPUTED_VALUE"""),"R$ 309,10")</f>
        <v>R$ 309,10</v>
      </c>
      <c r="S136" s="305" t="str">
        <f>IFERROR(__xludf.DUMMYFUNCTION("""COMPUTED_VALUE"""),"DECORAÇÃO DE NATAL")</f>
        <v>DECORAÇÃO DE NATAL</v>
      </c>
      <c r="V136" s="305" t="str">
        <f>IFERROR(__xludf.DUMMYFUNCTION("""COMPUTED_VALUE"""),"Não Encontrada")</f>
        <v>Não Encontrada</v>
      </c>
      <c r="W136" s="25"/>
    </row>
    <row r="137" ht="14.25" customHeight="1">
      <c r="A137" s="178"/>
      <c r="B137" s="12">
        <v>1809050.0</v>
      </c>
      <c r="C137" s="13">
        <v>45981.788252314815</v>
      </c>
      <c r="D137" s="179" t="s">
        <v>81</v>
      </c>
      <c r="E137" s="180" t="s">
        <v>6723</v>
      </c>
      <c r="F137" s="181"/>
      <c r="G137" s="179" t="s">
        <v>568</v>
      </c>
      <c r="H137" s="190"/>
      <c r="I137" s="190"/>
      <c r="J137" s="187" t="s">
        <v>2019</v>
      </c>
      <c r="K137" s="187" t="s">
        <v>2078</v>
      </c>
      <c r="L137" s="270" t="str">
        <f>IFERROR(__xludf.DUMMYFUNCTION("IF(
  AND(D137=""Saída"", J137=""Sangria""),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74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IFERROR(__xludf.DUMMYFUNCTION("ifna(VALUE(REGEXEXTRACT(E137,""[0-9.]+[,]+[0-9]+"")))"),43.76)</f>
        <v>43.76</v>
      </c>
      <c r="O137" s="301">
        <f>IFERROR(__xludf.DUMMYFUNCTION("""COMPUTED_VALUE"""),1820398.0)</f>
        <v>1820398</v>
      </c>
      <c r="P137" s="302">
        <f>IFERROR(__xludf.DUMMYFUNCTION("""COMPUTED_VALUE"""),45986.820601851854)</f>
        <v>45986.8206</v>
      </c>
      <c r="Q137" s="301" t="str">
        <f>IFERROR(__xludf.DUMMYFUNCTION("""COMPUTED_VALUE"""),"Saída")</f>
        <v>Saída</v>
      </c>
      <c r="R137" s="301" t="str">
        <f>IFERROR(__xludf.DUMMYFUNCTION("""COMPUTED_VALUE"""),"R$ 9,00")</f>
        <v>R$ 9,00</v>
      </c>
      <c r="S137" s="301" t="str">
        <f>IFERROR(__xludf.DUMMYFUNCTION("""COMPUTED_VALUE"""),"MATERIAIS ESCRITORIO")</f>
        <v>MATERIAIS ESCRITORIO</v>
      </c>
      <c r="V137" s="301" t="str">
        <f>IFERROR(__xludf.DUMMYFUNCTION("""COMPUTED_VALUE"""),"Não Encontrada")</f>
        <v>Não Encontrada</v>
      </c>
      <c r="W137" s="25"/>
    </row>
    <row r="138" ht="14.25" customHeight="1">
      <c r="A138" s="178"/>
      <c r="B138" s="12">
        <v>1809080.0</v>
      </c>
      <c r="C138" s="13">
        <v>45981.79243055556</v>
      </c>
      <c r="D138" s="179" t="s">
        <v>81</v>
      </c>
      <c r="E138" s="180" t="s">
        <v>6724</v>
      </c>
      <c r="F138" s="181"/>
      <c r="G138" s="179" t="s">
        <v>6725</v>
      </c>
      <c r="H138" s="190"/>
      <c r="I138" s="190"/>
      <c r="J138" s="187"/>
      <c r="K138" s="187"/>
      <c r="L138" s="270" t="str">
        <f>IFERROR(__xludf.DUMMYFUNCTION("IF(
  AND(D138=""Saída"", J138=""Sangria""),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2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IFERROR(__xludf.DUMMYFUNCTION("ifna(VALUE(REGEXEXTRACT(E138,""[0-9.]+[,]+[0-9]+"")))"),97.98)</f>
        <v>97.98</v>
      </c>
      <c r="O138" s="305">
        <f>IFERROR(__xludf.DUMMYFUNCTION("""COMPUTED_VALUE"""),1820399.0)</f>
        <v>1820399</v>
      </c>
      <c r="P138" s="306">
        <f>IFERROR(__xludf.DUMMYFUNCTION("""COMPUTED_VALUE"""),45986.82100694445)</f>
        <v>45986.82101</v>
      </c>
      <c r="Q138" s="305" t="str">
        <f>IFERROR(__xludf.DUMMYFUNCTION("""COMPUTED_VALUE"""),"Saída")</f>
        <v>Saída</v>
      </c>
      <c r="R138" s="305" t="str">
        <f>IFERROR(__xludf.DUMMYFUNCTION("""COMPUTED_VALUE"""),"R$ 20,00")</f>
        <v>R$ 20,00</v>
      </c>
      <c r="S138" s="305" t="str">
        <f>IFERROR(__xludf.DUMMYFUNCTION("""COMPUTED_VALUE"""),"MANUTENÇÃO LOJA")</f>
        <v>MANUTENÇÃO LOJA</v>
      </c>
      <c r="V138" s="305" t="str">
        <f>IFERROR(__xludf.DUMMYFUNCTION("""COMPUTED_VALUE"""),"Não Encontrada")</f>
        <v>Não Encontrada</v>
      </c>
      <c r="W138" s="25"/>
    </row>
    <row r="139" ht="14.25" customHeight="1">
      <c r="A139" s="178"/>
      <c r="B139" s="12">
        <v>1809081.0</v>
      </c>
      <c r="C139" s="13">
        <v>45981.7928125</v>
      </c>
      <c r="D139" s="179" t="s">
        <v>81</v>
      </c>
      <c r="E139" s="180" t="s">
        <v>6726</v>
      </c>
      <c r="F139" s="181"/>
      <c r="G139" s="179" t="s">
        <v>114</v>
      </c>
      <c r="H139" s="190"/>
      <c r="I139" s="190"/>
      <c r="J139" s="187" t="s">
        <v>3151</v>
      </c>
      <c r="K139" s="187"/>
      <c r="L139" s="270" t="str">
        <f>IFERROR(__xludf.DUMMYFUNCTION("IF(
  AND(D139=""Saída"", J139=""Sangria""),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74" t="str">
        <f>IFERROR(__xludf.DUMMYFUNCTION("IF(J139=""Compra de Mercadorias"",
   IF(
      COUNTIF(ARRAYFORMULA(TRIM(CLEAN(TO_TEXT(Notas!BS:BS)))), TRIM(CLEAN(TO_TEXT(B139)))) &gt; 0,
      ""Encontrada"",
      ""Não Encontrada""
   ),
"""")"),"Não Encontrada")</f>
        <v>Não Encontrada</v>
      </c>
      <c r="N139" s="185">
        <f>IFERROR(__xludf.DUMMYFUNCTION("ifna(VALUE(REGEXEXTRACT(E139,""[0-9.]+[,]+[0-9]+"")))"),36.84)</f>
        <v>36.84</v>
      </c>
      <c r="O139" s="301">
        <f>IFERROR(__xludf.DUMMYFUNCTION("""COMPUTED_VALUE"""),1820421.0)</f>
        <v>1820421</v>
      </c>
      <c r="P139" s="310">
        <f>IFERROR(__xludf.DUMMYFUNCTION("""COMPUTED_VALUE"""),45986.82895833333)</f>
        <v>45986.82896</v>
      </c>
      <c r="Q139" s="301" t="str">
        <f>IFERROR(__xludf.DUMMYFUNCTION("""COMPUTED_VALUE"""),"Saída")</f>
        <v>Saída</v>
      </c>
      <c r="R139" s="301" t="str">
        <f>IFERROR(__xludf.DUMMYFUNCTION("""COMPUTED_VALUE"""),"R$ 14,95")</f>
        <v>R$ 14,95</v>
      </c>
      <c r="S139" s="301" t="str">
        <f>IFERROR(__xludf.DUMMYFUNCTION("""COMPUTED_VALUE"""),"CAFE FUNCIONARIOS")</f>
        <v>CAFE FUNCIONARIOS</v>
      </c>
      <c r="V139" s="301" t="str">
        <f>IFERROR(__xludf.DUMMYFUNCTION("""COMPUTED_VALUE"""),"Não Encontrada")</f>
        <v>Não Encontrada</v>
      </c>
      <c r="W139" s="25"/>
    </row>
    <row r="140" ht="14.25" customHeight="1">
      <c r="A140" s="178"/>
      <c r="B140" s="12">
        <v>1809130.0</v>
      </c>
      <c r="C140" s="13">
        <v>45981.80086805556</v>
      </c>
      <c r="D140" s="179" t="s">
        <v>152</v>
      </c>
      <c r="E140" s="180" t="s">
        <v>6724</v>
      </c>
      <c r="F140" s="181"/>
      <c r="G140" s="179" t="s">
        <v>6727</v>
      </c>
      <c r="H140" s="190"/>
      <c r="I140" s="190"/>
      <c r="J140" s="187"/>
      <c r="K140" s="187"/>
      <c r="L140" s="270" t="str">
        <f>IFERROR(__xludf.DUMMYFUNCTION("IF(
  AND(D140=""Saída"", J140=""Sangria""),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2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IFERROR(__xludf.DUMMYFUNCTION("ifna(VALUE(REGEXEXTRACT(E140,""[0-9.]+[,]+[0-9]+"")))"),97.98)</f>
        <v>97.98</v>
      </c>
      <c r="O140" s="305"/>
      <c r="P140" s="311"/>
      <c r="Q140" s="305"/>
      <c r="R140" s="305"/>
      <c r="S140" s="305"/>
      <c r="V140" s="305"/>
      <c r="W140" s="25"/>
    </row>
    <row r="141" ht="14.25" customHeight="1">
      <c r="A141" s="178"/>
      <c r="B141" s="12">
        <v>1809132.0</v>
      </c>
      <c r="C141" s="13">
        <v>45981.801099537035</v>
      </c>
      <c r="D141" s="179" t="s">
        <v>81</v>
      </c>
      <c r="E141" s="180" t="s">
        <v>6728</v>
      </c>
      <c r="F141" s="181"/>
      <c r="G141" s="179" t="s">
        <v>2741</v>
      </c>
      <c r="H141" s="190"/>
      <c r="I141" s="190"/>
      <c r="J141" s="187" t="s">
        <v>3151</v>
      </c>
      <c r="K141" s="187"/>
      <c r="L141" s="270" t="str">
        <f>IFERROR(__xludf.DUMMYFUNCTION("IF(
  AND(D141=""Saída"", J141=""Sangria""),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74" t="str">
        <f>IFERROR(__xludf.DUMMYFUNCTION("IF(J141=""Compra de Mercadorias"",
   IF(
      COUNTIF(ARRAYFORMULA(TRIM(CLEAN(TO_TEXT(Notas!BS:BS)))), TRIM(CLEAN(TO_TEXT(B141)))) &gt; 0,
      ""Encontrada"",
      ""Não Encontrada""
   ),
"""")"),"Não Encontrada")</f>
        <v>Não Encontrada</v>
      </c>
      <c r="N141" s="185">
        <f>IFERROR(__xludf.DUMMYFUNCTION("ifna(VALUE(REGEXEXTRACT(E141,""[0-9.]+[,]+[0-9]+"")))"),37.98)</f>
        <v>37.98</v>
      </c>
      <c r="O141" s="304"/>
      <c r="P141" s="312"/>
      <c r="Q141" s="304"/>
      <c r="R141" s="304"/>
      <c r="S141" s="304"/>
      <c r="V141" s="304"/>
      <c r="W141" s="185"/>
    </row>
    <row r="142" ht="14.25" customHeight="1">
      <c r="A142" s="178"/>
      <c r="B142" s="12">
        <v>1810187.0</v>
      </c>
      <c r="C142" s="13">
        <v>45981.945023148146</v>
      </c>
      <c r="D142" s="179" t="s">
        <v>81</v>
      </c>
      <c r="E142" s="180" t="s">
        <v>6666</v>
      </c>
      <c r="F142" s="181"/>
      <c r="G142" s="179" t="s">
        <v>6729</v>
      </c>
      <c r="H142" s="190"/>
      <c r="I142" s="190"/>
      <c r="J142" s="187" t="s">
        <v>1782</v>
      </c>
      <c r="K142" s="187"/>
      <c r="L142" s="270" t="str">
        <f>IFERROR(__xludf.DUMMYFUNCTION("IF(
  AND(D142=""Saída"", J142=""Sangria""),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2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>
        <f>IFERROR(__xludf.DUMMYFUNCTION("ifna(VALUE(REGEXEXTRACT(E142,""[0-9.]+[,]+[0-9]+"")))"),117.0)</f>
        <v>117</v>
      </c>
      <c r="O142" s="308"/>
      <c r="P142" s="313"/>
      <c r="Q142" s="308"/>
      <c r="R142" s="308"/>
      <c r="S142" s="308"/>
      <c r="V142" s="308"/>
      <c r="W142" s="185"/>
    </row>
    <row r="143" ht="14.25" customHeight="1">
      <c r="A143" s="178"/>
      <c r="B143" s="12">
        <v>1810606.0</v>
      </c>
      <c r="C143" s="13">
        <v>45982.519791666666</v>
      </c>
      <c r="D143" s="179" t="s">
        <v>81</v>
      </c>
      <c r="E143" s="180" t="s">
        <v>411</v>
      </c>
      <c r="F143" s="181"/>
      <c r="G143" s="179" t="s">
        <v>381</v>
      </c>
      <c r="H143" s="190"/>
      <c r="I143" s="190"/>
      <c r="J143" s="187" t="s">
        <v>2735</v>
      </c>
      <c r="K143" s="187" t="s">
        <v>6576</v>
      </c>
      <c r="L143" s="270" t="str">
        <f>IFERROR(__xludf.DUMMYFUNCTION("IF(
  AND(D143=""Saída"", J143=""Sangria""),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"),"Confirmada")</f>
        <v>Confirmada</v>
      </c>
      <c r="M143" s="274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>
        <f>IFERROR(__xludf.DUMMYFUNCTION("ifna(VALUE(REGEXEXTRACT(E143,""[0-9.]+[,]+[0-9]+"")))"),1450.0)</f>
        <v>1450</v>
      </c>
      <c r="O143" s="304"/>
      <c r="P143" s="312"/>
      <c r="Q143" s="304"/>
      <c r="R143" s="304"/>
      <c r="S143" s="304"/>
      <c r="V143" s="304"/>
      <c r="W143" s="185"/>
    </row>
    <row r="144" ht="14.25" customHeight="1">
      <c r="A144" s="178"/>
      <c r="B144" s="12">
        <v>1810612.0</v>
      </c>
      <c r="C144" s="13">
        <v>45982.52425925926</v>
      </c>
      <c r="D144" s="179" t="s">
        <v>81</v>
      </c>
      <c r="E144" s="180" t="s">
        <v>6730</v>
      </c>
      <c r="F144" s="181"/>
      <c r="G144" s="179" t="s">
        <v>6731</v>
      </c>
      <c r="H144" s="190"/>
      <c r="I144" s="190"/>
      <c r="J144" s="187" t="s">
        <v>2438</v>
      </c>
      <c r="K144" s="187"/>
      <c r="L144" s="270" t="str">
        <f>IFERROR(__xludf.DUMMYFUNCTION("IF(
  AND(D144=""Saída"", J144=""Sangria""),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2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IFERROR(__xludf.DUMMYFUNCTION("ifna(VALUE(REGEXEXTRACT(E144,""[0-9.]+[,]+[0-9]+"")))"),155.34)</f>
        <v>155.34</v>
      </c>
      <c r="O144" s="308"/>
      <c r="P144" s="313"/>
      <c r="Q144" s="308"/>
      <c r="R144" s="308"/>
      <c r="S144" s="308"/>
      <c r="V144" s="308"/>
      <c r="W144" s="185"/>
    </row>
    <row r="145" ht="14.25" customHeight="1">
      <c r="A145" s="178"/>
      <c r="B145" s="12">
        <v>1812619.0</v>
      </c>
      <c r="C145" s="13">
        <v>45982.93766203704</v>
      </c>
      <c r="D145" s="179" t="s">
        <v>81</v>
      </c>
      <c r="E145" s="180" t="s">
        <v>5625</v>
      </c>
      <c r="F145" s="181"/>
      <c r="G145" s="179" t="s">
        <v>381</v>
      </c>
      <c r="H145" s="190"/>
      <c r="I145" s="190"/>
      <c r="J145" s="187" t="s">
        <v>2735</v>
      </c>
      <c r="K145" s="187" t="s">
        <v>6576</v>
      </c>
      <c r="L145" s="270" t="str">
        <f>IFERROR(__xludf.DUMMYFUNCTION("IF(
  AND(D145=""Saída"", J145=""Sangria""),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"),"Confirmada")</f>
        <v>Confirmada</v>
      </c>
      <c r="M145" s="274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IFERROR(__xludf.DUMMYFUNCTION("ifna(VALUE(REGEXEXTRACT(E145,""[0-9.]+[,]+[0-9]+"")))"),1900.0)</f>
        <v>1900</v>
      </c>
      <c r="O145" s="304"/>
      <c r="P145" s="312"/>
      <c r="Q145" s="304"/>
      <c r="R145" s="304"/>
      <c r="S145" s="304"/>
      <c r="V145" s="304"/>
      <c r="W145" s="185"/>
    </row>
    <row r="146" ht="14.25" customHeight="1">
      <c r="A146" s="178"/>
      <c r="B146" s="12">
        <v>1813506.0</v>
      </c>
      <c r="C146" s="13">
        <v>45983.65420138889</v>
      </c>
      <c r="D146" s="179" t="s">
        <v>81</v>
      </c>
      <c r="E146" s="180" t="s">
        <v>3730</v>
      </c>
      <c r="F146" s="188"/>
      <c r="G146" s="179" t="s">
        <v>6732</v>
      </c>
      <c r="H146" s="190"/>
      <c r="I146" s="190"/>
      <c r="J146" s="187"/>
      <c r="K146" s="187"/>
      <c r="L146" s="270" t="str">
        <f>IFERROR(__xludf.DUMMYFUNCTION("IF(
  AND(D146=""Saída"", J146=""Sangria""),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2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>
        <f>IFERROR(__xludf.DUMMYFUNCTION("ifna(VALUE(REGEXEXTRACT(E146,""[0-9.]+[,]+[0-9]+"")))"),65.0)</f>
        <v>65</v>
      </c>
      <c r="O146" s="308"/>
      <c r="P146" s="313"/>
      <c r="Q146" s="308"/>
      <c r="R146" s="308"/>
      <c r="S146" s="308"/>
      <c r="V146" s="308"/>
      <c r="W146" s="185"/>
    </row>
    <row r="147" ht="14.25" customHeight="1">
      <c r="A147" s="178"/>
      <c r="B147" s="12">
        <v>1813795.0</v>
      </c>
      <c r="C147" s="13">
        <v>45983.71115740741</v>
      </c>
      <c r="D147" s="179" t="s">
        <v>81</v>
      </c>
      <c r="E147" s="180" t="s">
        <v>335</v>
      </c>
      <c r="F147" s="181"/>
      <c r="G147" s="179" t="s">
        <v>6733</v>
      </c>
      <c r="H147" s="190"/>
      <c r="I147" s="190"/>
      <c r="J147" s="187" t="s">
        <v>3375</v>
      </c>
      <c r="K147" s="187"/>
      <c r="L147" s="270" t="str">
        <f>IFERROR(__xludf.DUMMYFUNCTION("IF(
  AND(D147=""Saída"", J147=""Sangria""),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74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>
        <f>IFERROR(__xludf.DUMMYFUNCTION("ifna(VALUE(REGEXEXTRACT(E147,""[0-9.]+[,]+[0-9]+"")))"),10.0)</f>
        <v>10</v>
      </c>
      <c r="O147" s="304"/>
      <c r="P147" s="312"/>
      <c r="Q147" s="304"/>
      <c r="R147" s="304"/>
      <c r="S147" s="304"/>
      <c r="V147" s="304"/>
      <c r="W147" s="185"/>
    </row>
    <row r="148" ht="14.25" customHeight="1">
      <c r="A148" s="178"/>
      <c r="B148" s="12">
        <v>1813800.0</v>
      </c>
      <c r="C148" s="13">
        <v>45983.71231481482</v>
      </c>
      <c r="D148" s="179" t="s">
        <v>81</v>
      </c>
      <c r="E148" s="180" t="s">
        <v>3730</v>
      </c>
      <c r="F148" s="181"/>
      <c r="G148" s="179" t="s">
        <v>6734</v>
      </c>
      <c r="H148" s="190"/>
      <c r="I148" s="190"/>
      <c r="J148" s="187" t="s">
        <v>1782</v>
      </c>
      <c r="K148" s="187"/>
      <c r="L148" s="270" t="str">
        <f>IFERROR(__xludf.DUMMYFUNCTION("IF(
  AND(D148=""Saída"", J148=""Sangria""),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2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IFERROR(__xludf.DUMMYFUNCTION("ifna(VALUE(REGEXEXTRACT(E148,""[0-9.]+[,]+[0-9]+"")))"),65.0)</f>
        <v>65</v>
      </c>
      <c r="O148" s="308"/>
      <c r="P148" s="313"/>
      <c r="Q148" s="308"/>
      <c r="R148" s="308"/>
      <c r="S148" s="308"/>
      <c r="V148" s="308"/>
      <c r="W148" s="185"/>
    </row>
    <row r="149" ht="14.25" customHeight="1">
      <c r="A149" s="178"/>
      <c r="B149" s="12">
        <v>1814061.0</v>
      </c>
      <c r="C149" s="13">
        <v>45983.76105324074</v>
      </c>
      <c r="D149" s="179" t="s">
        <v>81</v>
      </c>
      <c r="E149" s="180" t="s">
        <v>6306</v>
      </c>
      <c r="F149" s="181"/>
      <c r="G149" s="179" t="s">
        <v>381</v>
      </c>
      <c r="H149" s="190"/>
      <c r="I149" s="190"/>
      <c r="J149" s="187" t="s">
        <v>2735</v>
      </c>
      <c r="K149" s="187" t="s">
        <v>2018</v>
      </c>
      <c r="L149" s="270" t="str">
        <f>IFERROR(__xludf.DUMMYFUNCTION("IF(
  AND(D149=""Saída"", J149=""Sangria""),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"),"Confirmada")</f>
        <v>Confirmada</v>
      </c>
      <c r="M149" s="274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IFERROR(__xludf.DUMMYFUNCTION("ifna(VALUE(REGEXEXTRACT(E149,""[0-9.]+[,]+[0-9]+"")))"),1650.0)</f>
        <v>1650</v>
      </c>
      <c r="O149" s="304"/>
      <c r="P149" s="312"/>
      <c r="Q149" s="304"/>
      <c r="R149" s="304"/>
      <c r="S149" s="304"/>
      <c r="V149" s="304"/>
      <c r="W149" s="185"/>
    </row>
    <row r="150" ht="14.25" customHeight="1">
      <c r="A150" s="178"/>
      <c r="B150" s="12">
        <v>1814518.0</v>
      </c>
      <c r="C150" s="13">
        <v>45983.86236111111</v>
      </c>
      <c r="D150" s="179" t="s">
        <v>81</v>
      </c>
      <c r="E150" s="180" t="s">
        <v>296</v>
      </c>
      <c r="F150" s="188"/>
      <c r="G150" s="179" t="s">
        <v>128</v>
      </c>
      <c r="H150" s="190"/>
      <c r="I150" s="190"/>
      <c r="J150" s="187" t="s">
        <v>2735</v>
      </c>
      <c r="K150" s="187" t="s">
        <v>6576</v>
      </c>
      <c r="L150" s="270" t="str">
        <f>IFERROR(__xludf.DUMMYFUNCTION("IF(
  AND(D150=""Saída"", J150=""Sangria""),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"),"Confirmada")</f>
        <v>Confirmada</v>
      </c>
      <c r="M150" s="272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IFERROR(__xludf.DUMMYFUNCTION("ifna(VALUE(REGEXEXTRACT(E150,""[0-9.]+[,]+[0-9]+"")))"),650.0)</f>
        <v>650</v>
      </c>
      <c r="O150" s="308"/>
      <c r="P150" s="313"/>
      <c r="Q150" s="308"/>
      <c r="R150" s="308"/>
      <c r="S150" s="308"/>
      <c r="V150" s="308"/>
      <c r="W150" s="185"/>
    </row>
    <row r="151" ht="14.25" customHeight="1">
      <c r="A151" s="178"/>
      <c r="B151" s="12">
        <v>1817152.0</v>
      </c>
      <c r="C151" s="13">
        <v>45984.900185185186</v>
      </c>
      <c r="D151" s="179" t="s">
        <v>81</v>
      </c>
      <c r="E151" s="180" t="s">
        <v>6735</v>
      </c>
      <c r="F151" s="181"/>
      <c r="G151" s="179" t="s">
        <v>629</v>
      </c>
      <c r="H151" s="190"/>
      <c r="I151" s="190"/>
      <c r="J151" s="187" t="s">
        <v>2438</v>
      </c>
      <c r="K151" s="187"/>
      <c r="L151" s="270" t="str">
        <f>IFERROR(__xludf.DUMMYFUNCTION("IF(
  AND(D151=""Saída"", J151=""Sangria""),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74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IFERROR(__xludf.DUMMYFUNCTION("ifna(VALUE(REGEXEXTRACT(E151,""[0-9.]+[,]+[0-9]+"")))"),11.67)</f>
        <v>11.67</v>
      </c>
      <c r="O151" s="304"/>
      <c r="P151" s="312"/>
      <c r="Q151" s="304"/>
      <c r="R151" s="304"/>
      <c r="S151" s="304"/>
      <c r="V151" s="304"/>
      <c r="W151" s="185"/>
    </row>
    <row r="152" ht="14.25" customHeight="1">
      <c r="A152" s="178"/>
      <c r="B152" s="12">
        <v>1817155.0</v>
      </c>
      <c r="C152" s="13">
        <v>45984.90047453704</v>
      </c>
      <c r="D152" s="179" t="s">
        <v>81</v>
      </c>
      <c r="E152" s="180" t="s">
        <v>6736</v>
      </c>
      <c r="F152" s="181"/>
      <c r="G152" s="179" t="s">
        <v>5861</v>
      </c>
      <c r="H152" s="190"/>
      <c r="I152" s="190"/>
      <c r="J152" s="187" t="s">
        <v>2019</v>
      </c>
      <c r="K152" s="187" t="s">
        <v>2117</v>
      </c>
      <c r="L152" s="270" t="str">
        <f>IFERROR(__xludf.DUMMYFUNCTION("IF(
  AND(D152=""Saída"", J152=""Sangria""),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2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IFERROR(__xludf.DUMMYFUNCTION("ifna(VALUE(REGEXEXTRACT(E152,""[0-9.]+[,]+[0-9]+"")))"),16.71)</f>
        <v>16.71</v>
      </c>
      <c r="O152" s="308"/>
      <c r="P152" s="313"/>
      <c r="Q152" s="308"/>
      <c r="R152" s="308"/>
      <c r="S152" s="308"/>
      <c r="V152" s="308"/>
      <c r="W152" s="185"/>
    </row>
    <row r="153" ht="14.25" customHeight="1">
      <c r="A153" s="178"/>
      <c r="B153" s="12">
        <v>1817164.0</v>
      </c>
      <c r="C153" s="13">
        <v>45984.9015625</v>
      </c>
      <c r="D153" s="179" t="s">
        <v>81</v>
      </c>
      <c r="E153" s="180" t="s">
        <v>6737</v>
      </c>
      <c r="F153" s="181"/>
      <c r="G153" s="179" t="s">
        <v>5609</v>
      </c>
      <c r="H153" s="190"/>
      <c r="I153" s="190"/>
      <c r="J153" s="187" t="s">
        <v>2438</v>
      </c>
      <c r="K153" s="187"/>
      <c r="L153" s="270" t="str">
        <f>IFERROR(__xludf.DUMMYFUNCTION("IF(
  AND(D153=""Saída"", J153=""Sangria""),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74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IFERROR(__xludf.DUMMYFUNCTION("ifna(VALUE(REGEXEXTRACT(E153,""[0-9.]+[,]+[0-9]+"")))"),63.65)</f>
        <v>63.65</v>
      </c>
      <c r="O153" s="304"/>
      <c r="P153" s="312"/>
      <c r="Q153" s="304"/>
      <c r="R153" s="304"/>
      <c r="S153" s="304"/>
      <c r="V153" s="304"/>
      <c r="W153" s="185"/>
    </row>
    <row r="154" ht="14.25" customHeight="1">
      <c r="A154" s="178"/>
      <c r="B154" s="12">
        <v>1817204.0</v>
      </c>
      <c r="C154" s="13">
        <v>45984.907685185186</v>
      </c>
      <c r="D154" s="179" t="s">
        <v>81</v>
      </c>
      <c r="E154" s="180" t="s">
        <v>1248</v>
      </c>
      <c r="F154" s="181"/>
      <c r="G154" s="179" t="s">
        <v>381</v>
      </c>
      <c r="H154" s="190"/>
      <c r="I154" s="190"/>
      <c r="J154" s="187" t="s">
        <v>2735</v>
      </c>
      <c r="K154" s="187" t="s">
        <v>6576</v>
      </c>
      <c r="L154" s="270" t="str">
        <f>IFERROR(__xludf.DUMMYFUNCTION("IF(
  AND(D154=""Saída"", J154=""Sangria""),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"),"Confirmada")</f>
        <v>Confirmada</v>
      </c>
      <c r="M154" s="272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IFERROR(__xludf.DUMMYFUNCTION("ifna(VALUE(REGEXEXTRACT(E154,""[0-9.]+[,]+[0-9]+"")))"),850.0)</f>
        <v>850</v>
      </c>
      <c r="O154" s="308"/>
      <c r="P154" s="313"/>
      <c r="Q154" s="308"/>
      <c r="R154" s="308"/>
      <c r="S154" s="308"/>
      <c r="V154" s="308"/>
      <c r="W154" s="185"/>
    </row>
    <row r="155" ht="14.25" customHeight="1">
      <c r="A155" s="178"/>
      <c r="B155" s="12">
        <v>1817206.0</v>
      </c>
      <c r="C155" s="13">
        <v>45984.90792824074</v>
      </c>
      <c r="D155" s="179" t="s">
        <v>81</v>
      </c>
      <c r="E155" s="180" t="s">
        <v>146</v>
      </c>
      <c r="F155" s="181"/>
      <c r="G155" s="179" t="s">
        <v>4071</v>
      </c>
      <c r="H155" s="190"/>
      <c r="I155" s="190"/>
      <c r="J155" s="187" t="s">
        <v>2735</v>
      </c>
      <c r="K155" s="187" t="s">
        <v>2018</v>
      </c>
      <c r="L155" s="270" t="str">
        <f>IFERROR(__xludf.DUMMYFUNCTION("IF(
  AND(D155=""Saída"", J155=""Sangria""),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"),"Confirmada")</f>
        <v>Confirmada</v>
      </c>
      <c r="M155" s="274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IFERROR(__xludf.DUMMYFUNCTION("ifna(VALUE(REGEXEXTRACT(E155,""[0-9.]+[,]+[0-9]+"")))"),400.0)</f>
        <v>400</v>
      </c>
      <c r="O155" s="304"/>
      <c r="P155" s="312"/>
      <c r="Q155" s="304"/>
      <c r="R155" s="304"/>
      <c r="S155" s="304"/>
      <c r="V155" s="304"/>
      <c r="W155" s="185"/>
    </row>
    <row r="156" ht="14.25" customHeight="1">
      <c r="A156" s="178"/>
      <c r="B156" s="12">
        <v>1817237.0</v>
      </c>
      <c r="C156" s="13">
        <v>45984.91123842593</v>
      </c>
      <c r="D156" s="179" t="s">
        <v>81</v>
      </c>
      <c r="E156" s="180" t="s">
        <v>6738</v>
      </c>
      <c r="F156" s="181"/>
      <c r="G156" s="179" t="s">
        <v>6739</v>
      </c>
      <c r="H156" s="190"/>
      <c r="I156" s="190"/>
      <c r="J156" s="187" t="s">
        <v>3151</v>
      </c>
      <c r="K156" s="187"/>
      <c r="L156" s="270" t="str">
        <f>IFERROR(__xludf.DUMMYFUNCTION("IF(
  AND(D156=""Saída"", J156=""Sangria""),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2" t="str">
        <f>IFERROR(__xludf.DUMMYFUNCTION("IF(J156=""Compra de Mercadorias"",
   IF(
      COUNTIF(ARRAYFORMULA(TRIM(CLEAN(TO_TEXT(Notas!BS:BS)))), TRIM(CLEAN(TO_TEXT(B156)))) &gt; 0,
      ""Encontrada"",
      ""Não Encontrada""
   ),
"""")"),"Não Encontrada")</f>
        <v>Não Encontrada</v>
      </c>
      <c r="N156" s="185">
        <f>IFERROR(__xludf.DUMMYFUNCTION("ifna(VALUE(REGEXEXTRACT(E156,""[0-9.]+[,]+[0-9]+"")))"),309.1)</f>
        <v>309.1</v>
      </c>
      <c r="O156" s="308"/>
      <c r="P156" s="313"/>
      <c r="Q156" s="308"/>
      <c r="R156" s="308"/>
      <c r="S156" s="308"/>
      <c r="V156" s="308"/>
      <c r="W156" s="185"/>
    </row>
    <row r="157" ht="14.25" customHeight="1">
      <c r="A157" s="178"/>
      <c r="B157" s="12">
        <v>1818834.0</v>
      </c>
      <c r="C157" s="13">
        <v>45985.81582175926</v>
      </c>
      <c r="D157" s="179" t="s">
        <v>81</v>
      </c>
      <c r="E157" s="180" t="s">
        <v>6740</v>
      </c>
      <c r="F157" s="181"/>
      <c r="G157" s="179" t="s">
        <v>506</v>
      </c>
      <c r="H157" s="190"/>
      <c r="I157" s="190"/>
      <c r="J157" s="187" t="s">
        <v>1782</v>
      </c>
      <c r="K157" s="187"/>
      <c r="L157" s="270" t="str">
        <f>IFERROR(__xludf.DUMMYFUNCTION("IF(
  AND(D157=""Saída"", J157=""Sangria""),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74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IFERROR(__xludf.DUMMYFUNCTION("ifna(VALUE(REGEXEXTRACT(E157,""[0-9.]+[,]+[0-9]+"")))"),143.0)</f>
        <v>143</v>
      </c>
      <c r="O157" s="304"/>
      <c r="P157" s="312"/>
      <c r="Q157" s="304"/>
      <c r="R157" s="304"/>
      <c r="S157" s="304"/>
      <c r="V157" s="304"/>
      <c r="W157" s="185"/>
    </row>
    <row r="158" ht="14.25" customHeight="1">
      <c r="A158" s="178"/>
      <c r="B158" s="12">
        <v>1819254.0</v>
      </c>
      <c r="C158" s="13">
        <v>45985.93050925926</v>
      </c>
      <c r="D158" s="179" t="s">
        <v>81</v>
      </c>
      <c r="E158" s="180" t="s">
        <v>146</v>
      </c>
      <c r="F158" s="188"/>
      <c r="G158" s="179" t="s">
        <v>381</v>
      </c>
      <c r="H158" s="190"/>
      <c r="I158" s="190"/>
      <c r="J158" s="187" t="s">
        <v>2735</v>
      </c>
      <c r="K158" s="187" t="s">
        <v>6576</v>
      </c>
      <c r="L158" s="270" t="str">
        <f>IFERROR(__xludf.DUMMYFUNCTION("IF(
  AND(D158=""Saída"", J158=""Sangria""),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"),"Confirmada")</f>
        <v>Confirmada</v>
      </c>
      <c r="M158" s="272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>
        <f>IFERROR(__xludf.DUMMYFUNCTION("ifna(VALUE(REGEXEXTRACT(E158,""[0-9.]+[,]+[0-9]+"")))"),400.0)</f>
        <v>400</v>
      </c>
      <c r="O158" s="308"/>
      <c r="P158" s="313"/>
      <c r="Q158" s="308"/>
      <c r="R158" s="308"/>
      <c r="S158" s="308"/>
      <c r="V158" s="308"/>
      <c r="W158" s="185"/>
    </row>
    <row r="159" ht="14.25" customHeight="1">
      <c r="A159" s="178"/>
      <c r="B159" s="12">
        <v>1819779.0</v>
      </c>
      <c r="C159" s="13">
        <v>45986.63773148148</v>
      </c>
      <c r="D159" s="179" t="s">
        <v>81</v>
      </c>
      <c r="E159" s="180" t="s">
        <v>6741</v>
      </c>
      <c r="F159" s="181"/>
      <c r="G159" s="179" t="s">
        <v>6742</v>
      </c>
      <c r="H159" s="190"/>
      <c r="I159" s="190"/>
      <c r="J159" s="187" t="s">
        <v>2438</v>
      </c>
      <c r="K159" s="187"/>
      <c r="L159" s="270" t="str">
        <f>IFERROR(__xludf.DUMMYFUNCTION("IF(
  AND(D159=""Saída"", J159=""Sangria""),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74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IFERROR(__xludf.DUMMYFUNCTION("ifna(VALUE(REGEXEXTRACT(E159,""[0-9.]+[,]+[0-9]+"")))"),47.17)</f>
        <v>47.17</v>
      </c>
      <c r="O159" s="185"/>
      <c r="P159" s="185"/>
      <c r="Q159" s="185"/>
      <c r="R159" s="185"/>
      <c r="S159" s="185"/>
      <c r="T159" s="185"/>
      <c r="U159" s="185"/>
      <c r="V159" s="185"/>
      <c r="W159" s="185"/>
    </row>
    <row r="160" ht="14.25" customHeight="1">
      <c r="A160" s="178"/>
      <c r="B160" s="12">
        <v>1820398.0</v>
      </c>
      <c r="C160" s="13">
        <v>45986.820601851854</v>
      </c>
      <c r="D160" s="179" t="s">
        <v>81</v>
      </c>
      <c r="E160" s="180" t="s">
        <v>86</v>
      </c>
      <c r="F160" s="181"/>
      <c r="G160" s="179" t="s">
        <v>6743</v>
      </c>
      <c r="H160" s="190"/>
      <c r="I160" s="190"/>
      <c r="J160" s="187" t="s">
        <v>3151</v>
      </c>
      <c r="K160" s="187"/>
      <c r="L160" s="270" t="str">
        <f>IFERROR(__xludf.DUMMYFUNCTION("IF(
  AND(D160=""Saída"", J160=""Sangria""),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2" t="str">
        <f>IFERROR(__xludf.DUMMYFUNCTION("IF(J160=""Compra de Mercadorias"",
   IF(
      COUNTIF(ARRAYFORMULA(TRIM(CLEAN(TO_TEXT(Notas!BS:BS)))), TRIM(CLEAN(TO_TEXT(B160)))) &gt; 0,
      ""Encontrada"",
      ""Não Encontrada""
   ),
"""")"),"Não Encontrada")</f>
        <v>Não Encontrada</v>
      </c>
      <c r="N160" s="185">
        <f>IFERROR(__xludf.DUMMYFUNCTION("ifna(VALUE(REGEXEXTRACT(E160,""[0-9.]+[,]+[0-9]+"")))"),9.0)</f>
        <v>9</v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4.25" customHeight="1">
      <c r="A161" s="178"/>
      <c r="B161" s="12">
        <v>1820399.0</v>
      </c>
      <c r="C161" s="13">
        <v>45986.82100694445</v>
      </c>
      <c r="D161" s="179" t="s">
        <v>81</v>
      </c>
      <c r="E161" s="180" t="s">
        <v>402</v>
      </c>
      <c r="F161" s="181"/>
      <c r="G161" s="179" t="s">
        <v>6675</v>
      </c>
      <c r="H161" s="190"/>
      <c r="I161" s="190"/>
      <c r="J161" s="187" t="s">
        <v>3151</v>
      </c>
      <c r="K161" s="187"/>
      <c r="L161" s="270" t="str">
        <f>IFERROR(__xludf.DUMMYFUNCTION("IF(
  AND(D161=""Saída"", J161=""Sangria""),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74" t="str">
        <f>IFERROR(__xludf.DUMMYFUNCTION("IF(J161=""Compra de Mercadorias"",
   IF(
      COUNTIF(ARRAYFORMULA(TRIM(CLEAN(TO_TEXT(Notas!BS:BS)))), TRIM(CLEAN(TO_TEXT(B161)))) &gt; 0,
      ""Encontrada"",
      ""Não Encontrada""
   ),
"""")"),"Não Encontrada")</f>
        <v>Não Encontrada</v>
      </c>
      <c r="N161" s="185">
        <f>IFERROR(__xludf.DUMMYFUNCTION("ifna(VALUE(REGEXEXTRACT(E161,""[0-9.]+[,]+[0-9]+"")))"),20.0)</f>
        <v>20</v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2">
        <v>1820421.0</v>
      </c>
      <c r="C162" s="13">
        <v>45986.82895833333</v>
      </c>
      <c r="D162" s="179" t="s">
        <v>81</v>
      </c>
      <c r="E162" s="180" t="s">
        <v>6744</v>
      </c>
      <c r="F162" s="181"/>
      <c r="G162" s="179" t="s">
        <v>4041</v>
      </c>
      <c r="H162" s="190"/>
      <c r="I162" s="190"/>
      <c r="J162" s="187" t="s">
        <v>3151</v>
      </c>
      <c r="K162" s="187"/>
      <c r="L162" s="270" t="str">
        <f>IFERROR(__xludf.DUMMYFUNCTION("IF(
  AND(D162=""Saída"", J162=""Sangria""),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2" t="str">
        <f>IFERROR(__xludf.DUMMYFUNCTION("IF(J162=""Compra de Mercadorias"",
   IF(
      COUNTIF(ARRAYFORMULA(TRIM(CLEAN(TO_TEXT(Notas!BS:BS)))), TRIM(CLEAN(TO_TEXT(B162)))) &gt; 0,
      ""Encontrada"",
      ""Não Encontrada""
   ),
"""")"),"Não Encontrada")</f>
        <v>Não Encontrada</v>
      </c>
      <c r="N162" s="185">
        <f>IFERROR(__xludf.DUMMYFUNCTION("ifna(VALUE(REGEXEXTRACT(E162,""[0-9.]+[,]+[0-9]+"")))"),14.95)</f>
        <v>14.95</v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2">
        <v>1821075.0</v>
      </c>
      <c r="C163" s="13">
        <v>45986.97865740741</v>
      </c>
      <c r="D163" s="179" t="s">
        <v>81</v>
      </c>
      <c r="E163" s="180" t="s">
        <v>443</v>
      </c>
      <c r="F163" s="188"/>
      <c r="G163" s="179" t="s">
        <v>381</v>
      </c>
      <c r="H163" s="190"/>
      <c r="I163" s="190"/>
      <c r="J163" s="187" t="s">
        <v>2735</v>
      </c>
      <c r="K163" s="187" t="s">
        <v>6576</v>
      </c>
      <c r="L163" s="270" t="str">
        <f>IFERROR(__xludf.DUMMYFUNCTION("IF(
  AND(D163=""Saída"", J163=""Sangria""),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"),"Confirmada")</f>
        <v>Confirmada</v>
      </c>
      <c r="M163" s="274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85">
        <f>IFERROR(__xludf.DUMMYFUNCTION("ifna(VALUE(REGEXEXTRACT(E163,""[0-9.]+[,]+[0-9]+"")))"),900.0)</f>
        <v>900</v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2"/>
      <c r="C164" s="13"/>
      <c r="D164" s="179"/>
      <c r="E164" s="180"/>
      <c r="F164" s="181"/>
      <c r="G164" s="179"/>
      <c r="H164" s="190"/>
      <c r="I164" s="190"/>
      <c r="J164" s="187"/>
      <c r="K164" s="187"/>
      <c r="L164" s="270" t="str">
        <f>IFERROR(__xludf.DUMMYFUNCTION("IF(
  AND(D164=""Saída"", J164=""Sangria""),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2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 t="str">
        <f>IFERROR(__xludf.DUMMYFUNCTION("ifna(VALUE(REGEXEXTRACT(E164,""[0-9.]+[,]+[0-9]+"")))"),"")</f>
        <v/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2"/>
      <c r="C165" s="13"/>
      <c r="D165" s="179"/>
      <c r="E165" s="180"/>
      <c r="F165" s="188"/>
      <c r="G165" s="179"/>
      <c r="H165" s="190"/>
      <c r="I165" s="190"/>
      <c r="J165" s="187"/>
      <c r="K165" s="187"/>
      <c r="L165" s="270" t="str">
        <f>IFERROR(__xludf.DUMMYFUNCTION("IF(
  AND(D165=""Saída"", J165=""Sangria""),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74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85" t="str">
        <f>IFERROR(__xludf.DUMMYFUNCTION("ifna(VALUE(REGEXEXTRACT(E165,""[0-9.]+[,]+[0-9]+"")))"),"")</f>
        <v/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2"/>
      <c r="C166" s="13"/>
      <c r="D166" s="179"/>
      <c r="E166" s="180"/>
      <c r="F166" s="188"/>
      <c r="G166" s="179"/>
      <c r="H166" s="190"/>
      <c r="I166" s="190"/>
      <c r="J166" s="187"/>
      <c r="K166" s="187"/>
      <c r="L166" s="270" t="str">
        <f>IFERROR(__xludf.DUMMYFUNCTION("IF(
  AND(D166=""Saída"", J166=""Sangria""),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2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 t="str">
        <f>IFERROR(__xludf.DUMMYFUNCTION("ifna(VALUE(REGEXEXTRACT(E166,""[0-9.]+[,]+[0-9]+"")))"),"")</f>
        <v/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2"/>
      <c r="C167" s="13"/>
      <c r="D167" s="179"/>
      <c r="E167" s="180"/>
      <c r="F167" s="181"/>
      <c r="G167" s="179"/>
      <c r="H167" s="190"/>
      <c r="I167" s="190"/>
      <c r="J167" s="187"/>
      <c r="K167" s="187"/>
      <c r="L167" s="270" t="str">
        <f>IFERROR(__xludf.DUMMYFUNCTION("IF(
  AND(D167=""Saída"", J167=""Sangria""),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74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 t="str">
        <f>IFERROR(__xludf.DUMMYFUNCTION("ifna(VALUE(REGEXEXTRACT(E167,""[0-9.]+[,]+[0-9]+"")))"),"")</f>
        <v/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2"/>
      <c r="C168" s="13"/>
      <c r="D168" s="179"/>
      <c r="E168" s="180"/>
      <c r="F168" s="181"/>
      <c r="G168" s="179"/>
      <c r="H168" s="190"/>
      <c r="I168" s="190"/>
      <c r="J168" s="187"/>
      <c r="K168" s="187"/>
      <c r="L168" s="270" t="str">
        <f>IFERROR(__xludf.DUMMYFUNCTION("IF(
  AND(D168=""Saída"", J168=""Sangria""),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2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 t="str">
        <f>IFERROR(__xludf.DUMMYFUNCTION("ifna(VALUE(REGEXEXTRACT(E168,""[0-9.]+[,]+[0-9]+"")))"),"")</f>
        <v/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2"/>
      <c r="C169" s="13"/>
      <c r="D169" s="179"/>
      <c r="E169" s="180"/>
      <c r="F169" s="181"/>
      <c r="G169" s="179"/>
      <c r="H169" s="190"/>
      <c r="I169" s="190"/>
      <c r="J169" s="187"/>
      <c r="K169" s="187"/>
      <c r="L169" s="270" t="str">
        <f>IFERROR(__xludf.DUMMYFUNCTION("IF(
  AND(D169=""Saída"", J169=""Sangria""),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74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 t="str">
        <f>IFERROR(__xludf.DUMMYFUNCTION("ifna(VALUE(REGEXEXTRACT(E169,""[0-9.]+[,]+[0-9]+"")))"),"")</f>
        <v/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2"/>
      <c r="C170" s="13"/>
      <c r="D170" s="179"/>
      <c r="E170" s="180"/>
      <c r="F170" s="181"/>
      <c r="G170" s="179"/>
      <c r="H170" s="190"/>
      <c r="I170" s="190"/>
      <c r="J170" s="187"/>
      <c r="K170" s="187"/>
      <c r="L170" s="270" t="str">
        <f>IFERROR(__xludf.DUMMYFUNCTION("IF(
  AND(D170=""Saída"", J170=""Sangria""),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2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 t="str">
        <f>IFERROR(__xludf.DUMMYFUNCTION("ifna(VALUE(REGEXEXTRACT(E170,""[0-9.]+[,]+[0-9]+"")))"),"")</f>
        <v/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2"/>
      <c r="C171" s="13"/>
      <c r="D171" s="179"/>
      <c r="E171" s="180"/>
      <c r="F171" s="181"/>
      <c r="G171" s="179"/>
      <c r="H171" s="190"/>
      <c r="I171" s="190"/>
      <c r="J171" s="187"/>
      <c r="K171" s="187"/>
      <c r="L171" s="270" t="str">
        <f>IFERROR(__xludf.DUMMYFUNCTION("IF(
  AND(D171=""Saída"", J171=""Sangria""),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74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 t="str">
        <f>IFERROR(__xludf.DUMMYFUNCTION("ifna(VALUE(REGEXEXTRACT(E171,""[0-9.]+[,]+[0-9]+"")))"),"")</f>
        <v/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2"/>
      <c r="C172" s="13"/>
      <c r="D172" s="179"/>
      <c r="E172" s="180"/>
      <c r="F172" s="181"/>
      <c r="G172" s="179"/>
      <c r="H172" s="190"/>
      <c r="I172" s="190"/>
      <c r="J172" s="187"/>
      <c r="K172" s="187"/>
      <c r="L172" s="270" t="str">
        <f>IFERROR(__xludf.DUMMYFUNCTION("IF(
  AND(D172=""Saída"", J172=""Sangria""),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2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 t="str">
        <f>IFERROR(__xludf.DUMMYFUNCTION("ifna(VALUE(REGEXEXTRACT(E172,""[0-9.]+[,]+[0-9]+"")))"),"")</f>
        <v/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2"/>
      <c r="C173" s="13"/>
      <c r="D173" s="179"/>
      <c r="E173" s="180"/>
      <c r="F173" s="181"/>
      <c r="G173" s="179"/>
      <c r="H173" s="190"/>
      <c r="I173" s="190"/>
      <c r="J173" s="187"/>
      <c r="K173" s="187"/>
      <c r="L173" s="270" t="str">
        <f>IFERROR(__xludf.DUMMYFUNCTION("IF(
  AND(D173=""Saída"", J173=""Sangria""),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74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 t="str">
        <f>IFERROR(__xludf.DUMMYFUNCTION("ifna(VALUE(REGEXEXTRACT(E173,""[0-9.]+[,]+[0-9]+"")))"),"")</f>
        <v/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2"/>
      <c r="C174" s="13"/>
      <c r="D174" s="179"/>
      <c r="E174" s="180"/>
      <c r="F174" s="181"/>
      <c r="G174" s="179"/>
      <c r="H174" s="190"/>
      <c r="I174" s="190"/>
      <c r="J174" s="187"/>
      <c r="K174" s="187"/>
      <c r="L174" s="270" t="str">
        <f>IFERROR(__xludf.DUMMYFUNCTION("IF(
  AND(D174=""Saída"", J174=""Sangria""),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2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 t="str">
        <f>IFERROR(__xludf.DUMMYFUNCTION("ifna(VALUE(REGEXEXTRACT(E174,""[0-9.]+[,]+[0-9]+"")))"),"")</f>
        <v/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2"/>
      <c r="C175" s="13"/>
      <c r="D175" s="179"/>
      <c r="E175" s="180"/>
      <c r="F175" s="181"/>
      <c r="G175" s="179"/>
      <c r="H175" s="190"/>
      <c r="I175" s="190"/>
      <c r="J175" s="187"/>
      <c r="K175" s="187"/>
      <c r="L175" s="270" t="str">
        <f>IFERROR(__xludf.DUMMYFUNCTION("IF(
  AND(D175=""Saída"", J175=""Sangria""),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74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 t="str">
        <f>IFERROR(__xludf.DUMMYFUNCTION("ifna(VALUE(REGEXEXTRACT(E175,""[0-9.]+[,]+[0-9]+"")))"),"")</f>
        <v/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2"/>
      <c r="C176" s="13"/>
      <c r="D176" s="179"/>
      <c r="E176" s="180"/>
      <c r="F176" s="188"/>
      <c r="G176" s="179"/>
      <c r="H176" s="190"/>
      <c r="I176" s="190"/>
      <c r="J176" s="187"/>
      <c r="K176" s="187"/>
      <c r="L176" s="270" t="str">
        <f>IFERROR(__xludf.DUMMYFUNCTION("IF(
  AND(D176=""Saída"", J176=""Sangria""),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2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 t="str">
        <f>IFERROR(__xludf.DUMMYFUNCTION("ifna(VALUE(REGEXEXTRACT(E176,""[0-9.]+[,]+[0-9]+"")))"),"")</f>
        <v/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2"/>
      <c r="C177" s="13"/>
      <c r="D177" s="179"/>
      <c r="E177" s="180"/>
      <c r="F177" s="181"/>
      <c r="G177" s="179"/>
      <c r="H177" s="190"/>
      <c r="I177" s="190"/>
      <c r="K177" s="187"/>
      <c r="L177" s="270" t="str">
        <f>IFERROR(__xludf.DUMMYFUNCTION("IF(
  AND(D177=""Saída"", J177=""Sangria""),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74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 t="str">
        <f>IFERROR(__xludf.DUMMYFUNCTION("ifna(VALUE(REGEXEXTRACT(E177,""[0-9.]+[,]+[0-9]+"")))"),"")</f>
        <v/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2"/>
      <c r="C178" s="13"/>
      <c r="D178" s="179"/>
      <c r="E178" s="180"/>
      <c r="F178" s="181"/>
      <c r="G178" s="179"/>
      <c r="H178" s="190"/>
      <c r="I178" s="190"/>
      <c r="J178" s="187"/>
      <c r="K178" s="187"/>
      <c r="L178" s="270" t="str">
        <f>IFERROR(__xludf.DUMMYFUNCTION("IF(
  AND(D178=""Saída"", J178=""Sangria""),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2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 t="str">
        <f>IFERROR(__xludf.DUMMYFUNCTION("ifna(VALUE(REGEXEXTRACT(E178,""[0-9.]+[,]+[0-9]+"")))"),"")</f>
        <v/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270" t="str">
        <f>IFERROR(__xludf.DUMMYFUNCTION("IF(
  AND(D179=""Saída"", J179=""Sangria""),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74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 t="str">
        <f>IFERROR(__xludf.DUMMYFUNCTION("ifna(VALUE(REGEXEXTRACT(E179,""[0-9.]+[,]+[0-9]+"")))"),"")</f>
        <v/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2"/>
      <c r="C180" s="13"/>
      <c r="D180" s="179"/>
      <c r="E180" s="180"/>
      <c r="F180" s="188"/>
      <c r="G180" s="179"/>
      <c r="H180" s="190"/>
      <c r="I180" s="190"/>
      <c r="K180" s="187"/>
      <c r="L180" s="270" t="str">
        <f>IFERROR(__xludf.DUMMYFUNCTION("IF(
  AND(D180=""Saída"", J180=""Sangria""),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2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 t="str">
        <f>IFERROR(__xludf.DUMMYFUNCTION("ifna(VALUE(REGEXEXTRACT(E180,""[0-9.]+[,]+[0-9]+"")))"),"")</f>
        <v/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2"/>
      <c r="C181" s="13"/>
      <c r="D181" s="179"/>
      <c r="E181" s="180"/>
      <c r="F181" s="181"/>
      <c r="G181" s="179"/>
      <c r="H181" s="190"/>
      <c r="I181" s="190"/>
      <c r="J181" s="187"/>
      <c r="K181" s="187"/>
      <c r="L181" s="270" t="str">
        <f>IFERROR(__xludf.DUMMYFUNCTION("IF(
  AND(D181=""Saída"", J181=""Sangria""),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74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 t="str">
        <f>IFERROR(__xludf.DUMMYFUNCTION("ifna(VALUE(REGEXEXTRACT(E181,""[0-9.]+[,]+[0-9]+"")))"),"")</f>
        <v/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270" t="str">
        <f>IFERROR(__xludf.DUMMYFUNCTION("IF(
  AND(D182=""Saída"", J182=""Sangria""),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2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 t="str">
        <f>IFERROR(__xludf.DUMMYFUNCTION("ifna(VALUE(REGEXEXTRACT(E182,""[0-9.]+[,]+[0-9]+"")))"),"")</f>
        <v/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270" t="str">
        <f>IFERROR(__xludf.DUMMYFUNCTION("IF(
  AND(D183=""Saída"", J183=""Sangria""),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74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 t="str">
        <f>IFERROR(__xludf.DUMMYFUNCTION("ifna(VALUE(REGEXEXTRACT(E183,""[0-9.]+[,]+[0-9]+"")))"),"")</f>
        <v/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2"/>
      <c r="C184" s="13"/>
      <c r="D184" s="179"/>
      <c r="E184" s="180"/>
      <c r="F184" s="188"/>
      <c r="G184" s="179"/>
      <c r="H184" s="190"/>
      <c r="I184" s="190"/>
      <c r="J184" s="187"/>
      <c r="K184" s="187"/>
      <c r="L184" s="270" t="str">
        <f>IFERROR(__xludf.DUMMYFUNCTION("IF(
  AND(D184=""Saída"", J184=""Sangria""),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2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 t="str">
        <f>IFERROR(__xludf.DUMMYFUNCTION("ifna(VALUE(REGEXEXTRACT(E184,""[0-9.]+[,]+[0-9]+"")))"),"")</f>
        <v/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270" t="str">
        <f>IFERROR(__xludf.DUMMYFUNCTION("IF(
  AND(D185=""Saída"", J185=""Sangria""),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74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 t="str">
        <f>IFERROR(__xludf.DUMMYFUNCTION("ifna(VALUE(REGEXEXTRACT(E185,""[0-9.]+[,]+[0-9]+"")))"),"")</f>
        <v/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2"/>
      <c r="C186" s="13"/>
      <c r="D186" s="179"/>
      <c r="E186" s="180"/>
      <c r="F186" s="188"/>
      <c r="G186" s="179"/>
      <c r="H186" s="190"/>
      <c r="I186" s="190"/>
      <c r="J186" s="187"/>
      <c r="K186" s="187"/>
      <c r="L186" s="270" t="str">
        <f>IFERROR(__xludf.DUMMYFUNCTION("IF(
  AND(D186=""Saída"", J186=""Sangria""),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2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 t="str">
        <f>IFERROR(__xludf.DUMMYFUNCTION("ifna(VALUE(REGEXEXTRACT(E186,""[0-9.]+[,]+[0-9]+"")))"),"")</f>
        <v/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270" t="str">
        <f>IFERROR(__xludf.DUMMYFUNCTION("IF(
  AND(D187=""Saída"", J187=""Sangria""),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74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 t="str">
        <f>IFERROR(__xludf.DUMMYFUNCTION("ifna(VALUE(REGEXEXTRACT(E187,""[0-9.]+[,]+[0-9]+"")))"),"")</f>
        <v/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270" t="str">
        <f>IFERROR(__xludf.DUMMYFUNCTION("IF(
  AND(D188=""Saída"", J188=""Sangria""),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2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 t="str">
        <f>IFERROR(__xludf.DUMMYFUNCTION("ifna(VALUE(REGEXEXTRACT(E188,""[0-9.]+[,]+[0-9]+"")))"),"")</f>
        <v/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270" t="str">
        <f>IFERROR(__xludf.DUMMYFUNCTION("IF(
  AND(D189=""Saída"", J189=""Sangria""),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74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 t="str">
        <f>IFERROR(__xludf.DUMMYFUNCTION("ifna(VALUE(REGEXEXTRACT(E189,""[0-9.]+[,]+[0-9]+"")))"),"")</f>
        <v/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2"/>
      <c r="C190" s="13"/>
      <c r="D190" s="179"/>
      <c r="E190" s="180"/>
      <c r="F190" s="181"/>
      <c r="G190" s="179"/>
      <c r="H190" s="190"/>
      <c r="I190" s="190"/>
      <c r="J190" s="187"/>
      <c r="K190" s="187"/>
      <c r="L190" s="270" t="str">
        <f>IFERROR(__xludf.DUMMYFUNCTION("IF(
  AND(D190=""Saída"", J190=""Sangria""),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2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 t="str">
        <f>IFERROR(__xludf.DUMMYFUNCTION("ifna(VALUE(REGEXEXTRACT(E190,""[0-9.]+[,]+[0-9]+"")))"),"")</f>
        <v/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233"/>
      <c r="K191" s="187"/>
      <c r="L191" s="270" t="str">
        <f>IFERROR(__xludf.DUMMYFUNCTION("IF(
  AND(D191=""Saída"", J191=""Sangria""),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74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 t="str">
        <f>IFERROR(__xludf.DUMMYFUNCTION("ifna(VALUE(REGEXEXTRACT(E191,""[0-9.]+[,]+[0-9]+"")))"),"")</f>
        <v/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2"/>
      <c r="C192" s="13"/>
      <c r="D192" s="179"/>
      <c r="E192" s="180"/>
      <c r="F192" s="188"/>
      <c r="G192" s="179"/>
      <c r="H192" s="190"/>
      <c r="I192" s="190"/>
      <c r="J192" s="187"/>
      <c r="K192" s="187"/>
      <c r="L192" s="270" t="str">
        <f>IFERROR(__xludf.DUMMYFUNCTION("IF(
  AND(D192=""Saída"", J192=""Sangria""),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2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 t="str">
        <f>IFERROR(__xludf.DUMMYFUNCTION("ifna(VALUE(REGEXEXTRACT(E192,""[0-9.]+[,]+[0-9]+"")))"),"")</f>
        <v/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270" t="str">
        <f>IFERROR(__xludf.DUMMYFUNCTION("IF(
  AND(D193=""Saída"", J193=""Sangria""),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74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 t="str">
        <f>IFERROR(__xludf.DUMMYFUNCTION("ifna(VALUE(REGEXEXTRACT(E193,""[0-9.]+[,]+[0-9]+"")))"),"")</f>
        <v/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270" t="str">
        <f>IFERROR(__xludf.DUMMYFUNCTION("IF(
  AND(D194=""Saída"", J194=""Sangria""),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2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85" t="str">
        <f>IFERROR(__xludf.DUMMYFUNCTION("ifna(VALUE(REGEXEXTRACT(E194,""[0-9.]+[,]+[0-9]+"")))"),"")</f>
        <v/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2"/>
      <c r="C195" s="13"/>
      <c r="D195" s="179"/>
      <c r="E195" s="180"/>
      <c r="F195" s="188"/>
      <c r="G195" s="179"/>
      <c r="H195" s="190"/>
      <c r="I195" s="190"/>
      <c r="J195" s="187"/>
      <c r="K195" s="187"/>
      <c r="L195" s="270" t="str">
        <f>IFERROR(__xludf.DUMMYFUNCTION("IF(
  AND(D195=""Saída"", J195=""Sangria""),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74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 t="str">
        <f>IFERROR(__xludf.DUMMYFUNCTION("ifna(VALUE(REGEXEXTRACT(E195,""[0-9.]+[,]+[0-9]+"")))"),"")</f>
        <v/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K196" s="187"/>
      <c r="L196" s="270" t="str">
        <f>IFERROR(__xludf.DUMMYFUNCTION("IF(
  AND(D196=""Saída"", J196=""Sangria""),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2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 t="str">
        <f>IFERROR(__xludf.DUMMYFUNCTION("ifna(VALUE(REGEXEXTRACT(E196,""[0-9.]+[,]+[0-9]+"")))"),"")</f>
        <v/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270" t="str">
        <f>IFERROR(__xludf.DUMMYFUNCTION("IF(
  AND(D197=""Saída"", J197=""Sangria""),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74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 t="str">
        <f>IFERROR(__xludf.DUMMYFUNCTION("ifna(VALUE(REGEXEXTRACT(E197,""[0-9.]+[,]+[0-9]+"")))"),"")</f>
        <v/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270" t="str">
        <f>IFERROR(__xludf.DUMMYFUNCTION("IF(
  AND(D198=""Saída"", J198=""Sangria""),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2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 t="str">
        <f>IFERROR(__xludf.DUMMYFUNCTION("ifna(VALUE(REGEXEXTRACT(E198,""[0-9.]+[,]+[0-9]+"")))"),"")</f>
        <v/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270" t="str">
        <f>IFERROR(__xludf.DUMMYFUNCTION("IF(
  AND(D199=""Saída"", J199=""Sangria""),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74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 t="str">
        <f>IFERROR(__xludf.DUMMYFUNCTION("ifna(VALUE(REGEXEXTRACT(E199,""[0-9.]+[,]+[0-9]+"")))"),"")</f>
        <v/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2"/>
      <c r="C200" s="13"/>
      <c r="D200" s="179"/>
      <c r="E200" s="180"/>
      <c r="F200" s="181"/>
      <c r="G200" s="179"/>
      <c r="H200" s="190"/>
      <c r="I200" s="190"/>
      <c r="J200" s="187"/>
      <c r="K200" s="187"/>
      <c r="L200" s="270" t="str">
        <f>IFERROR(__xludf.DUMMYFUNCTION("IF(
  AND(D200=""Saída"", J200=""Sangria""),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2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 t="str">
        <f>IFERROR(__xludf.DUMMYFUNCTION("ifna(VALUE(REGEXEXTRACT(E200,""[0-9.]+[,]+[0-9]+"")))"),"")</f>
        <v/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270" t="str">
        <f>IFERROR(__xludf.DUMMYFUNCTION("IF(
  AND(D201=""Saída"", J201=""Sangria""),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74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 t="str">
        <f>IFERROR(__xludf.DUMMYFUNCTION("ifna(VALUE(REGEXEXTRACT(E201,""[0-9.]+[,]+[0-9]+"")))"),"")</f>
        <v/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270" t="str">
        <f>IFERROR(__xludf.DUMMYFUNCTION("IF(
  AND(D202=""Saída"", J202=""Sangria""),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2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 t="str">
        <f>IFERROR(__xludf.DUMMYFUNCTION("ifna(VALUE(REGEXEXTRACT(E202,""[0-9.]+[,]+[0-9]+"")))"),"")</f>
        <v/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270" t="str">
        <f>IFERROR(__xludf.DUMMYFUNCTION("IF(
  AND(D203=""Saída"", J203=""Sangria""),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74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 t="str">
        <f>IFERROR(__xludf.DUMMYFUNCTION("ifna(VALUE(REGEXEXTRACT(E203,""[0-9.]+[,]+[0-9]+"")))"),"")</f>
        <v/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270" t="str">
        <f>IFERROR(__xludf.DUMMYFUNCTION("IF(
  AND(D204=""Saída"", J204=""Sangria""),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2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 t="str">
        <f>IFERROR(__xludf.DUMMYFUNCTION("ifna(VALUE(REGEXEXTRACT(E204,""[0-9.]+[,]+[0-9]+"")))"),"")</f>
        <v/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2"/>
      <c r="C205" s="13"/>
      <c r="D205" s="179"/>
      <c r="E205" s="180"/>
      <c r="F205" s="188"/>
      <c r="G205" s="179"/>
      <c r="H205" s="190"/>
      <c r="I205" s="190"/>
      <c r="J205" s="187"/>
      <c r="K205" s="187"/>
      <c r="L205" s="270" t="str">
        <f>IFERROR(__xludf.DUMMYFUNCTION("IF(
  AND(D205=""Saída"", J205=""Sangria""),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74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 t="str">
        <f>IFERROR(__xludf.DUMMYFUNCTION("ifna(VALUE(REGEXEXTRACT(E205,""[0-9.]+[,]+[0-9]+"")))"),"")</f>
        <v/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2"/>
      <c r="C206" s="13"/>
      <c r="D206" s="179"/>
      <c r="E206" s="180"/>
      <c r="F206" s="181"/>
      <c r="G206" s="179"/>
      <c r="H206" s="190"/>
      <c r="I206" s="190"/>
      <c r="J206" s="187"/>
      <c r="K206" s="187"/>
      <c r="L206" s="270" t="str">
        <f>IFERROR(__xludf.DUMMYFUNCTION("IF(
  AND(D206=""Saída"", J206=""Sangria""),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2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 t="str">
        <f>IFERROR(__xludf.DUMMYFUNCTION("ifna(VALUE(REGEXEXTRACT(E206,""[0-9.]+[,]+[0-9]+"")))"),"")</f>
        <v/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270" t="str">
        <f>IFERROR(__xludf.DUMMYFUNCTION("IF(
  AND(D207=""Saída"", J207=""Sangria""),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74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270" t="str">
        <f>IFERROR(__xludf.DUMMYFUNCTION("IF(
  AND(D208=""Saída"", J208=""Sangria""),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2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270" t="str">
        <f>IFERROR(__xludf.DUMMYFUNCTION("IF(
  AND(D209=""Saída"", J209=""Sangria""),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74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270" t="str">
        <f>IFERROR(__xludf.DUMMYFUNCTION("IF(
  AND(D210=""Saída"", J210=""Sangria""),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2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270" t="str">
        <f>IFERROR(__xludf.DUMMYFUNCTION("IF(
  AND(D211=""Saída"", J211=""Sangria""),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74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270" t="str">
        <f>IFERROR(__xludf.DUMMYFUNCTION("IF(
  AND(D212=""Saída"", J212=""Sangria""),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2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270" t="str">
        <f>IFERROR(__xludf.DUMMYFUNCTION("IF(
  AND(D213=""Saída"", J213=""Sangria""),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74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270" t="str">
        <f>IFERROR(__xludf.DUMMYFUNCTION("IF(
  AND(D214=""Saída"", J214=""Sangria""),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2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270" t="str">
        <f>IFERROR(__xludf.DUMMYFUNCTION("IF(
  AND(D215=""Saída"", J215=""Sangria""),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74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270" t="str">
        <f>IFERROR(__xludf.DUMMYFUNCTION("IF(
  AND(D216=""Saída"", J216=""Sangria""),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2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270" t="str">
        <f>IFERROR(__xludf.DUMMYFUNCTION("IF(
  AND(D217=""Saída"", J217=""Sangria""),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74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270" t="str">
        <f>IFERROR(__xludf.DUMMYFUNCTION("IF(
  AND(D218=""Saída"", J218=""Sangria""),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2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270" t="str">
        <f>IFERROR(__xludf.DUMMYFUNCTION("IF(
  AND(D219=""Saída"", J219=""Sangria""),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74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270" t="str">
        <f>IFERROR(__xludf.DUMMYFUNCTION("IF(
  AND(D220=""Saída"", J220=""Sangria""),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2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270" t="str">
        <f>IFERROR(__xludf.DUMMYFUNCTION("IF(
  AND(D221=""Saída"", J221=""Sangria""),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74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270" t="str">
        <f>IFERROR(__xludf.DUMMYFUNCTION("IF(
  AND(D222=""Saída"", J222=""Sangria""),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2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270" t="str">
        <f>IFERROR(__xludf.DUMMYFUNCTION("IF(
  AND(D223=""Saída"", J223=""Sangria""),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74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270" t="str">
        <f>IFERROR(__xludf.DUMMYFUNCTION("IF(
  AND(D224=""Saída"", J224=""Sangria""),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2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270" t="str">
        <f>IFERROR(__xludf.DUMMYFUNCTION("IF(
  AND(D225=""Saída"", J225=""Sangria""),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74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270" t="str">
        <f>IFERROR(__xludf.DUMMYFUNCTION("IF(
  AND(D226=""Saída"", J226=""Sangria""),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2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270" t="str">
        <f>IFERROR(__xludf.DUMMYFUNCTION("IF(
  AND(D227=""Saída"", J227=""Sangria""),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74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270" t="str">
        <f>IFERROR(__xludf.DUMMYFUNCTION("IF(
  AND(D228=""Saída"", J228=""Sangria""),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2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270" t="str">
        <f>IFERROR(__xludf.DUMMYFUNCTION("IF(
  AND(D229=""Saída"", J229=""Sangria""),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74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270" t="str">
        <f>IFERROR(__xludf.DUMMYFUNCTION("IF(
  AND(D230=""Saída"", J230=""Sangria""),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2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270" t="str">
        <f>IFERROR(__xludf.DUMMYFUNCTION("IF(
  AND(D231=""Saída"", J231=""Sangria""),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74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270" t="str">
        <f>IFERROR(__xludf.DUMMYFUNCTION("IF(
  AND(D232=""Saída"", J232=""Sangria""),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2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270" t="str">
        <f>IFERROR(__xludf.DUMMYFUNCTION("IF(
  AND(D233=""Saída"", J233=""Sangria""),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74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270" t="str">
        <f>IFERROR(__xludf.DUMMYFUNCTION("IF(
  AND(D234=""Saída"", J234=""Sangria""),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2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270" t="str">
        <f>IFERROR(__xludf.DUMMYFUNCTION("IF(
  AND(D235=""Saída"", J235=""Sangria""),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74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270" t="str">
        <f>IFERROR(__xludf.DUMMYFUNCTION("IF(
  AND(D236=""Saída"", J236=""Sangria""),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2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270" t="str">
        <f>IFERROR(__xludf.DUMMYFUNCTION("IF(
  AND(D237=""Saída"", J237=""Sangria""),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74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270" t="str">
        <f>IFERROR(__xludf.DUMMYFUNCTION("IF(
  AND(D238=""Saída"", J238=""Sangria""),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2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270" t="str">
        <f>IFERROR(__xludf.DUMMYFUNCTION("IF(
  AND(D239=""Saída"", J239=""Sangria""),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74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270" t="str">
        <f>IFERROR(__xludf.DUMMYFUNCTION("IF(
  AND(D240=""Saída"", J240=""Sangria""),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2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270" t="str">
        <f>IFERROR(__xludf.DUMMYFUNCTION("IF(
  AND(D241=""Saída"", J241=""Sangria""),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74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270" t="str">
        <f>IFERROR(__xludf.DUMMYFUNCTION("IF(
  AND(D242=""Saída"", J242=""Sangria""),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2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270" t="str">
        <f>IFERROR(__xludf.DUMMYFUNCTION("IF(
  AND(D243=""Saída"", J243=""Sangria""),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74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270" t="str">
        <f>IFERROR(__xludf.DUMMYFUNCTION("IF(
  AND(D244=""Saída"", J244=""Sangria""),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2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270" t="str">
        <f>IFERROR(__xludf.DUMMYFUNCTION("IF(
  AND(D245=""Saída"", J245=""Sangria""),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74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270" t="str">
        <f>IFERROR(__xludf.DUMMYFUNCTION("IF(
  AND(D246=""Saída"", J246=""Sangria""),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2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270" t="str">
        <f>IFERROR(__xludf.DUMMYFUNCTION("IF(
  AND(D247=""Saída"", J247=""Sangria""),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74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270" t="str">
        <f>IFERROR(__xludf.DUMMYFUNCTION("IF(
  AND(D248=""Saída"", J248=""Sangria""),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2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270" t="str">
        <f>IFERROR(__xludf.DUMMYFUNCTION("IF(
  AND(D249=""Saída"", J249=""Sangria""),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74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270" t="str">
        <f>IFERROR(__xludf.DUMMYFUNCTION("IF(
  AND(D250=""Saída"", J250=""Sangria""),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2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270" t="str">
        <f>IFERROR(__xludf.DUMMYFUNCTION("IF(
  AND(D251=""Saída"", J251=""Sangria""),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74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270" t="str">
        <f>IFERROR(__xludf.DUMMYFUNCTION("IF(
  AND(D252=""Saída"", J252=""Sangria""),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2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270" t="str">
        <f>IFERROR(__xludf.DUMMYFUNCTION("IF(
  AND(D253=""Saída"", J253=""Sangria""),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74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270" t="str">
        <f>IFERROR(__xludf.DUMMYFUNCTION("IF(
  AND(D254=""Saída"", J254=""Sangria""),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2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270" t="str">
        <f>IFERROR(__xludf.DUMMYFUNCTION("IF(
  AND(D255=""Saída"", J255=""Sangria""),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74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270" t="str">
        <f>IFERROR(__xludf.DUMMYFUNCTION("IF(
  AND(D256=""Saída"", J256=""Sangria""),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2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270" t="str">
        <f>IFERROR(__xludf.DUMMYFUNCTION("IF(
  AND(D257=""Saída"", J257=""Sangria""),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74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270" t="str">
        <f>IFERROR(__xludf.DUMMYFUNCTION("IF(
  AND(D258=""Saída"", J258=""Sangria""),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2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270" t="str">
        <f>IFERROR(__xludf.DUMMYFUNCTION("IF(
  AND(D259=""Saída"", J259=""Sangria""),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74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270" t="str">
        <f>IFERROR(__xludf.DUMMYFUNCTION("IF(
  AND(D260=""Saída"", J260=""Sangria""),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2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270" t="str">
        <f>IFERROR(__xludf.DUMMYFUNCTION("IF(
  AND(D261=""Saída"", J261=""Sangria""),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74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270" t="str">
        <f>IFERROR(__xludf.DUMMYFUNCTION("IF(
  AND(D262=""Saída"", J262=""Sangria""),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2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270" t="str">
        <f>IFERROR(__xludf.DUMMYFUNCTION("IF(
  AND(D263=""Saída"", J263=""Sangria""),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74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270" t="str">
        <f>IFERROR(__xludf.DUMMYFUNCTION("IF(
  AND(D264=""Saída"", J264=""Sangria""),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2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270" t="str">
        <f>IFERROR(__xludf.DUMMYFUNCTION("IF(
  AND(D265=""Saída"", J265=""Sangria""),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74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270" t="str">
        <f>IFERROR(__xludf.DUMMYFUNCTION("IF(
  AND(D266=""Saída"", J266=""Sangria""),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2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270" t="str">
        <f>IFERROR(__xludf.DUMMYFUNCTION("IF(
  AND(D267=""Saída"", J267=""Sangria""),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74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270" t="str">
        <f>IFERROR(__xludf.DUMMYFUNCTION("IF(
  AND(D268=""Saída"", J268=""Sangria""),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2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270" t="str">
        <f>IFERROR(__xludf.DUMMYFUNCTION("IF(
  AND(D269=""Saída"", J269=""Sangria""),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74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270" t="str">
        <f>IFERROR(__xludf.DUMMYFUNCTION("IF(
  AND(D270=""Saída"", J270=""Sangria""),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2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270" t="str">
        <f>IFERROR(__xludf.DUMMYFUNCTION("IF(
  AND(D271=""Saída"", J271=""Sangria""),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74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270" t="str">
        <f>IFERROR(__xludf.DUMMYFUNCTION("IF(
  AND(D272=""Saída"", J272=""Sangria""),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2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270" t="str">
        <f>IFERROR(__xludf.DUMMYFUNCTION("IF(
  AND(D273=""Saída"", J273=""Sangria""),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74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270" t="str">
        <f>IFERROR(__xludf.DUMMYFUNCTION("IF(
  AND(D274=""Saída"", J274=""Sangria""),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2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270" t="str">
        <f>IFERROR(__xludf.DUMMYFUNCTION("IF(
  AND(D275=""Saída"", J275=""Sangria""),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74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270" t="str">
        <f>IFERROR(__xludf.DUMMYFUNCTION("IF(
  AND(D276=""Saída"", J276=""Sangria""),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2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270" t="str">
        <f>IFERROR(__xludf.DUMMYFUNCTION("IF(
  AND(D277=""Saída"", J277=""Sangria""),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74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270" t="str">
        <f>IFERROR(__xludf.DUMMYFUNCTION("IF(
  AND(D278=""Saída"", J278=""Sangria""),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2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270" t="str">
        <f>IFERROR(__xludf.DUMMYFUNCTION("IF(
  AND(D279=""Saída"", J279=""Sangria""),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74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270" t="str">
        <f>IFERROR(__xludf.DUMMYFUNCTION("IF(
  AND(D280=""Saída"", J280=""Sangria""),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2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270" t="str">
        <f>IFERROR(__xludf.DUMMYFUNCTION("IF(
  AND(D281=""Saída"", J281=""Sangria""),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74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270" t="str">
        <f>IFERROR(__xludf.DUMMYFUNCTION("IF(
  AND(D282=""Saída"", J282=""Sangria""),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2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270" t="str">
        <f>IFERROR(__xludf.DUMMYFUNCTION("IF(
  AND(D283=""Saída"", J283=""Sangria""),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74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270" t="str">
        <f>IFERROR(__xludf.DUMMYFUNCTION("IF(
  AND(D284=""Saída"", J284=""Sangria""),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2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270" t="str">
        <f>IFERROR(__xludf.DUMMYFUNCTION("IF(
  AND(D285=""Saída"", J285=""Sangria""),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74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270" t="str">
        <f>IFERROR(__xludf.DUMMYFUNCTION("IF(
  AND(D286=""Saída"", J286=""Sangria""),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2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270" t="str">
        <f>IFERROR(__xludf.DUMMYFUNCTION("IF(
  AND(D287=""Saída"", J287=""Sangria""),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74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270" t="str">
        <f>IFERROR(__xludf.DUMMYFUNCTION("IF(
  AND(D288=""Saída"", J288=""Sangria""),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2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270" t="str">
        <f>IFERROR(__xludf.DUMMYFUNCTION("IF(
  AND(D289=""Saída"", J289=""Sangria""),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74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270" t="str">
        <f>IFERROR(__xludf.DUMMYFUNCTION("IF(
  AND(D290=""Saída"", J290=""Sangria""),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2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270" t="str">
        <f>IFERROR(__xludf.DUMMYFUNCTION("IF(
  AND(D291=""Saída"", J291=""Sangria""),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74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270" t="str">
        <f>IFERROR(__xludf.DUMMYFUNCTION("IF(
  AND(D292=""Saída"", J292=""Sangria""),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2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270" t="str">
        <f>IFERROR(__xludf.DUMMYFUNCTION("IF(
  AND(D293=""Saída"", J293=""Sangria""),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74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270" t="str">
        <f>IFERROR(__xludf.DUMMYFUNCTION("IF(
  AND(D294=""Saída"", J294=""Sangria""),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2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270" t="str">
        <f>IFERROR(__xludf.DUMMYFUNCTION("IF(
  AND(D295=""Saída"", J295=""Sangria""),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74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270" t="str">
        <f>IFERROR(__xludf.DUMMYFUNCTION("IF(
  AND(D296=""Saída"", J296=""Sangria""),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2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270" t="str">
        <f>IFERROR(__xludf.DUMMYFUNCTION("IF(
  AND(D297=""Saída"", J297=""Sangria""),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74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270" t="str">
        <f>IFERROR(__xludf.DUMMYFUNCTION("IF(
  AND(D298=""Saída"", J298=""Sangria""),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2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270" t="str">
        <f>IFERROR(__xludf.DUMMYFUNCTION("IF(
  AND(D299=""Saída"", J299=""Sangria""),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74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270" t="str">
        <f>IFERROR(__xludf.DUMMYFUNCTION("IF(
  AND(D300=""Saída"", J300=""Sangria""),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2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270" t="str">
        <f>IFERROR(__xludf.DUMMYFUNCTION("IF(
  AND(D301=""Saída"", J301=""Sangria""),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74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270" t="str">
        <f>IFERROR(__xludf.DUMMYFUNCTION("IF(
  AND(D302=""Saída"", J302=""Sangria""),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2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270" t="str">
        <f>IFERROR(__xludf.DUMMYFUNCTION("IF(
  AND(D303=""Saída"", J303=""Sangria""),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74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270" t="str">
        <f>IFERROR(__xludf.DUMMYFUNCTION("IF(
  AND(D304=""Saída"", J304=""Sangria""),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2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270" t="str">
        <f>IFERROR(__xludf.DUMMYFUNCTION("IF(
  AND(D305=""Saída"", J305=""Sangria""),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74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270" t="str">
        <f>IFERROR(__xludf.DUMMYFUNCTION("IF(
  AND(D306=""Saída"", J306=""Sangria""),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2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270" t="str">
        <f>IFERROR(__xludf.DUMMYFUNCTION("IF(
  AND(D307=""Saída"", J307=""Sangria""),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74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270" t="str">
        <f>IFERROR(__xludf.DUMMYFUNCTION("IF(
  AND(D308=""Saída"", J308=""Sangria""),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2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270" t="str">
        <f>IFERROR(__xludf.DUMMYFUNCTION("IF(
  AND(D309=""Saída"", J309=""Sangria""),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74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270" t="str">
        <f>IFERROR(__xludf.DUMMYFUNCTION("IF(
  AND(D310=""Saída"", J310=""Sangria""),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2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270" t="str">
        <f>IFERROR(__xludf.DUMMYFUNCTION("IF(
  AND(D311=""Saída"", J311=""Sangria""),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74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270" t="str">
        <f>IFERROR(__xludf.DUMMYFUNCTION("IF(
  AND(D312=""Saída"", J312=""Sangria""),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2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270" t="str">
        <f>IFERROR(__xludf.DUMMYFUNCTION("IF(
  AND(D313=""Saída"", J313=""Sangria""),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74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270" t="str">
        <f>IFERROR(__xludf.DUMMYFUNCTION("IF(
  AND(D314=""Saída"", J314=""Sangria""),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2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270" t="str">
        <f>IFERROR(__xludf.DUMMYFUNCTION("IF(
  AND(D315=""Saída"", J315=""Sangria""),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74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270" t="str">
        <f>IFERROR(__xludf.DUMMYFUNCTION("IF(
  AND(D316=""Saída"", J316=""Sangria""),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2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270" t="str">
        <f>IFERROR(__xludf.DUMMYFUNCTION("IF(
  AND(D317=""Saída"", J317=""Sangria""),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74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270" t="str">
        <f>IFERROR(__xludf.DUMMYFUNCTION("IF(
  AND(D318=""Saída"", J318=""Sangria""),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2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270" t="str">
        <f>IFERROR(__xludf.DUMMYFUNCTION("IF(
  AND(D319=""Saída"", J319=""Sangria""),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74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270" t="str">
        <f>IFERROR(__xludf.DUMMYFUNCTION("IF(
  AND(D320=""Saída"", J320=""Sangria""),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2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270" t="str">
        <f>IFERROR(__xludf.DUMMYFUNCTION("IF(
  AND(D321=""Saída"", J321=""Sangria""),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74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270" t="str">
        <f>IFERROR(__xludf.DUMMYFUNCTION("IF(
  AND(D322=""Saída"", J322=""Sangria""),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2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270" t="str">
        <f>IFERROR(__xludf.DUMMYFUNCTION("IF(
  AND(D323=""Saída"", J323=""Sangria""),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74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270" t="str">
        <f>IFERROR(__xludf.DUMMYFUNCTION("IF(
  AND(D324=""Saída"", J324=""Sangria""),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2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270" t="str">
        <f>IFERROR(__xludf.DUMMYFUNCTION("IF(
  AND(D325=""Saída"", J325=""Sangria""),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74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270" t="str">
        <f>IFERROR(__xludf.DUMMYFUNCTION("IF(
  AND(D326=""Saída"", J326=""Sangria""),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2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270" t="str">
        <f>IFERROR(__xludf.DUMMYFUNCTION("IF(
  AND(D327=""Saída"", J327=""Sangria""),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74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270" t="str">
        <f>IFERROR(__xludf.DUMMYFUNCTION("IF(
  AND(D328=""Saída"", J328=""Sangria""),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2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270" t="str">
        <f>IFERROR(__xludf.DUMMYFUNCTION("IF(
  AND(D329=""Saída"", J329=""Sangria""),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74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270" t="str">
        <f>IFERROR(__xludf.DUMMYFUNCTION("IF(
  AND(D330=""Saída"", J330=""Sangria""),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2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270" t="str">
        <f>IFERROR(__xludf.DUMMYFUNCTION("IF(
  AND(D331=""Saída"", J331=""Sangria""),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74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270" t="str">
        <f>IFERROR(__xludf.DUMMYFUNCTION("IF(
  AND(D332=""Saída"", J332=""Sangria""),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2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270" t="str">
        <f>IFERROR(__xludf.DUMMYFUNCTION("IF(
  AND(D333=""Saída"", J333=""Sangria""),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74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270" t="str">
        <f>IFERROR(__xludf.DUMMYFUNCTION("IF(
  AND(D334=""Saída"", J334=""Sangria""),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2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270" t="str">
        <f>IFERROR(__xludf.DUMMYFUNCTION("IF(
  AND(D335=""Saída"", J335=""Sangria""),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74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270" t="str">
        <f>IFERROR(__xludf.DUMMYFUNCTION("IF(
  AND(D336=""Saída"", J336=""Sangria""),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2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270" t="str">
        <f>IFERROR(__xludf.DUMMYFUNCTION("IF(
  AND(D337=""Saída"", J337=""Sangria""),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74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270" t="str">
        <f>IFERROR(__xludf.DUMMYFUNCTION("IF(
  AND(D338=""Saída"", J338=""Sangria""),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2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270" t="str">
        <f>IFERROR(__xludf.DUMMYFUNCTION("IF(
  AND(D339=""Saída"", J339=""Sangria""),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74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270" t="str">
        <f>IFERROR(__xludf.DUMMYFUNCTION("IF(
  AND(D340=""Saída"", J340=""Sangria""),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2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270" t="str">
        <f>IFERROR(__xludf.DUMMYFUNCTION("IF(
  AND(D341=""Saída"", J341=""Sangria""),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74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270" t="str">
        <f>IFERROR(__xludf.DUMMYFUNCTION("IF(
  AND(D342=""Saída"", J342=""Sangria""),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2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270" t="str">
        <f>IFERROR(__xludf.DUMMYFUNCTION("IF(
  AND(D343=""Saída"", J343=""Sangria""),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74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270" t="str">
        <f>IFERROR(__xludf.DUMMYFUNCTION("IF(
  AND(D344=""Saída"", J344=""Sangria""),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2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270" t="str">
        <f>IFERROR(__xludf.DUMMYFUNCTION("IF(
  AND(D345=""Saída"", J345=""Sangria""),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74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270" t="str">
        <f>IFERROR(__xludf.DUMMYFUNCTION("IF(
  AND(D346=""Saída"", J346=""Sangria""),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2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270" t="str">
        <f>IFERROR(__xludf.DUMMYFUNCTION("IF(
  AND(D347=""Saída"", J347=""Sangria""),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74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270" t="str">
        <f>IFERROR(__xludf.DUMMYFUNCTION("IF(
  AND(D348=""Saída"", J348=""Sangria""),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2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270" t="str">
        <f>IFERROR(__xludf.DUMMYFUNCTION("IF(
  AND(D349=""Saída"", J349=""Sangria""),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74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270" t="str">
        <f>IFERROR(__xludf.DUMMYFUNCTION("IF(
  AND(D350=""Saída"", J350=""Sangria""),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2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270" t="str">
        <f>IFERROR(__xludf.DUMMYFUNCTION("IF(
  AND(D351=""Saída"", J351=""Sangria""),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74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270" t="str">
        <f>IFERROR(__xludf.DUMMYFUNCTION("IF(
  AND(D352=""Saída"", J352=""Sangria""),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2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270" t="str">
        <f>IFERROR(__xludf.DUMMYFUNCTION("IF(
  AND(D353=""Saída"", J353=""Sangria""),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74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270" t="str">
        <f>IFERROR(__xludf.DUMMYFUNCTION("IF(
  AND(D354=""Saída"", J354=""Sangria""),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2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270" t="str">
        <f>IFERROR(__xludf.DUMMYFUNCTION("IF(
  AND(D355=""Saída"", J355=""Sangria""),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74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270" t="str">
        <f>IFERROR(__xludf.DUMMYFUNCTION("IF(
  AND(D356=""Saída"", J356=""Sangria""),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2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270" t="str">
        <f>IFERROR(__xludf.DUMMYFUNCTION("IF(
  AND(D357=""Saída"", J357=""Sangria""),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74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270" t="str">
        <f>IFERROR(__xludf.DUMMYFUNCTION("IF(
  AND(D358=""Saída"", J358=""Sangria""),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2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270" t="str">
        <f>IFERROR(__xludf.DUMMYFUNCTION("IF(
  AND(D359=""Saída"", J359=""Sangria""),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74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270" t="str">
        <f>IFERROR(__xludf.DUMMYFUNCTION("IF(
  AND(D360=""Saída"", J360=""Sangria""),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2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270" t="str">
        <f>IFERROR(__xludf.DUMMYFUNCTION("IF(
  AND(D361=""Saída"", J361=""Sangria""),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74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270" t="str">
        <f>IFERROR(__xludf.DUMMYFUNCTION("IF(
  AND(D362=""Saída"", J362=""Sangria""),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2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270" t="str">
        <f>IFERROR(__xludf.DUMMYFUNCTION("IF(
  AND(D363=""Saída"", J363=""Sangria""),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74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270" t="str">
        <f>IFERROR(__xludf.DUMMYFUNCTION("IF(
  AND(D364=""Saída"", J364=""Sangria""),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2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270" t="str">
        <f>IFERROR(__xludf.DUMMYFUNCTION("IF(
  AND(D365=""Saída"", J365=""Sangria""),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74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270" t="str">
        <f>IFERROR(__xludf.DUMMYFUNCTION("IF(
  AND(D366=""Saída"", J366=""Sangria""),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2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270" t="str">
        <f>IFERROR(__xludf.DUMMYFUNCTION("IF(
  AND(D367=""Saída"", J367=""Sangria""),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74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270" t="str">
        <f>IFERROR(__xludf.DUMMYFUNCTION("IF(
  AND(D368=""Saída"", J368=""Sangria""),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2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270" t="str">
        <f>IFERROR(__xludf.DUMMYFUNCTION("IF(
  AND(D369=""Saída"", J369=""Sangria""),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74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270" t="str">
        <f>IFERROR(__xludf.DUMMYFUNCTION("IF(
  AND(D370=""Saída"", J370=""Sangria""),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2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270" t="str">
        <f>IFERROR(__xludf.DUMMYFUNCTION("IF(
  AND(D371=""Saída"", J371=""Sangria""),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74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270" t="str">
        <f>IFERROR(__xludf.DUMMYFUNCTION("IF(
  AND(D372=""Saída"", J372=""Sangria""),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2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270" t="str">
        <f>IFERROR(__xludf.DUMMYFUNCTION("IF(
  AND(D373=""Saída"", J373=""Sangria""),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74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270" t="str">
        <f>IFERROR(__xludf.DUMMYFUNCTION("IF(
  AND(D374=""Saída"", J374=""Sangria""),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2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270" t="str">
        <f>IFERROR(__xludf.DUMMYFUNCTION("IF(
  AND(D375=""Saída"", J375=""Sangria""),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74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270" t="str">
        <f>IFERROR(__xludf.DUMMYFUNCTION("IF(
  AND(D376=""Saída"", J376=""Sangria""),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2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270" t="str">
        <f>IFERROR(__xludf.DUMMYFUNCTION("IF(
  AND(D377=""Saída"", J377=""Sangria""),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74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270" t="str">
        <f>IFERROR(__xludf.DUMMYFUNCTION("IF(
  AND(D378=""Saída"", J378=""Sangria""),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2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270" t="str">
        <f>IFERROR(__xludf.DUMMYFUNCTION("IF(
  AND(D379=""Saída"", J379=""Sangria""),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74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270" t="str">
        <f>IFERROR(__xludf.DUMMYFUNCTION("IF(
  AND(D380=""Saída"", J380=""Sangria""),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2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270" t="str">
        <f>IFERROR(__xludf.DUMMYFUNCTION("IF(
  AND(D381=""Saída"", J381=""Sangria""),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74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270" t="str">
        <f>IFERROR(__xludf.DUMMYFUNCTION("IF(
  AND(D382=""Saída"", J382=""Sangria""),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2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270" t="str">
        <f>IFERROR(__xludf.DUMMYFUNCTION("IF(
  AND(D383=""Saída"", J383=""Sangria""),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74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270" t="str">
        <f>IFERROR(__xludf.DUMMYFUNCTION("IF(
  AND(D384=""Saída"", J384=""Sangria""),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2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270" t="str">
        <f>IFERROR(__xludf.DUMMYFUNCTION("IF(
  AND(D385=""Saída"", J385=""Sangria""),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74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270" t="str">
        <f>IFERROR(__xludf.DUMMYFUNCTION("IF(
  AND(D386=""Saída"", J386=""Sangria""),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2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270" t="str">
        <f>IFERROR(__xludf.DUMMYFUNCTION("IF(
  AND(D387=""Saída"", J387=""Sangria""),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74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270" t="str">
        <f>IFERROR(__xludf.DUMMYFUNCTION("IF(
  AND(D388=""Saída"", J388=""Sangria""),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2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270" t="str">
        <f>IFERROR(__xludf.DUMMYFUNCTION("IF(
  AND(D389=""Saída"", J389=""Sangria""),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74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270" t="str">
        <f>IFERROR(__xludf.DUMMYFUNCTION("IF(
  AND(D390=""Saída"", J390=""Sangria""),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2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270" t="str">
        <f>IFERROR(__xludf.DUMMYFUNCTION("IF(
  AND(D391=""Saída"", J391=""Sangria""),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74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270" t="str">
        <f>IFERROR(__xludf.DUMMYFUNCTION("IF(
  AND(D392=""Saída"", J392=""Sangria""),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2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270" t="str">
        <f>IFERROR(__xludf.DUMMYFUNCTION("IF(
  AND(D393=""Saída"", J393=""Sangria""),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74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270" t="str">
        <f>IFERROR(__xludf.DUMMYFUNCTION("IF(
  AND(D394=""Saída"", J394=""Sangria""),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2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270" t="str">
        <f>IFERROR(__xludf.DUMMYFUNCTION("IF(
  AND(D395=""Saída"", J395=""Sangria""),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74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270" t="str">
        <f>IFERROR(__xludf.DUMMYFUNCTION("IF(
  AND(D396=""Saída"", J396=""Sangria""),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2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270" t="str">
        <f>IFERROR(__xludf.DUMMYFUNCTION("IF(
  AND(D397=""Saída"", J397=""Sangria""),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74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270" t="str">
        <f>IFERROR(__xludf.DUMMYFUNCTION("IF(
  AND(D398=""Saída"", J398=""Sangria""),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2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270" t="str">
        <f>IFERROR(__xludf.DUMMYFUNCTION("IF(
  AND(D399=""Saída"", J399=""Sangria""),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74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270" t="str">
        <f>IFERROR(__xludf.DUMMYFUNCTION("IF(
  AND(D400=""Saída"", J400=""Sangria""),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2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270" t="str">
        <f>IFERROR(__xludf.DUMMYFUNCTION("IF(
  AND(D401=""Saída"", J401=""Sangria""),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74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270" t="str">
        <f>IFERROR(__xludf.DUMMYFUNCTION("IF(
  AND(D402=""Saída"", J402=""Sangria""),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2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270" t="str">
        <f>IFERROR(__xludf.DUMMYFUNCTION("IF(
  AND(D403=""Saída"", J403=""Sangria""),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74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270" t="str">
        <f>IFERROR(__xludf.DUMMYFUNCTION("IF(
  AND(D404=""Saída"", J404=""Sangria""),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2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270" t="str">
        <f>IFERROR(__xludf.DUMMYFUNCTION("IF(
  AND(D405=""Saída"", J405=""Sangria""),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74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270" t="str">
        <f>IFERROR(__xludf.DUMMYFUNCTION("IF(
  AND(D406=""Saída"", J406=""Sangria""),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2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270" t="str">
        <f>IFERROR(__xludf.DUMMYFUNCTION("IF(
  AND(D407=""Saída"", J407=""Sangria""),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74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270" t="str">
        <f>IFERROR(__xludf.DUMMYFUNCTION("IF(
  AND(D408=""Saída"", J408=""Sangria""),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2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270" t="str">
        <f>IFERROR(__xludf.DUMMYFUNCTION("IF(
  AND(D409=""Saída"", J409=""Sangria""),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74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270" t="str">
        <f>IFERROR(__xludf.DUMMYFUNCTION("IF(
  AND(D410=""Saída"", J410=""Sangria""),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2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270" t="str">
        <f>IFERROR(__xludf.DUMMYFUNCTION("IF(
  AND(D411=""Saída"", J411=""Sangria""),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74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270" t="str">
        <f>IFERROR(__xludf.DUMMYFUNCTION("IF(
  AND(D412=""Saída"", J412=""Sangria""),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2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270" t="str">
        <f>IFERROR(__xludf.DUMMYFUNCTION("IF(
  AND(D413=""Saída"", J413=""Sangria""),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74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270" t="str">
        <f>IFERROR(__xludf.DUMMYFUNCTION("IF(
  AND(D414=""Saída"", J414=""Sangria""),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2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270" t="str">
        <f>IFERROR(__xludf.DUMMYFUNCTION("IF(
  AND(D415=""Saída"", J415=""Sangria""),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74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270" t="str">
        <f>IFERROR(__xludf.DUMMYFUNCTION("IF(
  AND(D416=""Saída"", J416=""Sangria""),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2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270" t="str">
        <f>IFERROR(__xludf.DUMMYFUNCTION("IF(
  AND(D417=""Saída"", J417=""Sangria""),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74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270" t="str">
        <f>IFERROR(__xludf.DUMMYFUNCTION("IF(
  AND(D418=""Saída"", J418=""Sangria""),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2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270" t="str">
        <f>IFERROR(__xludf.DUMMYFUNCTION("IF(
  AND(D419=""Saída"", J419=""Sangria""),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74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270" t="str">
        <f>IFERROR(__xludf.DUMMYFUNCTION("IF(
  AND(D420=""Saída"", J420=""Sangria""),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2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270" t="str">
        <f>IFERROR(__xludf.DUMMYFUNCTION("IF(
  AND(D421=""Saída"", J421=""Sangria""),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74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270" t="str">
        <f>IFERROR(__xludf.DUMMYFUNCTION("IF(
  AND(D422=""Saída"", J422=""Sangria""),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2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270" t="str">
        <f>IFERROR(__xludf.DUMMYFUNCTION("IF(
  AND(D423=""Saída"", J423=""Sangria""),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74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270" t="str">
        <f>IFERROR(__xludf.DUMMYFUNCTION("IF(
  AND(D424=""Saída"", J424=""Sangria""),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2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270" t="str">
        <f>IFERROR(__xludf.DUMMYFUNCTION("IF(
  AND(D425=""Saída"", J425=""Sangria""),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74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270" t="str">
        <f>IFERROR(__xludf.DUMMYFUNCTION("IF(
  AND(D426=""Saída"", J426=""Sangria""),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2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270" t="str">
        <f>IFERROR(__xludf.DUMMYFUNCTION("IF(
  AND(D427=""Saída"", J427=""Sangria""),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74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270" t="str">
        <f>IFERROR(__xludf.DUMMYFUNCTION("IF(
  AND(D428=""Saída"", J428=""Sangria""),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2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270" t="str">
        <f>IFERROR(__xludf.DUMMYFUNCTION("IF(
  AND(D429=""Saída"", J429=""Sangria""),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74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270" t="str">
        <f>IFERROR(__xludf.DUMMYFUNCTION("IF(
  AND(D430=""Saída"", J430=""Sangria""),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2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270" t="str">
        <f>IFERROR(__xludf.DUMMYFUNCTION("IF(
  AND(D431=""Saída"", J431=""Sangria""),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74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270" t="str">
        <f>IFERROR(__xludf.DUMMYFUNCTION("IF(
  AND(D432=""Saída"", J432=""Sangria""),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2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270" t="str">
        <f>IFERROR(__xludf.DUMMYFUNCTION("IF(
  AND(D433=""Saída"", J433=""Sangria""),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74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270" t="str">
        <f>IFERROR(__xludf.DUMMYFUNCTION("IF(
  AND(D434=""Saída"", J434=""Sangria""),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2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270" t="str">
        <f>IFERROR(__xludf.DUMMYFUNCTION("IF(
  AND(D435=""Saída"", J435=""Sangria""),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74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270" t="str">
        <f>IFERROR(__xludf.DUMMYFUNCTION("IF(
  AND(D436=""Saída"", J436=""Sangria""),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2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270" t="str">
        <f>IFERROR(__xludf.DUMMYFUNCTION("IF(
  AND(D437=""Saída"", J437=""Sangria""),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74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270" t="str">
        <f>IFERROR(__xludf.DUMMYFUNCTION("IF(
  AND(D438=""Saída"", J438=""Sangria""),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2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270" t="str">
        <f>IFERROR(__xludf.DUMMYFUNCTION("IF(
  AND(D439=""Saída"", J439=""Sangria""),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74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270" t="str">
        <f>IFERROR(__xludf.DUMMYFUNCTION("IF(
  AND(D440=""Saída"", J440=""Sangria""),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2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270" t="str">
        <f>IFERROR(__xludf.DUMMYFUNCTION("IF(
  AND(D441=""Saída"", J441=""Sangria""),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74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270" t="str">
        <f>IFERROR(__xludf.DUMMYFUNCTION("IF(
  AND(D442=""Saída"", J442=""Sangria""),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2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270" t="str">
        <f>IFERROR(__xludf.DUMMYFUNCTION("IF(
  AND(D443=""Saída"", J443=""Sangria""),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74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270" t="str">
        <f>IFERROR(__xludf.DUMMYFUNCTION("IF(
  AND(D444=""Saída"", J444=""Sangria""),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2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270" t="str">
        <f>IFERROR(__xludf.DUMMYFUNCTION("IF(
  AND(D445=""Saída"", J445=""Sangria""),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74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270" t="str">
        <f>IFERROR(__xludf.DUMMYFUNCTION("IF(
  AND(D446=""Saída"", J446=""Sangria""),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2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270" t="str">
        <f>IFERROR(__xludf.DUMMYFUNCTION("IF(
  AND(D447=""Saída"", J447=""Sangria""),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74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270" t="str">
        <f>IFERROR(__xludf.DUMMYFUNCTION("IF(
  AND(D448=""Saída"", J448=""Sangria""),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2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270" t="str">
        <f>IFERROR(__xludf.DUMMYFUNCTION("IF(
  AND(D449=""Saída"", J449=""Sangria""),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74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270" t="str">
        <f>IFERROR(__xludf.DUMMYFUNCTION("IF(
  AND(D450=""Saída"", J450=""Sangria""),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2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270" t="str">
        <f>IFERROR(__xludf.DUMMYFUNCTION("IF(
  AND(D451=""Saída"", J451=""Sangria""),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74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270" t="str">
        <f>IFERROR(__xludf.DUMMYFUNCTION("IF(
  AND(D452=""Saída"", J452=""Sangria""),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2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270" t="str">
        <f>IFERROR(__xludf.DUMMYFUNCTION("IF(
  AND(D453=""Saída"", J453=""Sangria""),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74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270" t="str">
        <f>IFERROR(__xludf.DUMMYFUNCTION("IF(
  AND(D454=""Saída"", J454=""Sangria""),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2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270" t="str">
        <f>IFERROR(__xludf.DUMMYFUNCTION("IF(
  AND(D455=""Saída"", J455=""Sangria""),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74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270" t="str">
        <f>IFERROR(__xludf.DUMMYFUNCTION("IF(
  AND(D456=""Saída"", J456=""Sangria""),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2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270" t="str">
        <f>IFERROR(__xludf.DUMMYFUNCTION("IF(
  AND(D457=""Saída"", J457=""Sangria""),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74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270" t="str">
        <f>IFERROR(__xludf.DUMMYFUNCTION("IF(
  AND(D458=""Saída"", J458=""Sangria""),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2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270" t="str">
        <f>IFERROR(__xludf.DUMMYFUNCTION("IF(
  AND(D459=""Saída"", J459=""Sangria""),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74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270" t="str">
        <f>IFERROR(__xludf.DUMMYFUNCTION("IF(
  AND(D460=""Saída"", J460=""Sangria""),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2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270" t="str">
        <f>IFERROR(__xludf.DUMMYFUNCTION("IF(
  AND(D461=""Saída"", J461=""Sangria""),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74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270" t="str">
        <f>IFERROR(__xludf.DUMMYFUNCTION("IF(
  AND(D462=""Saída"", J462=""Sangria""),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2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270" t="str">
        <f>IFERROR(__xludf.DUMMYFUNCTION("IF(
  AND(D463=""Saída"", J463=""Sangria""),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74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270" t="str">
        <f>IFERROR(__xludf.DUMMYFUNCTION("IF(
  AND(D464=""Saída"", J464=""Sangria""),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2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270" t="str">
        <f>IFERROR(__xludf.DUMMYFUNCTION("IF(
  AND(D465=""Saída"", J465=""Sangria""),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74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270" t="str">
        <f>IFERROR(__xludf.DUMMYFUNCTION("IF(
  AND(D466=""Saída"", J466=""Sangria""),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2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270" t="str">
        <f>IFERROR(__xludf.DUMMYFUNCTION("IF(
  AND(D467=""Saída"", J467=""Sangria""),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74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270" t="str">
        <f>IFERROR(__xludf.DUMMYFUNCTION("IF(
  AND(D468=""Saída"", J468=""Sangria""),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2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270" t="str">
        <f>IFERROR(__xludf.DUMMYFUNCTION("IF(
  AND(D469=""Saída"", J469=""Sangria""),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74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270" t="str">
        <f>IFERROR(__xludf.DUMMYFUNCTION("IF(
  AND(D470=""Saída"", J470=""Sangria""),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2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270" t="str">
        <f>IFERROR(__xludf.DUMMYFUNCTION("IF(
  AND(D471=""Saída"", J471=""Sangria""),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74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270" t="str">
        <f>IFERROR(__xludf.DUMMYFUNCTION("IF(
  AND(D472=""Saída"", J472=""Sangria""),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2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270" t="str">
        <f>IFERROR(__xludf.DUMMYFUNCTION("IF(
  AND(D473=""Saída"", J473=""Sangria""),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74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270" t="str">
        <f>IFERROR(__xludf.DUMMYFUNCTION("IF(
  AND(D474=""Saída"", J474=""Sangria""),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2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270" t="str">
        <f>IFERROR(__xludf.DUMMYFUNCTION("IF(
  AND(D475=""Saída"", J475=""Sangria""),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74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270" t="str">
        <f>IFERROR(__xludf.DUMMYFUNCTION("IF(
  AND(D476=""Saída"", J476=""Sangria""),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2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270" t="str">
        <f>IFERROR(__xludf.DUMMYFUNCTION("IF(
  AND(D477=""Saída"", J477=""Sangria""),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74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270" t="str">
        <f>IFERROR(__xludf.DUMMYFUNCTION("IF(
  AND(D478=""Saída"", J478=""Sangria""),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2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270" t="str">
        <f>IFERROR(__xludf.DUMMYFUNCTION("IF(
  AND(D479=""Saída"", J479=""Sangria""),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74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270" t="str">
        <f>IFERROR(__xludf.DUMMYFUNCTION("IF(
  AND(D480=""Saída"", J480=""Sangria""),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2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270" t="str">
        <f>IFERROR(__xludf.DUMMYFUNCTION("IF(
  AND(D481=""Saída"", J481=""Sangria""),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74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270" t="str">
        <f>IFERROR(__xludf.DUMMYFUNCTION("IF(
  AND(D482=""Saída"", J482=""Sangria""),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2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270" t="str">
        <f>IFERROR(__xludf.DUMMYFUNCTION("IF(
  AND(D483=""Saída"", J483=""Sangria""),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74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270" t="str">
        <f>IFERROR(__xludf.DUMMYFUNCTION("IF(
  AND(D484=""Saída"", J484=""Sangria""),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2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270" t="str">
        <f>IFERROR(__xludf.DUMMYFUNCTION("IF(
  AND(D485=""Saída"", J485=""Sangria""),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74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270" t="str">
        <f>IFERROR(__xludf.DUMMYFUNCTION("IF(
  AND(D486=""Saída"", J486=""Sangria""),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2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270" t="str">
        <f>IFERROR(__xludf.DUMMYFUNCTION("IF(
  AND(D487=""Saída"", J487=""Sangria""),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74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270" t="str">
        <f>IFERROR(__xludf.DUMMYFUNCTION("IF(
  AND(D488=""Saída"", J488=""Sangria""),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2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270" t="str">
        <f>IFERROR(__xludf.DUMMYFUNCTION("IF(
  AND(D489=""Saída"", J489=""Sangria""),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74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270" t="str">
        <f>IFERROR(__xludf.DUMMYFUNCTION("IF(
  AND(D490=""Saída"", J490=""Sangria""),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2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270" t="str">
        <f>IFERROR(__xludf.DUMMYFUNCTION("IF(
  AND(D491=""Saída"", J491=""Sangria""),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74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270" t="str">
        <f>IFERROR(__xludf.DUMMYFUNCTION("IF(
  AND(D492=""Saída"", J492=""Sangria""),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2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270" t="str">
        <f>IFERROR(__xludf.DUMMYFUNCTION("IF(
  AND(D493=""Saída"", J493=""Sangria""),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74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270" t="str">
        <f>IFERROR(__xludf.DUMMYFUNCTION("IF(
  AND(D494=""Saída"", J494=""Sangria""),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2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270" t="str">
        <f>IFERROR(__xludf.DUMMYFUNCTION("IF(
  AND(D495=""Saída"", J495=""Sangria""),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74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270" t="str">
        <f>IFERROR(__xludf.DUMMYFUNCTION("IF(
  AND(D496=""Saída"", J496=""Sangria""),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2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270" t="str">
        <f>IFERROR(__xludf.DUMMYFUNCTION("IF(
  AND(D497=""Saída"", J497=""Sangria""),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74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270" t="str">
        <f>IFERROR(__xludf.DUMMYFUNCTION("IF(
  AND(D498=""Saída"", J498=""Sangria""),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2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270" t="str">
        <f>IFERROR(__xludf.DUMMYFUNCTION("IF(
  AND(D499=""Saída"", J499=""Sangria""),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74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270" t="str">
        <f>IFERROR(__xludf.DUMMYFUNCTION("IF(
  AND(D500=""Saída"", J500=""Sangria""),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2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270" t="str">
        <f>IFERROR(__xludf.DUMMYFUNCTION("IF(
  AND(D501=""Saída"", J501=""Sangria""),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74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270" t="str">
        <f>IFERROR(__xludf.DUMMYFUNCTION("IF(
  AND(D502=""Saída"", J502=""Sangria""),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2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270" t="str">
        <f>IFERROR(__xludf.DUMMYFUNCTION("IF(
  AND(D503=""Saída"", J503=""Sangria""),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74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270" t="str">
        <f>IFERROR(__xludf.DUMMYFUNCTION("IF(
  AND(D504=""Saída"", J504=""Sangria""),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2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5"/>
      <c r="B505" s="320"/>
      <c r="C505" s="255"/>
      <c r="D505" s="190"/>
      <c r="E505" s="257"/>
      <c r="F505" s="190"/>
      <c r="G505" s="258"/>
      <c r="H505" s="190"/>
      <c r="I505" s="190"/>
      <c r="J505" s="189"/>
      <c r="K505" s="189"/>
      <c r="L505" s="270" t="str">
        <f>IFERROR(__xludf.DUMMYFUNCTION("IF(
  AND(D505=""Saída"", J505=""Sangria""),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74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5"/>
      <c r="B506" s="320"/>
      <c r="C506" s="255"/>
      <c r="D506" s="190"/>
      <c r="E506" s="257"/>
      <c r="F506" s="190"/>
      <c r="G506" s="258"/>
      <c r="H506" s="190"/>
      <c r="I506" s="190"/>
      <c r="J506" s="189"/>
      <c r="K506" s="189"/>
      <c r="L506" s="270" t="str">
        <f>IFERROR(__xludf.DUMMYFUNCTION("IF(
  AND(D506=""Saída"", J506=""Sangria""),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2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5"/>
      <c r="B507" s="320"/>
      <c r="C507" s="255"/>
      <c r="D507" s="190"/>
      <c r="E507" s="257"/>
      <c r="F507" s="190"/>
      <c r="G507" s="258"/>
      <c r="H507" s="190"/>
      <c r="I507" s="190"/>
      <c r="J507" s="189"/>
      <c r="K507" s="189"/>
      <c r="L507" s="270" t="str">
        <f>IFERROR(__xludf.DUMMYFUNCTION("IF(
  AND(D507=""Saída"", J507=""Sangria""),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74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7:R37"/>
    <mergeCell ref="O59:T60"/>
    <mergeCell ref="S61:T61"/>
    <mergeCell ref="O106:V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52:U152"/>
    <mergeCell ref="S153:U153"/>
    <mergeCell ref="S154:U154"/>
    <mergeCell ref="S155:U155"/>
    <mergeCell ref="S156:U156"/>
    <mergeCell ref="S157:U157"/>
    <mergeCell ref="S158:U158"/>
    <mergeCell ref="S145:U145"/>
    <mergeCell ref="S146:U146"/>
    <mergeCell ref="S147:U147"/>
    <mergeCell ref="S148:U148"/>
    <mergeCell ref="S149:U149"/>
    <mergeCell ref="S150:U150"/>
    <mergeCell ref="S151:U151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7:W37"/>
  </mergeCells>
  <conditionalFormatting sqref="E29:E178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W4 L11 D20 O20:W20 O38:W38 U58:W58">
    <cfRule type="cellIs" dxfId="6" priority="10" operator="greaterThanOrEqual">
      <formula>500</formula>
    </cfRule>
  </conditionalFormatting>
  <conditionalFormatting sqref="L4:W4 L11 D20 O20:W20 O38:W38 U58:W58">
    <cfRule type="cellIs" dxfId="7" priority="11" operator="between">
      <formula>400</formula>
      <formula>500</formula>
    </cfRule>
  </conditionalFormatting>
  <conditionalFormatting sqref="E29:E507">
    <cfRule type="containsText" dxfId="9" priority="12" operator="containsText" text="R$">
      <formula>NOT(ISERROR(SEARCH(("R$"),(E29))))</formula>
    </cfRule>
  </conditionalFormatting>
  <conditionalFormatting sqref="B29:K507">
    <cfRule type="expression" dxfId="5" priority="13">
      <formula>and($J$29:$J$504="Sangria",$D$29:$D$504="Saída")</formula>
    </cfRule>
  </conditionalFormatting>
  <conditionalFormatting sqref="K29:K507">
    <cfRule type="expression" dxfId="10" priority="14">
      <formula>or($J$29:$J$218="Compra Moedas",$J$29:$J$218="Cortesias",$J$29:$J$218="Troco")</formula>
    </cfRule>
  </conditionalFormatting>
  <conditionalFormatting sqref="K29:K507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7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1">
      <formula>and($C$29:$C$218="",or($D$29:$D$218="Entrada",$D$29:$D$218="Saída"))</formula>
    </cfRule>
  </conditionalFormatting>
  <conditionalFormatting sqref="I29:I507">
    <cfRule type="expression" dxfId="8" priority="22">
      <formula>and(K29 = "",or(J29="Consumo",J29="Adiantamento"))</formula>
    </cfRule>
  </conditionalFormatting>
  <conditionalFormatting sqref="M29:M507">
    <cfRule type="cellIs" dxfId="8" priority="23" operator="equal">
      <formula>"Não Encontrada"</formula>
    </cfRule>
  </conditionalFormatting>
  <conditionalFormatting sqref="L29:L507">
    <cfRule type="cellIs" dxfId="8" priority="24" operator="equal">
      <formula>"Caixa Sangria"</formula>
    </cfRule>
  </conditionalFormatting>
  <dataValidations>
    <dataValidation type="list" allowBlank="1" showErrorMessage="1" sqref="K29:K507">
      <formula1>'NOVEMBRO 2025'!$B$4:$B$16</formula1>
    </dataValidation>
    <dataValidation type="list" allowBlank="1" showErrorMessage="1" sqref="J29:J176 J178:J179 J181:J190 J192:J195 J197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3.25"/>
    <col customWidth="1" min="15" max="15" width="10.13"/>
    <col customWidth="1" min="16" max="16" width="12.0"/>
    <col customWidth="1" min="17" max="17" width="12.75"/>
    <col customWidth="1" min="18" max="18" width="14.63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26"/>
      <c r="O2" s="30" t="s">
        <v>1840</v>
      </c>
      <c r="P2" s="28"/>
      <c r="Q2" s="28"/>
      <c r="R2" s="28"/>
      <c r="S2" s="28"/>
      <c r="T2" s="28"/>
      <c r="U2" s="28"/>
      <c r="V2" s="28"/>
      <c r="W2" s="29"/>
    </row>
    <row r="3">
      <c r="A3" s="31" t="s">
        <v>1847</v>
      </c>
      <c r="B3" s="32"/>
      <c r="C3" s="33" t="str">
        <f>B4</f>
        <v>Marcelo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>Helena Cardoso</v>
      </c>
      <c r="J3" s="32"/>
      <c r="K3" s="34" t="str">
        <f>B8</f>
        <v>Gabriel Azevedo</v>
      </c>
      <c r="L3" s="35"/>
      <c r="M3" s="36"/>
      <c r="N3" s="36"/>
      <c r="O3" s="37" t="str">
        <f>B4</f>
        <v>Marcelo</v>
      </c>
      <c r="P3" s="28"/>
      <c r="Q3" s="28"/>
      <c r="R3" s="29"/>
      <c r="S3" s="38"/>
      <c r="T3" s="39" t="str">
        <f>B5</f>
        <v>Mariane</v>
      </c>
      <c r="U3" s="28"/>
      <c r="V3" s="28"/>
      <c r="W3" s="29"/>
    </row>
    <row r="4" ht="15.75" customHeight="1">
      <c r="A4" s="40" t="s">
        <v>132</v>
      </c>
      <c r="B4" s="41" t="s">
        <v>6576</v>
      </c>
      <c r="C4" s="42" t="s">
        <v>1900</v>
      </c>
      <c r="D4" s="43">
        <f>SUMIFS(N29:N504,J29:J504,C4,K29:K504,C3)+SUMIF(Q62:Q104,A4,R62:R104)+D9</f>
        <v>0</v>
      </c>
      <c r="E4" s="44" t="s">
        <v>1900</v>
      </c>
      <c r="F4" s="43">
        <f>SUMIFS(N29:N504,J29:J504,E4,K29:K504,E3)+SUMIF(Q62:Q104,A5,R62:R104)+F9</f>
        <v>0</v>
      </c>
      <c r="G4" s="44" t="s">
        <v>1900</v>
      </c>
      <c r="H4" s="43">
        <f>SUMIFS(N29:N504,J29:J504,C4,K29:K504,G3)+SUMIF(Q62:Q104,A6,R62:R104)+H9</f>
        <v>0</v>
      </c>
      <c r="I4" s="44" t="s">
        <v>1900</v>
      </c>
      <c r="J4" s="43">
        <f>SUMIFS(N29:N504,J29:J504,C4,K29:K504,I3)+SUMIF(Q62:Q104,A7,R62:R104)+J9</f>
        <v>0</v>
      </c>
      <c r="K4" s="44" t="s">
        <v>1900</v>
      </c>
      <c r="L4" s="45">
        <f>SUMIFS(N29:N504,J29:J504,C4,K29:K504,K3)+SUMIF(Q62:Q104,A8,R62:R104)+L9</f>
        <v>0</v>
      </c>
      <c r="M4" s="26"/>
      <c r="N4" s="26"/>
      <c r="O4" s="46" t="str">
        <f>IFERROR(__xludf.DUMMYFUNCTION("query(C28:L507,""select Col1,Col3,Col8,Col9 where (Col8 = 'Adiantamento' or Col8 = 'Consumo') and Col9 = '""&amp;B4&amp;""'"",1)"),"Data")</f>
        <v>Data</v>
      </c>
      <c r="P4" s="47" t="str">
        <f>IFERROR(__xludf.DUMMYFUNCTION("""COMPUTED_VALUE"""),"Valor ")</f>
        <v>Valor </v>
      </c>
      <c r="Q4" s="47" t="str">
        <f>IFERROR(__xludf.DUMMYFUNCTION("""COMPUTED_VALUE"""),"Tipo")</f>
        <v>Tipo</v>
      </c>
      <c r="R4" s="48" t="str">
        <f>IFERROR(__xludf.DUMMYFUNCTION("""COMPUTED_VALUE"""),"Funcionário")</f>
        <v>Funcionário</v>
      </c>
      <c r="S4" s="49"/>
      <c r="T4" s="50" t="str">
        <f>IFERROR(__xludf.DUMMYFUNCTION("query(C28:L507,""select Col1,Col3,Col8,Col9 where (Col8 = 'Adiantamento' or Col8 = 'Consumo') and Col9 = '""&amp;B5&amp;""'"",1)"),"Data")</f>
        <v>Data</v>
      </c>
      <c r="U4" s="50" t="str">
        <f>IFERROR(__xludf.DUMMYFUNCTION("""COMPUTED_VALUE"""),"Valor ")</f>
        <v>Valor </v>
      </c>
      <c r="V4" s="50" t="str">
        <f>IFERROR(__xludf.DUMMYFUNCTION("""COMPUTED_VALUE"""),"Tipo")</f>
        <v>Tipo</v>
      </c>
      <c r="W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SUMIFS(N29:N504,J29:J504,C5,K29:K504,C3)</f>
        <v>0</v>
      </c>
      <c r="E5" s="44" t="s">
        <v>2019</v>
      </c>
      <c r="F5" s="43">
        <f>SUMIFS(N29:N504,J29:J504,C5,K29:K504,E3)</f>
        <v>0</v>
      </c>
      <c r="G5" s="44" t="s">
        <v>2019</v>
      </c>
      <c r="H5" s="43">
        <f>SUMIFS(N29:N504,J29:J504,C5,K29:K504,G3)</f>
        <v>159.87</v>
      </c>
      <c r="I5" s="44" t="s">
        <v>2019</v>
      </c>
      <c r="J5" s="43">
        <f>SUMIFS(N29:N504,J29:J504,C5,K29:K504,I3)</f>
        <v>138.27</v>
      </c>
      <c r="K5" s="44" t="s">
        <v>2019</v>
      </c>
      <c r="L5" s="45">
        <f>SUMIFS(N29:N504,J29:J504,C5,K29:K504,K3)</f>
        <v>80.01</v>
      </c>
      <c r="M5" s="26"/>
      <c r="N5" s="26"/>
      <c r="O5" s="52"/>
      <c r="P5" s="53"/>
      <c r="Q5" s="53"/>
      <c r="R5" s="54"/>
      <c r="S5" s="55"/>
      <c r="T5" s="53"/>
      <c r="U5" s="53"/>
      <c r="V5" s="53"/>
      <c r="W5" s="54"/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0</v>
      </c>
      <c r="G6" s="44" t="s">
        <v>2079</v>
      </c>
      <c r="H6" s="43">
        <f>H5*0.8</f>
        <v>127.896</v>
      </c>
      <c r="I6" s="44" t="s">
        <v>2079</v>
      </c>
      <c r="J6" s="43">
        <f>J5*0.8</f>
        <v>110.616</v>
      </c>
      <c r="K6" s="57" t="s">
        <v>2079</v>
      </c>
      <c r="L6" s="45">
        <f>L5*0.8</f>
        <v>64.008</v>
      </c>
      <c r="M6" s="26"/>
      <c r="N6" s="26"/>
      <c r="O6" s="52"/>
      <c r="P6" s="53"/>
      <c r="Q6" s="53"/>
      <c r="R6" s="54"/>
      <c r="S6" s="55"/>
      <c r="T6" s="53"/>
      <c r="U6" s="53"/>
      <c r="V6" s="53"/>
      <c r="W6" s="54"/>
    </row>
    <row r="7" ht="14.25" customHeight="1">
      <c r="A7" s="40" t="s">
        <v>754</v>
      </c>
      <c r="B7" s="41" t="s">
        <v>2117</v>
      </c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62"/>
      <c r="O7" s="52"/>
      <c r="P7" s="53"/>
      <c r="Q7" s="53"/>
      <c r="R7" s="54"/>
      <c r="S7" s="55"/>
      <c r="T7" s="53"/>
      <c r="U7" s="53"/>
      <c r="V7" s="53"/>
      <c r="W7" s="54"/>
    </row>
    <row r="8" ht="14.25" customHeight="1">
      <c r="A8" s="16" t="s">
        <v>6077</v>
      </c>
      <c r="B8" s="41" t="s">
        <v>6745</v>
      </c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69"/>
      <c r="O8" s="52"/>
      <c r="P8" s="53"/>
      <c r="Q8" s="53"/>
      <c r="R8" s="54"/>
      <c r="S8" s="55"/>
      <c r="T8" s="53"/>
      <c r="U8" s="53"/>
      <c r="V8" s="53"/>
      <c r="W8" s="54"/>
    </row>
    <row r="9">
      <c r="A9" s="40" t="s">
        <v>6086</v>
      </c>
      <c r="B9" s="41" t="s">
        <v>6746</v>
      </c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69"/>
      <c r="O9" s="52"/>
      <c r="P9" s="53"/>
      <c r="Q9" s="53"/>
      <c r="R9" s="54"/>
      <c r="S9" s="55"/>
      <c r="T9" s="53"/>
      <c r="U9" s="53"/>
      <c r="V9" s="53"/>
      <c r="W9" s="54"/>
    </row>
    <row r="10" ht="21.75" customHeight="1">
      <c r="A10" s="40"/>
      <c r="B10" s="41"/>
      <c r="C10" s="75" t="str">
        <f>B9</f>
        <v>William Fonseca</v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25"/>
      <c r="O10" s="52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1900</v>
      </c>
      <c r="D11" s="85">
        <f>SUMIFS(N29:N514,J29:J514,C11,K29:K514,C10)+SUMIF(Q62:Q104,A9,R62:R104)+D16</f>
        <v>0</v>
      </c>
      <c r="E11" s="86" t="s">
        <v>1900</v>
      </c>
      <c r="F11" s="85">
        <f>SUMIFS(N29:N514,J29:J514,E11,K29:K514,E10)+SUMIF(Q62:Q104,A10,R62:R104)+F16</f>
        <v>0</v>
      </c>
      <c r="G11" s="86" t="s">
        <v>1900</v>
      </c>
      <c r="H11" s="85">
        <f>SUMIFS(N29:N514,J29:J514,C11,K29:K514,G10)+SUMIF(Q62:Q104,A11,R62:R104)+H16</f>
        <v>0</v>
      </c>
      <c r="I11" s="86" t="s">
        <v>1900</v>
      </c>
      <c r="J11" s="85">
        <f>SUMIFS(N29:N514,J29:J514,C11,K29:K514,I10)+SUMIF(Q62:Q104,A11,R62:R104)+J16</f>
        <v>0</v>
      </c>
      <c r="K11" s="86" t="s">
        <v>1900</v>
      </c>
      <c r="L11" s="87">
        <f>SUMIFS(N29:N514,J29:J514,C11,K29:K514,K10)+SUMIF(Q62:Q104,A13,R62:R104)+L16</f>
        <v>0</v>
      </c>
      <c r="M11" s="25"/>
      <c r="N11" s="25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2019</v>
      </c>
      <c r="D12" s="85">
        <f>SUMIFS(N36:N514,J36:J514,C12,K36:K514,C10)</f>
        <v>61.48</v>
      </c>
      <c r="E12" s="86" t="s">
        <v>2019</v>
      </c>
      <c r="F12" s="85">
        <f>SUMIFS(N29:N514,J29:J514,C12,K29:K514,E10)</f>
        <v>0</v>
      </c>
      <c r="G12" s="86" t="s">
        <v>2019</v>
      </c>
      <c r="H12" s="85">
        <f>SUMIFS(N36:N514,J36:J514,C12,K36:K514,G10)</f>
        <v>0</v>
      </c>
      <c r="I12" s="86" t="s">
        <v>2019</v>
      </c>
      <c r="J12" s="85">
        <f>SUMIFS(N29:N514,J29:J514,C12,K29:K514,I10)</f>
        <v>0</v>
      </c>
      <c r="K12" s="86" t="s">
        <v>2019</v>
      </c>
      <c r="L12" s="87">
        <f>SUMIFS(N29:N514,J29:J514,C12,K29:K514,K10)</f>
        <v>0</v>
      </c>
      <c r="M12" s="25"/>
      <c r="N12" s="25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92"/>
      <c r="B13" s="93"/>
      <c r="C13" s="84" t="s">
        <v>2079</v>
      </c>
      <c r="D13" s="85">
        <f>D12*0.8</f>
        <v>49.184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25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25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25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25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25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25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4"/>
      <c r="B19" s="24"/>
      <c r="C19" s="112"/>
      <c r="D19" s="113"/>
      <c r="E19" s="112"/>
      <c r="F19" s="114"/>
      <c r="G19" s="266" t="s">
        <v>6509</v>
      </c>
      <c r="H19" s="116">
        <f>SUMIF(L29:L499,G19,N29:N499)</f>
        <v>750</v>
      </c>
      <c r="I19" s="117" t="s">
        <v>2436</v>
      </c>
      <c r="J19" s="118" t="s">
        <v>2438</v>
      </c>
      <c r="K19" s="119" t="s">
        <v>2440</v>
      </c>
      <c r="L19" s="113"/>
      <c r="M19" s="25"/>
      <c r="N19" s="25"/>
      <c r="O19" s="123" t="str">
        <f>B6</f>
        <v>Isabeli Grassmann</v>
      </c>
      <c r="P19" s="106"/>
      <c r="Q19" s="106"/>
      <c r="R19" s="124"/>
      <c r="S19" s="122"/>
      <c r="T19" s="123" t="str">
        <f>B7</f>
        <v>Helena Cardoso</v>
      </c>
      <c r="U19" s="106"/>
      <c r="V19" s="106"/>
      <c r="W19" s="124"/>
    </row>
    <row r="20">
      <c r="A20" s="125"/>
      <c r="B20" s="125"/>
      <c r="C20" s="126" t="s">
        <v>1900</v>
      </c>
      <c r="D20" s="127">
        <f>SUMIFS(N29:N504,J29:J504,C20,K29:K504,C19)+SUMIF(Q68:Q104,A9,R68:R104)+D25</f>
        <v>0</v>
      </c>
      <c r="E20" s="126" t="s">
        <v>1900</v>
      </c>
      <c r="F20" s="128">
        <f>SUMIFS(N29:N504,J29:J504,C20,K29:K504,E19)+SUMIF(Q68:Q104,A10,R68:R104)+F25</f>
        <v>0</v>
      </c>
      <c r="G20" s="129" t="s">
        <v>2473</v>
      </c>
      <c r="H20" s="130">
        <v>8450.0</v>
      </c>
      <c r="I20" s="131">
        <f>SUMIF(J29:J504,I19,N29:N504)</f>
        <v>120</v>
      </c>
      <c r="J20" s="132">
        <f>SUMIF(J29:J504,J19,N29:N504)</f>
        <v>963.89</v>
      </c>
      <c r="K20" s="133" t="s">
        <v>2491</v>
      </c>
      <c r="L20" s="134"/>
      <c r="M20" s="25"/>
      <c r="N20" s="25"/>
      <c r="O20" s="50" t="str">
        <f>IFERROR(__xludf.DUMMYFUNCTION("query(C28:L507,""select Col1,Col3,Col8,Col9 where (Col8 = 'Adiantamento' or Col8 = 'Consumo') and Col9 = '""&amp;B6&amp;""'"",1)"),"Data")</f>
        <v>Data</v>
      </c>
      <c r="P20" s="50" t="str">
        <f>IFERROR(__xludf.DUMMYFUNCTION("""COMPUTED_VALUE"""),"Valor ")</f>
        <v>Valor </v>
      </c>
      <c r="Q20" s="50" t="str">
        <f>IFERROR(__xludf.DUMMYFUNCTION("""COMPUTED_VALUE"""),"Tipo")</f>
        <v>Tipo</v>
      </c>
      <c r="R20" s="51" t="str">
        <f>IFERROR(__xludf.DUMMYFUNCTION("""COMPUTED_VALUE"""),"Funcionário")</f>
        <v>Funcionário</v>
      </c>
      <c r="S20" s="49"/>
      <c r="T20" s="50" t="str">
        <f>IFERROR(__xludf.DUMMYFUNCTION("query(C28:L507,""select Col1,Col3,Col8,Col9 where (Col8 = 'Adiantamento' or Col8 = 'Consumo') and Col9 = '""&amp;B7&amp;""'"",1)"),"Data")</f>
        <v>Data</v>
      </c>
      <c r="U20" s="50" t="str">
        <f>IFERROR(__xludf.DUMMYFUNCTION("""COMPUTED_VALUE"""),"Valor ")</f>
        <v>Valor </v>
      </c>
      <c r="V20" s="50" t="str">
        <f>IFERROR(__xludf.DUMMYFUNCTION("""COMPUTED_VALUE"""),"Tipo")</f>
        <v>Tipo</v>
      </c>
      <c r="W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SUMIFS(N29:N504,J29:J504,C21,K29:K504,C19)</f>
        <v>0</v>
      </c>
      <c r="E21" s="126" t="s">
        <v>2019</v>
      </c>
      <c r="F21" s="128">
        <f>SUMIFS(N29:N504,J29:J504,E21,K29:K504,E19)</f>
        <v>0</v>
      </c>
      <c r="G21" s="86" t="s">
        <v>2522</v>
      </c>
      <c r="H21" s="127">
        <f>SUMIFS(N29:N504,D29:D504,"Saída",J29:J504,"Sangria")</f>
        <v>46640</v>
      </c>
      <c r="I21" s="138"/>
      <c r="J21" s="139"/>
      <c r="K21" s="133" t="s">
        <v>2530</v>
      </c>
      <c r="L21" s="134"/>
      <c r="M21" s="25"/>
      <c r="N21" s="25"/>
      <c r="O21" s="238">
        <f>IFERROR(__xludf.DUMMYFUNCTION("""COMPUTED_VALUE"""),45987.73966435185)</f>
        <v>45987.73966</v>
      </c>
      <c r="P21" s="53" t="str">
        <f>IFERROR(__xludf.DUMMYFUNCTION("""COMPUTED_VALUE"""),"R$ 21,51")</f>
        <v>R$ 21,51</v>
      </c>
      <c r="Q21" s="53" t="str">
        <f>IFERROR(__xludf.DUMMYFUNCTION("""COMPUTED_VALUE"""),"Consumo")</f>
        <v>Consumo</v>
      </c>
      <c r="R21" s="54" t="str">
        <f>IFERROR(__xludf.DUMMYFUNCTION("""COMPUTED_VALUE"""),"Isabeli Grassmann")</f>
        <v>Isabeli Grassmann</v>
      </c>
      <c r="S21" s="55"/>
      <c r="T21" s="238">
        <f>IFERROR(__xludf.DUMMYFUNCTION("""COMPUTED_VALUE"""),45987.73918981482)</f>
        <v>45987.73919</v>
      </c>
      <c r="U21" s="53" t="str">
        <f>IFERROR(__xludf.DUMMYFUNCTION("""COMPUTED_VALUE"""),"R$ 13,33")</f>
        <v>R$ 13,33</v>
      </c>
      <c r="V21" s="53" t="str">
        <f>IFERROR(__xludf.DUMMYFUNCTION("""COMPUTED_VALUE"""),"Consumo")</f>
        <v>Consumo</v>
      </c>
      <c r="W21" s="54" t="str">
        <f>IFERROR(__xludf.DUMMYFUNCTION("""COMPUTED_VALUE"""),"Helena Cardoso")</f>
        <v>Helena Cardoso</v>
      </c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SUMIFS(N29:N504,D29:D504,"Entrada",J29:J504,"Sangria")</f>
        <v>0</v>
      </c>
      <c r="I22" s="144" t="s">
        <v>2556</v>
      </c>
      <c r="J22" s="145"/>
      <c r="K22" s="133" t="s">
        <v>2559</v>
      </c>
      <c r="L22" s="134"/>
      <c r="M22" s="25"/>
      <c r="N22" s="25"/>
      <c r="O22" s="238">
        <f>IFERROR(__xludf.DUMMYFUNCTION("""COMPUTED_VALUE"""),45989.03052083333)</f>
        <v>45989.03052</v>
      </c>
      <c r="P22" s="53" t="str">
        <f>IFERROR(__xludf.DUMMYFUNCTION("""COMPUTED_VALUE"""),"R$ 3,00")</f>
        <v>R$ 3,00</v>
      </c>
      <c r="Q22" s="53" t="str">
        <f>IFERROR(__xludf.DUMMYFUNCTION("""COMPUTED_VALUE"""),"Consumo")</f>
        <v>Consumo</v>
      </c>
      <c r="R22" s="54" t="str">
        <f>IFERROR(__xludf.DUMMYFUNCTION("""COMPUTED_VALUE"""),"Isabeli Grassmann")</f>
        <v>Isabeli Grassmann</v>
      </c>
      <c r="S22" s="55"/>
      <c r="T22" s="238">
        <f>IFERROR(__xludf.DUMMYFUNCTION("""COMPUTED_VALUE"""),45990.9780787037)</f>
        <v>45990.97808</v>
      </c>
      <c r="U22" s="53" t="str">
        <f>IFERROR(__xludf.DUMMYFUNCTION("""COMPUTED_VALUE"""),"R$ 13,71")</f>
        <v>R$ 13,71</v>
      </c>
      <c r="V22" s="53" t="str">
        <f>IFERROR(__xludf.DUMMYFUNCTION("""COMPUTED_VALUE"""),"Consumo")</f>
        <v>Consumo</v>
      </c>
      <c r="W22" s="54" t="str">
        <f>IFERROR(__xludf.DUMMYFUNCTION("""COMPUTED_VALUE"""),"Helena Cardoso")</f>
        <v>Helena Cardoso</v>
      </c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SUMIF(J29:J504,I22,N29:N504)</f>
        <v>0</v>
      </c>
      <c r="J23" s="152"/>
      <c r="K23" s="133" t="s">
        <v>2578</v>
      </c>
      <c r="L23" s="134"/>
      <c r="M23" s="25"/>
      <c r="N23" s="25"/>
      <c r="O23" s="238">
        <f>IFERROR(__xludf.DUMMYFUNCTION("""COMPUTED_VALUE"""),45993.802523148144)</f>
        <v>45993.80252</v>
      </c>
      <c r="P23" s="53" t="str">
        <f>IFERROR(__xludf.DUMMYFUNCTION("""COMPUTED_VALUE"""),"R$ 5,79")</f>
        <v>R$ 5,79</v>
      </c>
      <c r="Q23" s="53" t="str">
        <f>IFERROR(__xludf.DUMMYFUNCTION("""COMPUTED_VALUE"""),"Consumo")</f>
        <v>Consumo</v>
      </c>
      <c r="R23" s="54" t="str">
        <f>IFERROR(__xludf.DUMMYFUNCTION("""COMPUTED_VALUE"""),"Isabeli Grassmann")</f>
        <v>Isabeli Grassmann</v>
      </c>
      <c r="S23" s="55"/>
      <c r="T23" s="238">
        <f>IFERROR(__xludf.DUMMYFUNCTION("""COMPUTED_VALUE"""),45994.70731481482)</f>
        <v>45994.70731</v>
      </c>
      <c r="U23" s="53" t="str">
        <f>IFERROR(__xludf.DUMMYFUNCTION("""COMPUTED_VALUE"""),"R$ 17,49")</f>
        <v>R$ 17,49</v>
      </c>
      <c r="V23" s="53" t="str">
        <f>IFERROR(__xludf.DUMMYFUNCTION("""COMPUTED_VALUE"""),"Consumo")</f>
        <v>Consumo</v>
      </c>
      <c r="W23" s="54" t="str">
        <f>IFERROR(__xludf.DUMMYFUNCTION("""COMPUTED_VALUE"""),"Helena Cardoso")</f>
        <v>Helena Cardoso</v>
      </c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SUMIF(L29:L504,G24,N29:N504)</f>
        <v>0</v>
      </c>
      <c r="I24" s="157" t="s">
        <v>2593</v>
      </c>
      <c r="J24" s="150"/>
      <c r="K24" s="133" t="s">
        <v>2594</v>
      </c>
      <c r="L24" s="134"/>
      <c r="M24" s="25"/>
      <c r="N24" s="25"/>
      <c r="O24" s="238">
        <f>IFERROR(__xludf.DUMMYFUNCTION("""COMPUTED_VALUE"""),45994.80474537037)</f>
        <v>45994.80475</v>
      </c>
      <c r="P24" s="53" t="str">
        <f>IFERROR(__xludf.DUMMYFUNCTION("""COMPUTED_VALUE"""),"R$ 12,83")</f>
        <v>R$ 12,83</v>
      </c>
      <c r="Q24" s="53" t="str">
        <f>IFERROR(__xludf.DUMMYFUNCTION("""COMPUTED_VALUE"""),"Consumo")</f>
        <v>Consumo</v>
      </c>
      <c r="R24" s="54" t="str">
        <f>IFERROR(__xludf.DUMMYFUNCTION("""COMPUTED_VALUE"""),"Isabeli Grassmann")</f>
        <v>Isabeli Grassmann</v>
      </c>
      <c r="S24" s="55"/>
      <c r="T24" s="238">
        <f>IFERROR(__xludf.DUMMYFUNCTION("""COMPUTED_VALUE"""),45998.951319444444)</f>
        <v>45998.95132</v>
      </c>
      <c r="U24" s="53" t="str">
        <f>IFERROR(__xludf.DUMMYFUNCTION("""COMPUTED_VALUE"""),"R$ 44,28")</f>
        <v>R$ 44,28</v>
      </c>
      <c r="V24" s="53" t="str">
        <f>IFERROR(__xludf.DUMMYFUNCTION("""COMPUTED_VALUE"""),"Consumo")</f>
        <v>Consumo</v>
      </c>
      <c r="W24" s="54" t="str">
        <f>IFERROR(__xludf.DUMMYFUNCTION("""COMPUTED_VALUE"""),"Helena Cardoso")</f>
        <v>Helena Cardoso</v>
      </c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SUMIF(L29:L504,G25,N29:N504)</f>
        <v>0</v>
      </c>
      <c r="I25" s="151">
        <f>SUMIF(J29:J504,I24,N29:N504)</f>
        <v>0</v>
      </c>
      <c r="J25" s="152"/>
      <c r="K25" s="162"/>
      <c r="L25" s="163"/>
      <c r="M25" s="26"/>
      <c r="N25" s="26"/>
      <c r="O25" s="238">
        <f>IFERROR(__xludf.DUMMYFUNCTION("""COMPUTED_VALUE"""),46000.79429398148)</f>
        <v>46000.79429</v>
      </c>
      <c r="P25" s="53" t="str">
        <f>IFERROR(__xludf.DUMMYFUNCTION("""COMPUTED_VALUE"""),"R$ 27,05")</f>
        <v>R$ 27,05</v>
      </c>
      <c r="Q25" s="53" t="str">
        <f>IFERROR(__xludf.DUMMYFUNCTION("""COMPUTED_VALUE"""),"Consumo")</f>
        <v>Consumo</v>
      </c>
      <c r="R25" s="54" t="str">
        <f>IFERROR(__xludf.DUMMYFUNCTION("""COMPUTED_VALUE"""),"Isabeli Grassmann")</f>
        <v>Isabeli Grassmann</v>
      </c>
      <c r="S25" s="55"/>
      <c r="T25" s="238">
        <f>IFERROR(__xludf.DUMMYFUNCTION("""COMPUTED_VALUE"""),45999.95024305556)</f>
        <v>45999.95024</v>
      </c>
      <c r="U25" s="53" t="str">
        <f>IFERROR(__xludf.DUMMYFUNCTION("""COMPUTED_VALUE"""),"R$ 16,95")</f>
        <v>R$ 16,95</v>
      </c>
      <c r="V25" s="53" t="str">
        <f>IFERROR(__xludf.DUMMYFUNCTION("""COMPUTED_VALUE"""),"Consumo")</f>
        <v>Consumo</v>
      </c>
      <c r="W25" s="54" t="str">
        <f>IFERROR(__xludf.DUMMYFUNCTION("""COMPUTED_VALUE"""),"Helena Cardoso")</f>
        <v>Helena Cardoso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238">
        <f>IFERROR(__xludf.DUMMYFUNCTION("""COMPUTED_VALUE"""),46003.39579861111)</f>
        <v>46003.3958</v>
      </c>
      <c r="P26" s="79" t="str">
        <f>IFERROR(__xludf.DUMMYFUNCTION("""COMPUTED_VALUE"""),"R$ 5,00")</f>
        <v>R$ 5,00</v>
      </c>
      <c r="Q26" s="79" t="str">
        <f>IFERROR(__xludf.DUMMYFUNCTION("""COMPUTED_VALUE"""),"Consumo")</f>
        <v>Consumo</v>
      </c>
      <c r="R26" s="80" t="str">
        <f>IFERROR(__xludf.DUMMYFUNCTION("""COMPUTED_VALUE"""),"Isabeli Grassmann")</f>
        <v>Isabeli Grassmann</v>
      </c>
      <c r="S26" s="81"/>
      <c r="T26" s="238">
        <f>IFERROR(__xludf.DUMMYFUNCTION("""COMPUTED_VALUE"""),46007.96560185185)</f>
        <v>46007.9656</v>
      </c>
      <c r="U26" s="79" t="str">
        <f>IFERROR(__xludf.DUMMYFUNCTION("""COMPUTED_VALUE"""),"R$ 17,45")</f>
        <v>R$ 17,45</v>
      </c>
      <c r="V26" s="79" t="str">
        <f>IFERROR(__xludf.DUMMYFUNCTION("""COMPUTED_VALUE"""),"Consumo")</f>
        <v>Consumo</v>
      </c>
      <c r="W26" s="80" t="str">
        <f>IFERROR(__xludf.DUMMYFUNCTION("""COMPUTED_VALUE"""),"Helena Cardoso")</f>
        <v>Helena Cardoso</v>
      </c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04"/>
      <c r="N27" s="167"/>
      <c r="O27" s="267">
        <f>IFERROR(__xludf.DUMMYFUNCTION("""COMPUTED_VALUE"""),46007.9659837963)</f>
        <v>46007.96598</v>
      </c>
      <c r="P27" s="89" t="str">
        <f>IFERROR(__xludf.DUMMYFUNCTION("""COMPUTED_VALUE"""),"R$ 84,69")</f>
        <v>R$ 84,69</v>
      </c>
      <c r="Q27" s="89" t="str">
        <f>IFERROR(__xludf.DUMMYFUNCTION("""COMPUTED_VALUE"""),"Consumo")</f>
        <v>Consumo</v>
      </c>
      <c r="R27" s="90" t="str">
        <f>IFERROR(__xludf.DUMMYFUNCTION("""COMPUTED_VALUE"""),"Isabeli Grassmann")</f>
        <v>Isabeli Grassmann</v>
      </c>
      <c r="S27" s="91"/>
      <c r="T27" s="267">
        <f>IFERROR(__xludf.DUMMYFUNCTION("""COMPUTED_VALUE"""),46010.57564814815)</f>
        <v>46010.57565</v>
      </c>
      <c r="U27" s="89" t="str">
        <f>IFERROR(__xludf.DUMMYFUNCTION("""COMPUTED_VALUE"""),"R$ 5,00")</f>
        <v>R$ 5,00</v>
      </c>
      <c r="V27" s="89" t="str">
        <f>IFERROR(__xludf.DUMMYFUNCTION("""COMPUTED_VALUE"""),"Consumo")</f>
        <v>Consumo</v>
      </c>
      <c r="W27" s="90" t="str">
        <f>IFERROR(__xludf.DUMMYFUNCTION("""COMPUTED_VALUE"""),"Helena Cardoso")</f>
        <v>Helena Cardoso</v>
      </c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268" t="s">
        <v>2647</v>
      </c>
      <c r="M28" s="269" t="s">
        <v>8</v>
      </c>
      <c r="N28" s="167"/>
      <c r="O28" s="89"/>
      <c r="P28" s="89"/>
      <c r="Q28" s="89"/>
      <c r="R28" s="90"/>
      <c r="S28" s="91"/>
      <c r="T28" s="267">
        <f>IFERROR(__xludf.DUMMYFUNCTION("""COMPUTED_VALUE"""),46013.80635416666)</f>
        <v>46013.80635</v>
      </c>
      <c r="U28" s="89" t="str">
        <f>IFERROR(__xludf.DUMMYFUNCTION("""COMPUTED_VALUE"""),"R$ 10,06")</f>
        <v>R$ 10,06</v>
      </c>
      <c r="V28" s="89" t="str">
        <f>IFERROR(__xludf.DUMMYFUNCTION("""COMPUTED_VALUE"""),"Consumo")</f>
        <v>Consumo</v>
      </c>
      <c r="W28" s="90" t="str">
        <f>IFERROR(__xludf.DUMMYFUNCTION("""COMPUTED_VALUE"""),"Helena Cardoso")</f>
        <v>Helena Cardoso</v>
      </c>
    </row>
    <row r="29" ht="14.25" customHeight="1">
      <c r="A29" s="178"/>
      <c r="B29" s="12">
        <v>1821809.0</v>
      </c>
      <c r="C29" s="13">
        <v>45987.73918981481</v>
      </c>
      <c r="D29" s="179" t="s">
        <v>81</v>
      </c>
      <c r="E29" s="180" t="s">
        <v>6747</v>
      </c>
      <c r="F29" s="181"/>
      <c r="G29" s="179" t="s">
        <v>5810</v>
      </c>
      <c r="H29" s="182"/>
      <c r="I29" s="182"/>
      <c r="J29" s="183" t="s">
        <v>2019</v>
      </c>
      <c r="K29" s="183" t="s">
        <v>2117</v>
      </c>
      <c r="L29" s="270" t="str">
        <f>IFERROR(__xludf.DUMMYFUNCTION("IF(
  AND(D29=""Saída"", J29=""Sangria""),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IFERROR(__xludf.DUMMYFUNCTION("ifna(VALUE(REGEXEXTRACT(E29,""[0-9.]+[,]+[0-9]+"")))"),13.33)</f>
        <v>13.33</v>
      </c>
      <c r="O29" s="89"/>
      <c r="P29" s="89"/>
      <c r="Q29" s="89"/>
      <c r="R29" s="90"/>
      <c r="S29" s="91"/>
      <c r="T29" s="89"/>
      <c r="U29" s="89"/>
      <c r="V29" s="89"/>
      <c r="W29" s="90"/>
    </row>
    <row r="30" ht="14.25" customHeight="1">
      <c r="A30" s="178"/>
      <c r="B30" s="12">
        <v>1821811.0</v>
      </c>
      <c r="C30" s="13">
        <v>45987.73966435185</v>
      </c>
      <c r="D30" s="179" t="s">
        <v>81</v>
      </c>
      <c r="E30" s="180" t="s">
        <v>6748</v>
      </c>
      <c r="F30" s="181"/>
      <c r="G30" s="179" t="s">
        <v>585</v>
      </c>
      <c r="H30" s="186"/>
      <c r="I30" s="186"/>
      <c r="J30" s="187" t="s">
        <v>2019</v>
      </c>
      <c r="K30" s="187" t="s">
        <v>2078</v>
      </c>
      <c r="L30" s="270" t="str">
        <f>IFERROR(__xludf.DUMMYFUNCTION("IF(
  AND(D30=""Saída"", J30=""Sangria""),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2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85">
        <f>IFERROR(__xludf.DUMMYFUNCTION("ifna(VALUE(REGEXEXTRACT(E30,""[0-9.]+[,]+[0-9]+"")))"),21.51)</f>
        <v>21.51</v>
      </c>
      <c r="O30" s="89"/>
      <c r="P30" s="89"/>
      <c r="Q30" s="89"/>
      <c r="R30" s="90"/>
      <c r="S30" s="91"/>
      <c r="T30" s="89"/>
      <c r="U30" s="89"/>
      <c r="V30" s="89"/>
      <c r="W30" s="90"/>
    </row>
    <row r="31" ht="14.25" customHeight="1">
      <c r="A31" s="178"/>
      <c r="B31" s="12">
        <v>1822138.0</v>
      </c>
      <c r="C31" s="13">
        <v>45987.84775462963</v>
      </c>
      <c r="D31" s="179" t="s">
        <v>81</v>
      </c>
      <c r="E31" s="180" t="s">
        <v>86</v>
      </c>
      <c r="F31" s="181"/>
      <c r="G31" s="179" t="s">
        <v>388</v>
      </c>
      <c r="H31" s="186"/>
      <c r="I31" s="186"/>
      <c r="J31" s="187" t="s">
        <v>3151</v>
      </c>
      <c r="K31" s="187"/>
      <c r="L31" s="270" t="str">
        <f>IFERROR(__xludf.DUMMYFUNCTION("IF(
  AND(D31=""Saída"", J31=""Sangria""),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3" t="str">
        <f>IFERROR(__xludf.DUMMYFUNCTION("IF(J31=""Compra de Mercadorias"",
   IF(
      COUNTIF(ARRAYFORMULA(TRIM(CLEAN(TO_TEXT(Notas!BS:BS)))), TRIM(CLEAN(TO_TEXT(B31)))) &gt; 0,
      ""Encontrada"",
      ""Não Encontrada""
   ),
"""")"),"Não Encontrada")</f>
        <v>Não Encontrada</v>
      </c>
      <c r="N31" s="185">
        <f>IFERROR(__xludf.DUMMYFUNCTION("ifna(VALUE(REGEXEXTRACT(E31,""[0-9.]+[,]+[0-9]+"")))"),9.0)</f>
        <v>9</v>
      </c>
      <c r="O31" s="89"/>
      <c r="P31" s="89"/>
      <c r="Q31" s="89"/>
      <c r="R31" s="90"/>
      <c r="S31" s="91"/>
      <c r="T31" s="89"/>
      <c r="U31" s="89"/>
      <c r="V31" s="89"/>
      <c r="W31" s="90"/>
    </row>
    <row r="32" ht="14.25" customHeight="1">
      <c r="A32" s="178"/>
      <c r="B32" s="12">
        <v>1822141.0</v>
      </c>
      <c r="C32" s="13">
        <v>45987.8481712963</v>
      </c>
      <c r="D32" s="179" t="s">
        <v>81</v>
      </c>
      <c r="E32" s="180" t="s">
        <v>5289</v>
      </c>
      <c r="F32" s="181"/>
      <c r="G32" s="179" t="s">
        <v>6749</v>
      </c>
      <c r="H32" s="186"/>
      <c r="I32" s="186"/>
      <c r="J32" s="187"/>
      <c r="K32" s="187"/>
      <c r="L32" s="270" t="str">
        <f>IFERROR(__xludf.DUMMYFUNCTION("IF(
  AND(D32=""Saída"", J32=""Sangria""),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2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IFERROR(__xludf.DUMMYFUNCTION("ifna(VALUE(REGEXEXTRACT(E32,""[0-9.]+[,]+[0-9]+"")))"),0.01)</f>
        <v>0.01</v>
      </c>
      <c r="O32" s="89"/>
      <c r="P32" s="89"/>
      <c r="Q32" s="89"/>
      <c r="R32" s="90"/>
      <c r="S32" s="91"/>
      <c r="T32" s="89"/>
      <c r="U32" s="89"/>
      <c r="V32" s="89"/>
      <c r="W32" s="90"/>
    </row>
    <row r="33" ht="14.25" customHeight="1">
      <c r="A33" s="178"/>
      <c r="B33" s="12">
        <v>1822146.0</v>
      </c>
      <c r="C33" s="13">
        <v>45987.84945601852</v>
      </c>
      <c r="D33" s="179" t="s">
        <v>81</v>
      </c>
      <c r="E33" s="180" t="s">
        <v>6750</v>
      </c>
      <c r="F33" s="181"/>
      <c r="G33" s="179" t="s">
        <v>6751</v>
      </c>
      <c r="H33" s="186"/>
      <c r="I33" s="186"/>
      <c r="J33" s="187" t="s">
        <v>2438</v>
      </c>
      <c r="K33" s="187"/>
      <c r="L33" s="270" t="str">
        <f>IFERROR(__xludf.DUMMYFUNCTION("IF(
  AND(D33=""Saída"", J33=""Sangria""),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4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IFERROR(__xludf.DUMMYFUNCTION("ifna(VALUE(REGEXEXTRACT(E33,""[0-9.]+[,]+[0-9]+"")))"),34.22)</f>
        <v>34.22</v>
      </c>
      <c r="O33" s="89"/>
      <c r="P33" s="89"/>
      <c r="Q33" s="89"/>
      <c r="R33" s="90"/>
      <c r="S33" s="91"/>
      <c r="T33" s="89"/>
      <c r="U33" s="89"/>
      <c r="V33" s="89"/>
      <c r="W33" s="90"/>
    </row>
    <row r="34" ht="14.25" customHeight="1">
      <c r="A34" s="178"/>
      <c r="B34" s="12">
        <v>1822151.0</v>
      </c>
      <c r="C34" s="13">
        <v>45987.84982638889</v>
      </c>
      <c r="D34" s="179" t="s">
        <v>81</v>
      </c>
      <c r="E34" s="180" t="s">
        <v>6752</v>
      </c>
      <c r="F34" s="181"/>
      <c r="G34" s="179" t="s">
        <v>6753</v>
      </c>
      <c r="H34" s="186"/>
      <c r="I34" s="186"/>
      <c r="J34" s="187" t="s">
        <v>3151</v>
      </c>
      <c r="K34" s="187"/>
      <c r="L34" s="270" t="str">
        <f>IFERROR(__xludf.DUMMYFUNCTION("IF(
  AND(D34=""Saída"", J34=""Sangria""),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2" t="str">
        <f>IFERROR(__xludf.DUMMYFUNCTION("IF(J34=""Compra de Mercadorias"",
   IF(
      COUNTIF(ARRAYFORMULA(TRIM(CLEAN(TO_TEXT(Notas!BS:BS)))), TRIM(CLEAN(TO_TEXT(B34)))) &gt; 0,
      ""Encontrada"",
      ""Não Encontrada""
   ),
"""")"),"Não Encontrada")</f>
        <v>Não Encontrada</v>
      </c>
      <c r="N34" s="185">
        <f>IFERROR(__xludf.DUMMYFUNCTION("ifna(VALUE(REGEXEXTRACT(E34,""[0-9.]+[,]+[0-9]+"")))"),155.15)</f>
        <v>155.15</v>
      </c>
      <c r="O34" s="109"/>
      <c r="P34" s="109"/>
      <c r="Q34" s="109"/>
      <c r="R34" s="111"/>
      <c r="S34" s="110"/>
      <c r="T34" s="109"/>
      <c r="U34" s="109"/>
      <c r="V34" s="109"/>
      <c r="W34" s="111"/>
    </row>
    <row r="35" ht="18.75" customHeight="1">
      <c r="A35" s="178"/>
      <c r="B35" s="12">
        <v>1822155.0</v>
      </c>
      <c r="C35" s="13">
        <v>45987.85008101852</v>
      </c>
      <c r="D35" s="179" t="s">
        <v>81</v>
      </c>
      <c r="E35" s="180" t="s">
        <v>5496</v>
      </c>
      <c r="F35" s="181"/>
      <c r="G35" s="179" t="s">
        <v>6754</v>
      </c>
      <c r="H35" s="186"/>
      <c r="I35" s="186"/>
      <c r="J35" s="187" t="s">
        <v>3151</v>
      </c>
      <c r="K35" s="187"/>
      <c r="L35" s="270" t="str">
        <f>IFERROR(__xludf.DUMMYFUNCTION("IF(
  AND(D35=""Saída"", J35=""Sangria""),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74" t="str">
        <f>IFERROR(__xludf.DUMMYFUNCTION("IF(J35=""Compra de Mercadorias"",
   IF(
      COUNTIF(ARRAYFORMULA(TRIM(CLEAN(TO_TEXT(Notas!BS:BS)))), TRIM(CLEAN(TO_TEXT(B35)))) &gt; 0,
      ""Encontrada"",
      ""Não Encontrada""
   ),
"""")"),"Não Encontrada")</f>
        <v>Não Encontrada</v>
      </c>
      <c r="N35" s="185">
        <f>IFERROR(__xludf.DUMMYFUNCTION("ifna(VALUE(REGEXEXTRACT(E35,""[0-9.]+[,]+[0-9]+"")))"),24.0)</f>
        <v>24</v>
      </c>
      <c r="O35" s="275"/>
      <c r="P35" s="25"/>
      <c r="Q35" s="25"/>
      <c r="R35" s="25"/>
      <c r="S35" s="110"/>
      <c r="T35" s="25"/>
      <c r="U35" s="25"/>
      <c r="V35" s="25"/>
      <c r="W35" s="25"/>
    </row>
    <row r="36" ht="14.25" customHeight="1">
      <c r="A36" s="178"/>
      <c r="B36" s="12">
        <v>1822361.0</v>
      </c>
      <c r="C36" s="13">
        <v>45987.90452546296</v>
      </c>
      <c r="D36" s="179" t="s">
        <v>81</v>
      </c>
      <c r="E36" s="180" t="s">
        <v>4106</v>
      </c>
      <c r="F36" s="188"/>
      <c r="G36" s="179" t="s">
        <v>6755</v>
      </c>
      <c r="H36" s="186"/>
      <c r="I36" s="186"/>
      <c r="J36" s="187" t="s">
        <v>2735</v>
      </c>
      <c r="K36" s="187" t="s">
        <v>2018</v>
      </c>
      <c r="L36" s="270" t="str">
        <f>IFERROR(__xludf.DUMMYFUNCTION("IF(
  AND(D36=""Saída"", J36=""Sangria""),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"),"Confirmada")</f>
        <v>Confirmada</v>
      </c>
      <c r="M36" s="272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IFERROR(__xludf.DUMMYFUNCTION("ifna(VALUE(REGEXEXTRACT(E36,""[0-9.]+[,]+[0-9]+"")))"),750.0)</f>
        <v>750</v>
      </c>
      <c r="O36" s="25"/>
      <c r="P36" s="25"/>
      <c r="Q36" s="25"/>
      <c r="R36" s="25"/>
      <c r="S36" s="110"/>
      <c r="T36" s="25"/>
      <c r="U36" s="25"/>
      <c r="V36" s="25"/>
      <c r="W36" s="25"/>
    </row>
    <row r="37" ht="14.25" customHeight="1">
      <c r="A37" s="178"/>
      <c r="B37" s="12">
        <v>1823676.0</v>
      </c>
      <c r="C37" s="13">
        <v>45988.77122685185</v>
      </c>
      <c r="D37" s="179" t="s">
        <v>81</v>
      </c>
      <c r="E37" s="180" t="s">
        <v>6756</v>
      </c>
      <c r="F37" s="181"/>
      <c r="G37" s="179" t="s">
        <v>6757</v>
      </c>
      <c r="H37" s="186"/>
      <c r="I37" s="186"/>
      <c r="J37" s="187" t="s">
        <v>2438</v>
      </c>
      <c r="K37" s="187"/>
      <c r="L37" s="270" t="str">
        <f>IFERROR(__xludf.DUMMYFUNCTION("IF(
  AND(D37=""Saída"", J37=""Sangria""),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74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IFERROR(__xludf.DUMMYFUNCTION("ifna(VALUE(REGEXEXTRACT(E37,""[0-9.]+[,]+[0-9]+"")))"),64.41)</f>
        <v>64.41</v>
      </c>
      <c r="O37" s="193" t="str">
        <f>B8</f>
        <v>Gabriel Azevedo</v>
      </c>
      <c r="P37" s="106"/>
      <c r="Q37" s="106"/>
      <c r="R37" s="106"/>
      <c r="S37" s="110"/>
      <c r="T37" s="123" t="str">
        <f>B9</f>
        <v>William Fonseca</v>
      </c>
      <c r="U37" s="106"/>
      <c r="V37" s="106"/>
      <c r="W37" s="124"/>
    </row>
    <row r="38" ht="14.25" customHeight="1">
      <c r="A38" s="178"/>
      <c r="B38" s="12">
        <v>1823679.0</v>
      </c>
      <c r="C38" s="13">
        <v>45988.771458333336</v>
      </c>
      <c r="D38" s="179" t="s">
        <v>81</v>
      </c>
      <c r="E38" s="180" t="s">
        <v>6758</v>
      </c>
      <c r="F38" s="188"/>
      <c r="G38" s="179" t="s">
        <v>6759</v>
      </c>
      <c r="H38" s="186"/>
      <c r="I38" s="186"/>
      <c r="J38" s="187" t="s">
        <v>2438</v>
      </c>
      <c r="K38" s="187"/>
      <c r="L38" s="270" t="str">
        <f>IFERROR(__xludf.DUMMYFUNCTION("IF(
  AND(D38=""Saída"", J38=""Sangria""),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2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IFERROR(__xludf.DUMMYFUNCTION("ifna(VALUE(REGEXEXTRACT(E38,""[0-9.]+[,]+[0-9]+"")))"),7.04)</f>
        <v>7.04</v>
      </c>
      <c r="O38" s="46" t="str">
        <f>IFERROR(__xludf.DUMMYFUNCTION("query(C28:L507,""select Col1,Col3,Col8,Col9 where (Col8 = 'Adiantamento' or Col8 = 'Consumo') and Col9 = '""&amp;B8&amp;""'"",1)"),"Data")</f>
        <v>Data</v>
      </c>
      <c r="P38" s="47" t="str">
        <f>IFERROR(__xludf.DUMMYFUNCTION("""COMPUTED_VALUE"""),"Valor ")</f>
        <v>Valor </v>
      </c>
      <c r="Q38" s="47" t="str">
        <f>IFERROR(__xludf.DUMMYFUNCTION("""COMPUTED_VALUE"""),"Tipo")</f>
        <v>Tipo</v>
      </c>
      <c r="R38" s="47" t="str">
        <f>IFERROR(__xludf.DUMMYFUNCTION("""COMPUTED_VALUE"""),"Funcionário")</f>
        <v>Funcionário</v>
      </c>
      <c r="S38" s="49"/>
      <c r="T38" s="50" t="str">
        <f>IFERROR(__xludf.DUMMYFUNCTION("query(C28:L507,""select Col1,Col3,Col8,Col9 where (Col8 = 'Adiantamento' or Col8 = 'Consumo') and Col9 = '""&amp;B9&amp;""'"",1)"),"Data")</f>
        <v>Data</v>
      </c>
      <c r="U38" s="50" t="str">
        <f>IFERROR(__xludf.DUMMYFUNCTION("""COMPUTED_VALUE"""),"Valor ")</f>
        <v>Valor </v>
      </c>
      <c r="V38" s="50" t="str">
        <f>IFERROR(__xludf.DUMMYFUNCTION("""COMPUTED_VALUE"""),"Tipo")</f>
        <v>Tipo</v>
      </c>
      <c r="W38" s="51" t="str">
        <f>IFERROR(__xludf.DUMMYFUNCTION("""COMPUTED_VALUE"""),"Funcionário")</f>
        <v>Funcionário</v>
      </c>
    </row>
    <row r="39" ht="21.75" customHeight="1">
      <c r="A39" s="178"/>
      <c r="B39" s="12">
        <v>1824596.0</v>
      </c>
      <c r="C39" s="13">
        <v>45989.03052083333</v>
      </c>
      <c r="D39" s="179" t="s">
        <v>81</v>
      </c>
      <c r="E39" s="180" t="s">
        <v>979</v>
      </c>
      <c r="F39" s="181"/>
      <c r="G39" s="179" t="s">
        <v>568</v>
      </c>
      <c r="H39" s="186"/>
      <c r="I39" s="186"/>
      <c r="J39" s="187" t="s">
        <v>2019</v>
      </c>
      <c r="K39" s="187" t="s">
        <v>2078</v>
      </c>
      <c r="L39" s="270" t="str">
        <f>IFERROR(__xludf.DUMMYFUNCTION("IF(
  AND(D39=""Saída"", J39=""Sangria""),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74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IFERROR(__xludf.DUMMYFUNCTION("ifna(VALUE(REGEXEXTRACT(E39,""[0-9.]+[,]+[0-9]+"")))"),3.0)</f>
        <v>3</v>
      </c>
      <c r="O39" s="52">
        <f>IFERROR(__xludf.DUMMYFUNCTION("""COMPUTED_VALUE"""),45994.989375000005)</f>
        <v>45994.98938</v>
      </c>
      <c r="P39" s="53" t="str">
        <f>IFERROR(__xludf.DUMMYFUNCTION("""COMPUTED_VALUE"""),"R$ 21,00")</f>
        <v>R$ 21,00</v>
      </c>
      <c r="Q39" s="53" t="str">
        <f>IFERROR(__xludf.DUMMYFUNCTION("""COMPUTED_VALUE"""),"Consumo")</f>
        <v>Consumo</v>
      </c>
      <c r="R39" s="53" t="str">
        <f>IFERROR(__xludf.DUMMYFUNCTION("""COMPUTED_VALUE"""),"Gabriel Azevedo")</f>
        <v>Gabriel Azevedo</v>
      </c>
      <c r="S39" s="55"/>
      <c r="T39" s="238">
        <f>IFERROR(__xludf.DUMMYFUNCTION("""COMPUTED_VALUE"""),45994.98979166667)</f>
        <v>45994.98979</v>
      </c>
      <c r="U39" s="53" t="str">
        <f>IFERROR(__xludf.DUMMYFUNCTION("""COMPUTED_VALUE"""),"R$ 36,48")</f>
        <v>R$ 36,48</v>
      </c>
      <c r="V39" s="53" t="str">
        <f>IFERROR(__xludf.DUMMYFUNCTION("""COMPUTED_VALUE"""),"Consumo")</f>
        <v>Consumo</v>
      </c>
      <c r="W39" s="54" t="str">
        <f>IFERROR(__xludf.DUMMYFUNCTION("""COMPUTED_VALUE"""),"William Fonseca")</f>
        <v>William Fonseca</v>
      </c>
    </row>
    <row r="40" ht="14.25" customHeight="1">
      <c r="A40" s="178"/>
      <c r="B40" s="12">
        <v>1824597.0</v>
      </c>
      <c r="C40" s="13">
        <v>45989.03099537037</v>
      </c>
      <c r="D40" s="179" t="s">
        <v>81</v>
      </c>
      <c r="E40" s="180" t="s">
        <v>6595</v>
      </c>
      <c r="F40" s="181"/>
      <c r="G40" s="179" t="s">
        <v>193</v>
      </c>
      <c r="H40" s="186"/>
      <c r="I40" s="186"/>
      <c r="J40" s="187" t="s">
        <v>3151</v>
      </c>
      <c r="K40" s="187"/>
      <c r="L40" s="270" t="str">
        <f>IFERROR(__xludf.DUMMYFUNCTION("IF(
  AND(D40=""Saída"", J40=""Sangria""),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2" t="str">
        <f>IFERROR(__xludf.DUMMYFUNCTION("IF(J40=""Compra de Mercadorias"",
   IF(
      COUNTIF(ARRAYFORMULA(TRIM(CLEAN(TO_TEXT(Notas!BS:BS)))), TRIM(CLEAN(TO_TEXT(B40)))) &gt; 0,
      ""Encontrada"",
      ""Não Encontrada""
   ),
"""")"),"Não Encontrada")</f>
        <v>Não Encontrada</v>
      </c>
      <c r="N40" s="185">
        <f>IFERROR(__xludf.DUMMYFUNCTION("ifna(VALUE(REGEXEXTRACT(E40,""[0-9.]+[,]+[0-9]+"")))"),24.99)</f>
        <v>24.99</v>
      </c>
      <c r="O40" s="52">
        <f>IFERROR(__xludf.DUMMYFUNCTION("""COMPUTED_VALUE"""),46002.50267361111)</f>
        <v>46002.50267</v>
      </c>
      <c r="P40" s="53" t="str">
        <f>IFERROR(__xludf.DUMMYFUNCTION("""COMPUTED_VALUE"""),"R$ 30,00")</f>
        <v>R$ 30,00</v>
      </c>
      <c r="Q40" s="53" t="str">
        <f>IFERROR(__xludf.DUMMYFUNCTION("""COMPUTED_VALUE"""),"Consumo")</f>
        <v>Consumo</v>
      </c>
      <c r="R40" s="53" t="str">
        <f>IFERROR(__xludf.DUMMYFUNCTION("""COMPUTED_VALUE"""),"Gabriel Azevedo")</f>
        <v>Gabriel Azevedo</v>
      </c>
      <c r="S40" s="55"/>
      <c r="T40" s="238">
        <f>IFERROR(__xludf.DUMMYFUNCTION("""COMPUTED_VALUE"""),46000.794537037036)</f>
        <v>46000.79454</v>
      </c>
      <c r="U40" s="53" t="str">
        <f>IFERROR(__xludf.DUMMYFUNCTION("""COMPUTED_VALUE"""),"R$ 19,00")</f>
        <v>R$ 19,00</v>
      </c>
      <c r="V40" s="53" t="str">
        <f>IFERROR(__xludf.DUMMYFUNCTION("""COMPUTED_VALUE"""),"Consumo")</f>
        <v>Consumo</v>
      </c>
      <c r="W40" s="54" t="str">
        <f>IFERROR(__xludf.DUMMYFUNCTION("""COMPUTED_VALUE"""),"William Fonseca")</f>
        <v>William Fonseca</v>
      </c>
    </row>
    <row r="41" ht="14.25" customHeight="1">
      <c r="A41" s="178"/>
      <c r="B41" s="12">
        <v>1824599.0</v>
      </c>
      <c r="C41" s="13">
        <v>45989.03591435185</v>
      </c>
      <c r="D41" s="179" t="s">
        <v>81</v>
      </c>
      <c r="E41" s="180" t="s">
        <v>6646</v>
      </c>
      <c r="F41" s="181"/>
      <c r="G41" s="179" t="s">
        <v>381</v>
      </c>
      <c r="H41" s="186"/>
      <c r="I41" s="186"/>
      <c r="J41" s="187" t="s">
        <v>2735</v>
      </c>
      <c r="K41" s="187" t="s">
        <v>6576</v>
      </c>
      <c r="L41" s="270" t="str">
        <f>IFERROR(__xludf.DUMMYFUNCTION("IF(
  AND(D41=""Saída"", J41=""Sangria""),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"),"Confirmada")</f>
        <v>Confirmada</v>
      </c>
      <c r="M41" s="274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IFERROR(__xludf.DUMMYFUNCTION("ifna(VALUE(REGEXEXTRACT(E41,""[0-9.]+[,]+[0-9]+"")))"),2200.0)</f>
        <v>2200</v>
      </c>
      <c r="O41" s="52">
        <f>IFERROR(__xludf.DUMMYFUNCTION("""COMPUTED_VALUE"""),46003.39611111111)</f>
        <v>46003.39611</v>
      </c>
      <c r="P41" s="53" t="str">
        <f>IFERROR(__xludf.DUMMYFUNCTION("""COMPUTED_VALUE"""),"R$ 19,59")</f>
        <v>R$ 19,59</v>
      </c>
      <c r="Q41" s="53" t="str">
        <f>IFERROR(__xludf.DUMMYFUNCTION("""COMPUTED_VALUE"""),"Consumo")</f>
        <v>Consumo</v>
      </c>
      <c r="R41" s="53" t="str">
        <f>IFERROR(__xludf.DUMMYFUNCTION("""COMPUTED_VALUE"""),"Gabriel Azevedo")</f>
        <v>Gabriel Azevedo</v>
      </c>
      <c r="S41" s="55"/>
      <c r="T41" s="238">
        <f>IFERROR(__xludf.DUMMYFUNCTION("""COMPUTED_VALUE"""),46009.47604166667)</f>
        <v>46009.47604</v>
      </c>
      <c r="U41" s="53" t="str">
        <f>IFERROR(__xludf.DUMMYFUNCTION("""COMPUTED_VALUE"""),"R$ 3,00")</f>
        <v>R$ 3,00</v>
      </c>
      <c r="V41" s="53" t="str">
        <f>IFERROR(__xludf.DUMMYFUNCTION("""COMPUTED_VALUE"""),"Consumo")</f>
        <v>Consumo</v>
      </c>
      <c r="W41" s="54" t="str">
        <f>IFERROR(__xludf.DUMMYFUNCTION("""COMPUTED_VALUE"""),"William Fonseca")</f>
        <v>William Fonseca</v>
      </c>
    </row>
    <row r="42" ht="14.25" customHeight="1">
      <c r="A42" s="178"/>
      <c r="B42" s="12">
        <v>1824678.0</v>
      </c>
      <c r="C42" s="13">
        <v>45989.50510416667</v>
      </c>
      <c r="D42" s="179" t="s">
        <v>81</v>
      </c>
      <c r="E42" s="180" t="s">
        <v>590</v>
      </c>
      <c r="F42" s="181"/>
      <c r="G42" s="179" t="s">
        <v>381</v>
      </c>
      <c r="H42" s="186"/>
      <c r="I42" s="186"/>
      <c r="J42" s="187" t="s">
        <v>2735</v>
      </c>
      <c r="K42" s="187" t="s">
        <v>6576</v>
      </c>
      <c r="L42" s="270" t="str">
        <f>IFERROR(__xludf.DUMMYFUNCTION("IF(
  AND(D42=""Saída"", J42=""Sangria""),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"),"Confirmada")</f>
        <v>Confirmada</v>
      </c>
      <c r="M42" s="276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IFERROR(__xludf.DUMMYFUNCTION("ifna(VALUE(REGEXEXTRACT(E42,""[0-9.]+[,]+[0-9]+"")))"),350.0)</f>
        <v>350</v>
      </c>
      <c r="O42" s="52">
        <f>IFERROR(__xludf.DUMMYFUNCTION("""COMPUTED_VALUE"""),46009.47678240741)</f>
        <v>46009.47678</v>
      </c>
      <c r="P42" s="53" t="str">
        <f>IFERROR(__xludf.DUMMYFUNCTION("""COMPUTED_VALUE"""),"R$ 6,42")</f>
        <v>R$ 6,42</v>
      </c>
      <c r="Q42" s="53" t="str">
        <f>IFERROR(__xludf.DUMMYFUNCTION("""COMPUTED_VALUE"""),"Consumo")</f>
        <v>Consumo</v>
      </c>
      <c r="R42" s="53" t="str">
        <f>IFERROR(__xludf.DUMMYFUNCTION("""COMPUTED_VALUE"""),"Gabriel Azevedo")</f>
        <v>Gabriel Azevedo</v>
      </c>
      <c r="S42" s="55"/>
      <c r="T42" s="238">
        <f>IFERROR(__xludf.DUMMYFUNCTION("""COMPUTED_VALUE"""),46009.984444444446)</f>
        <v>46009.98444</v>
      </c>
      <c r="U42" s="53" t="str">
        <f>IFERROR(__xludf.DUMMYFUNCTION("""COMPUTED_VALUE"""),"R$ 3,00")</f>
        <v>R$ 3,00</v>
      </c>
      <c r="V42" s="53" t="str">
        <f>IFERROR(__xludf.DUMMYFUNCTION("""COMPUTED_VALUE"""),"Consumo")</f>
        <v>Consumo</v>
      </c>
      <c r="W42" s="54" t="str">
        <f>IFERROR(__xludf.DUMMYFUNCTION("""COMPUTED_VALUE"""),"William Fonseca")</f>
        <v>William Fonseca</v>
      </c>
    </row>
    <row r="43" ht="14.25" customHeight="1">
      <c r="A43" s="178"/>
      <c r="B43" s="12">
        <v>1825136.0</v>
      </c>
      <c r="C43" s="13">
        <v>45989.66793981481</v>
      </c>
      <c r="D43" s="179" t="s">
        <v>81</v>
      </c>
      <c r="E43" s="180" t="s">
        <v>184</v>
      </c>
      <c r="F43" s="181"/>
      <c r="G43" s="179" t="s">
        <v>3907</v>
      </c>
      <c r="H43" s="189"/>
      <c r="I43" s="189"/>
      <c r="J43" s="187" t="s">
        <v>2735</v>
      </c>
      <c r="K43" s="187" t="s">
        <v>2018</v>
      </c>
      <c r="L43" s="270" t="str">
        <f>IFERROR(__xludf.DUMMYFUNCTION("IF(
  AND(D43=""Saída"", J43=""Sangria""),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"),"Confirmada")</f>
        <v>Confirmada</v>
      </c>
      <c r="M43" s="274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IFERROR(__xludf.DUMMYFUNCTION("ifna(VALUE(REGEXEXTRACT(E43,""[0-9.]+[,]+[0-9]+"")))"),450.0)</f>
        <v>450</v>
      </c>
      <c r="O43" s="52">
        <f>IFERROR(__xludf.DUMMYFUNCTION("""COMPUTED_VALUE"""),46009.70166666667)</f>
        <v>46009.70167</v>
      </c>
      <c r="P43" s="53" t="str">
        <f>IFERROR(__xludf.DUMMYFUNCTION("""COMPUTED_VALUE"""),"R$ 3,00")</f>
        <v>R$ 3,00</v>
      </c>
      <c r="Q43" s="53" t="str">
        <f>IFERROR(__xludf.DUMMYFUNCTION("""COMPUTED_VALUE"""),"Consumo")</f>
        <v>Consumo</v>
      </c>
      <c r="R43" s="53" t="str">
        <f>IFERROR(__xludf.DUMMYFUNCTION("""COMPUTED_VALUE"""),"Gabriel Azevedo")</f>
        <v>Gabriel Azevedo</v>
      </c>
      <c r="S43" s="55"/>
      <c r="T43" s="53"/>
      <c r="U43" s="53"/>
      <c r="V43" s="53"/>
      <c r="W43" s="54"/>
    </row>
    <row r="44" ht="14.25" customHeight="1">
      <c r="A44" s="178"/>
      <c r="B44" s="12">
        <v>1826913.0</v>
      </c>
      <c r="C44" s="13">
        <v>45990.0155787037</v>
      </c>
      <c r="D44" s="179" t="s">
        <v>81</v>
      </c>
      <c r="E44" s="180" t="s">
        <v>6760</v>
      </c>
      <c r="F44" s="181"/>
      <c r="G44" s="179" t="s">
        <v>6761</v>
      </c>
      <c r="H44" s="189"/>
      <c r="I44" s="189"/>
      <c r="J44" s="187" t="s">
        <v>2438</v>
      </c>
      <c r="K44" s="187"/>
      <c r="L44" s="270" t="str">
        <f>IFERROR(__xludf.DUMMYFUNCTION("IF(
  AND(D44=""Saída"", J44=""Sangria""),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2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IFERROR(__xludf.DUMMYFUNCTION("ifna(VALUE(REGEXEXTRACT(E44,""[0-9.]+[,]+[0-9]+"")))"),119.76)</f>
        <v>119.76</v>
      </c>
      <c r="O44" s="52"/>
      <c r="P44" s="79"/>
      <c r="Q44" s="79"/>
      <c r="R44" s="79"/>
      <c r="S44" s="81"/>
      <c r="T44" s="79"/>
      <c r="U44" s="79"/>
      <c r="V44" s="79"/>
      <c r="W44" s="80"/>
    </row>
    <row r="45" ht="14.25" customHeight="1">
      <c r="A45" s="178"/>
      <c r="B45" s="12">
        <v>1826922.0</v>
      </c>
      <c r="C45" s="13">
        <v>45990.01899305556</v>
      </c>
      <c r="D45" s="179" t="s">
        <v>81</v>
      </c>
      <c r="E45" s="180" t="s">
        <v>6556</v>
      </c>
      <c r="F45" s="181"/>
      <c r="G45" s="179" t="s">
        <v>381</v>
      </c>
      <c r="H45" s="190"/>
      <c r="I45" s="190"/>
      <c r="J45" s="187" t="s">
        <v>2735</v>
      </c>
      <c r="K45" s="187" t="s">
        <v>6576</v>
      </c>
      <c r="L45" s="270" t="str">
        <f>IFERROR(__xludf.DUMMYFUNCTION("IF(
  AND(D45=""Saída"", J45=""Sangria""),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"),"Confirmada")</f>
        <v>Confirmada</v>
      </c>
      <c r="M45" s="274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IFERROR(__xludf.DUMMYFUNCTION("ifna(VALUE(REGEXEXTRACT(E45,""[0-9.]+[,]+[0-9]+"")))"),1100.0)</f>
        <v>1100</v>
      </c>
      <c r="O45" s="88"/>
      <c r="P45" s="89"/>
      <c r="Q45" s="89"/>
      <c r="R45" s="89"/>
      <c r="S45" s="91"/>
      <c r="T45" s="89"/>
      <c r="U45" s="89"/>
      <c r="V45" s="89"/>
      <c r="W45" s="90"/>
    </row>
    <row r="46" ht="18.75" customHeight="1">
      <c r="A46" s="178"/>
      <c r="B46" s="12">
        <v>1827362.0</v>
      </c>
      <c r="C46" s="13">
        <v>45990.65096064815</v>
      </c>
      <c r="D46" s="179" t="s">
        <v>81</v>
      </c>
      <c r="E46" s="180" t="s">
        <v>184</v>
      </c>
      <c r="F46" s="181"/>
      <c r="G46" s="179" t="s">
        <v>388</v>
      </c>
      <c r="H46" s="190"/>
      <c r="I46" s="190"/>
      <c r="J46" s="187" t="s">
        <v>2735</v>
      </c>
      <c r="K46" s="187" t="s">
        <v>2018</v>
      </c>
      <c r="L46" s="270" t="str">
        <f>IFERROR(__xludf.DUMMYFUNCTION("IF(
  AND(D46=""Saída"", J46=""Sangria""),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"),"Confirmada")</f>
        <v>Confirmada</v>
      </c>
      <c r="M46" s="272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85">
        <f>IFERROR(__xludf.DUMMYFUNCTION("ifna(VALUE(REGEXEXTRACT(E46,""[0-9.]+[,]+[0-9]+"")))"),450.0)</f>
        <v>450</v>
      </c>
      <c r="O46" s="88"/>
      <c r="P46" s="89"/>
      <c r="Q46" s="89"/>
      <c r="R46" s="89"/>
      <c r="S46" s="91"/>
      <c r="T46" s="89"/>
      <c r="U46" s="89"/>
      <c r="V46" s="89"/>
      <c r="W46" s="90"/>
    </row>
    <row r="47" ht="14.25" customHeight="1">
      <c r="A47" s="178"/>
      <c r="B47" s="12">
        <v>1827777.0</v>
      </c>
      <c r="C47" s="13">
        <v>45990.72928240741</v>
      </c>
      <c r="D47" s="179" t="s">
        <v>81</v>
      </c>
      <c r="E47" s="180" t="s">
        <v>5437</v>
      </c>
      <c r="F47" s="181"/>
      <c r="G47" s="179" t="s">
        <v>346</v>
      </c>
      <c r="H47" s="190"/>
      <c r="I47" s="190"/>
      <c r="J47" s="187" t="s">
        <v>2735</v>
      </c>
      <c r="K47" s="187" t="s">
        <v>2018</v>
      </c>
      <c r="L47" s="270" t="str">
        <f>IFERROR(__xludf.DUMMYFUNCTION("IF(
  AND(D47=""Saída"", J47=""Sangria""),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"),"Confirmada")</f>
        <v>Confirmada</v>
      </c>
      <c r="M47" s="274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IFERROR(__xludf.DUMMYFUNCTION("ifna(VALUE(REGEXEXTRACT(E47,""[0-9.]+[,]+[0-9]+"")))"),600.0)</f>
        <v>600</v>
      </c>
      <c r="O47" s="88"/>
      <c r="P47" s="89"/>
      <c r="Q47" s="89"/>
      <c r="R47" s="89"/>
      <c r="S47" s="91"/>
      <c r="T47" s="89"/>
      <c r="U47" s="89"/>
      <c r="V47" s="89"/>
      <c r="W47" s="90"/>
    </row>
    <row r="48">
      <c r="A48" s="178"/>
      <c r="B48" s="12">
        <v>1828500.0</v>
      </c>
      <c r="C48" s="13">
        <v>45990.86</v>
      </c>
      <c r="D48" s="179" t="s">
        <v>81</v>
      </c>
      <c r="E48" s="180" t="s">
        <v>1248</v>
      </c>
      <c r="F48" s="188"/>
      <c r="G48" s="179" t="s">
        <v>6762</v>
      </c>
      <c r="H48" s="190"/>
      <c r="I48" s="190"/>
      <c r="J48" s="187" t="s">
        <v>2735</v>
      </c>
      <c r="K48" s="187" t="s">
        <v>2018</v>
      </c>
      <c r="L48" s="270" t="str">
        <f>IFERROR(__xludf.DUMMYFUNCTION("IF(
  AND(D48=""Saída"", J48=""Sangria""),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"),"Confirmada")</f>
        <v>Confirmada</v>
      </c>
      <c r="M48" s="272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IFERROR(__xludf.DUMMYFUNCTION("ifna(VALUE(REGEXEXTRACT(E48,""[0-9.]+[,]+[0-9]+"")))"),850.0)</f>
        <v>850</v>
      </c>
      <c r="O48" s="88"/>
      <c r="P48" s="89"/>
      <c r="Q48" s="89"/>
      <c r="R48" s="89"/>
      <c r="S48" s="91"/>
      <c r="T48" s="89"/>
      <c r="U48" s="89"/>
      <c r="V48" s="89"/>
      <c r="W48" s="90"/>
    </row>
    <row r="49" ht="14.25" customHeight="1">
      <c r="A49" s="178"/>
      <c r="B49" s="314"/>
      <c r="C49" s="315"/>
      <c r="D49" s="316"/>
      <c r="E49" s="317"/>
      <c r="F49" s="316"/>
      <c r="G49" s="316"/>
      <c r="H49" s="190"/>
      <c r="I49" s="190"/>
      <c r="J49" s="187"/>
      <c r="K49" s="187"/>
      <c r="L49" s="270" t="str">
        <f>IFERROR(__xludf.DUMMYFUNCTION("IF(
  AND(D49=""Saída"", J49=""Sangria""),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74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 t="str">
        <f>IFERROR(__xludf.DUMMYFUNCTION("ifna(VALUE(REGEXEXTRACT(E49,""[0-9.]+[,]+[0-9]+"")))"),"")</f>
        <v/>
      </c>
      <c r="O49" s="194"/>
      <c r="P49" s="195"/>
      <c r="Q49" s="196"/>
      <c r="R49" s="197"/>
      <c r="S49" s="91"/>
      <c r="T49" s="89"/>
      <c r="U49" s="89"/>
      <c r="V49" s="89"/>
      <c r="W49" s="90"/>
    </row>
    <row r="50" ht="14.25" customHeight="1">
      <c r="A50" s="178"/>
      <c r="B50" s="12">
        <v>1829394.0</v>
      </c>
      <c r="C50" s="13">
        <v>45990.96320601852</v>
      </c>
      <c r="D50" s="179" t="s">
        <v>81</v>
      </c>
      <c r="E50" s="180" t="s">
        <v>5437</v>
      </c>
      <c r="F50" s="181"/>
      <c r="G50" s="179" t="s">
        <v>388</v>
      </c>
      <c r="H50" s="190"/>
      <c r="I50" s="190"/>
      <c r="J50" s="187" t="s">
        <v>2735</v>
      </c>
      <c r="K50" s="187" t="s">
        <v>2018</v>
      </c>
      <c r="L50" s="270" t="str">
        <f>IFERROR(__xludf.DUMMYFUNCTION("IF(
  AND(D50=""Saída"", J50=""Sangria""),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"),"Confirmada")</f>
        <v>Confirmada</v>
      </c>
      <c r="M50" s="272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IFERROR(__xludf.DUMMYFUNCTION("ifna(VALUE(REGEXEXTRACT(E50,""[0-9.]+[,]+[0-9]+"")))"),600.0)</f>
        <v>600</v>
      </c>
      <c r="O50" s="88"/>
      <c r="P50" s="89"/>
      <c r="Q50" s="89"/>
      <c r="R50" s="89"/>
      <c r="S50" s="91"/>
      <c r="T50" s="89"/>
      <c r="U50" s="89"/>
      <c r="V50" s="89"/>
      <c r="W50" s="90"/>
    </row>
    <row r="51" ht="19.5" customHeight="1">
      <c r="A51" s="178"/>
      <c r="B51" s="12">
        <v>1829499.0</v>
      </c>
      <c r="C51" s="13">
        <v>45990.9780787037</v>
      </c>
      <c r="D51" s="179" t="s">
        <v>81</v>
      </c>
      <c r="E51" s="180" t="s">
        <v>6656</v>
      </c>
      <c r="F51" s="181"/>
      <c r="G51" s="179" t="s">
        <v>5810</v>
      </c>
      <c r="H51" s="190"/>
      <c r="I51" s="190"/>
      <c r="J51" s="187" t="s">
        <v>2019</v>
      </c>
      <c r="K51" s="187" t="s">
        <v>2117</v>
      </c>
      <c r="L51" s="270" t="str">
        <f>IFERROR(__xludf.DUMMYFUNCTION("IF(
  AND(D51=""Saída"", J51=""Sangria""),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76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IFERROR(__xludf.DUMMYFUNCTION("ifna(VALUE(REGEXEXTRACT(E51,""[0-9.]+[,]+[0-9]+"")))"),13.71)</f>
        <v>13.71</v>
      </c>
      <c r="O51" s="88"/>
      <c r="P51" s="89"/>
      <c r="Q51" s="89"/>
      <c r="R51" s="89"/>
      <c r="S51" s="91"/>
      <c r="T51" s="89"/>
      <c r="U51" s="89"/>
      <c r="V51" s="89"/>
      <c r="W51" s="90"/>
    </row>
    <row r="52" ht="14.25" customHeight="1">
      <c r="A52" s="178"/>
      <c r="B52" s="12">
        <v>1830017.0</v>
      </c>
      <c r="C52" s="13">
        <v>45991.63921296296</v>
      </c>
      <c r="D52" s="179" t="s">
        <v>81</v>
      </c>
      <c r="E52" s="180" t="s">
        <v>6763</v>
      </c>
      <c r="F52" s="181"/>
      <c r="G52" s="179" t="s">
        <v>6764</v>
      </c>
      <c r="H52" s="190"/>
      <c r="I52" s="190"/>
      <c r="J52" s="187" t="s">
        <v>2438</v>
      </c>
      <c r="K52" s="187"/>
      <c r="L52" s="270" t="str">
        <f>IFERROR(__xludf.DUMMYFUNCTION("IF(
  AND(D52=""Saída"", J52=""Sangria""),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3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IFERROR(__xludf.DUMMYFUNCTION("ifna(VALUE(REGEXEXTRACT(E52,""[0-9.]+[,]+[0-9]+"")))"),64.54)</f>
        <v>64.54</v>
      </c>
      <c r="O52" s="108"/>
      <c r="P52" s="109"/>
      <c r="Q52" s="109"/>
      <c r="R52" s="109"/>
      <c r="S52" s="110"/>
      <c r="T52" s="109"/>
      <c r="U52" s="109"/>
      <c r="V52" s="109"/>
      <c r="W52" s="111"/>
    </row>
    <row r="53" ht="14.25" customHeight="1">
      <c r="A53" s="178"/>
      <c r="B53" s="12">
        <v>1830373.0</v>
      </c>
      <c r="C53" s="13">
        <v>45991.71487268519</v>
      </c>
      <c r="D53" s="179" t="s">
        <v>81</v>
      </c>
      <c r="E53" s="180" t="s">
        <v>6306</v>
      </c>
      <c r="F53" s="181"/>
      <c r="G53" s="179" t="s">
        <v>381</v>
      </c>
      <c r="H53" s="190"/>
      <c r="I53" s="190"/>
      <c r="J53" s="187" t="s">
        <v>2735</v>
      </c>
      <c r="K53" s="187" t="s">
        <v>6576</v>
      </c>
      <c r="L53" s="270" t="str">
        <f>IFERROR(__xludf.DUMMYFUNCTION("IF(
  AND(D53=""Saída"", J53=""Sangria""),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"),"Confirmada")</f>
        <v>Confirmada</v>
      </c>
      <c r="M53" s="274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85">
        <f>IFERROR(__xludf.DUMMYFUNCTION("ifna(VALUE(REGEXEXTRACT(E53,""[0-9.]+[,]+[0-9]+"")))"),1650.0)</f>
        <v>1650</v>
      </c>
      <c r="S53" s="25"/>
    </row>
    <row r="54" ht="14.25" customHeight="1">
      <c r="A54" s="178"/>
      <c r="B54" s="12">
        <v>1830476.0</v>
      </c>
      <c r="C54" s="13">
        <v>45991.734351851854</v>
      </c>
      <c r="D54" s="179" t="s">
        <v>81</v>
      </c>
      <c r="E54" s="180" t="s">
        <v>457</v>
      </c>
      <c r="F54" s="181"/>
      <c r="G54" s="179" t="s">
        <v>381</v>
      </c>
      <c r="H54" s="190"/>
      <c r="I54" s="190"/>
      <c r="J54" s="187" t="s">
        <v>2735</v>
      </c>
      <c r="K54" s="187" t="s">
        <v>6576</v>
      </c>
      <c r="L54" s="270" t="str">
        <f>IFERROR(__xludf.DUMMYFUNCTION("IF(
  AND(D54=""Saída"", J54=""Sangria""),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"),"Confirmada")</f>
        <v>Confirmada</v>
      </c>
      <c r="M54" s="272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IFERROR(__xludf.DUMMYFUNCTION("ifna(VALUE(REGEXEXTRACT(E54,""[0-9.]+[,]+[0-9]+"")))"),200.0)</f>
        <v>200</v>
      </c>
      <c r="S54" s="25"/>
    </row>
    <row r="55" ht="14.25" customHeight="1">
      <c r="A55" s="178"/>
      <c r="B55" s="12">
        <v>1832512.0</v>
      </c>
      <c r="C55" s="13">
        <v>45991.96658564815</v>
      </c>
      <c r="D55" s="179" t="s">
        <v>81</v>
      </c>
      <c r="E55" s="180" t="s">
        <v>6765</v>
      </c>
      <c r="F55" s="181"/>
      <c r="G55" s="179" t="s">
        <v>6766</v>
      </c>
      <c r="H55" s="190"/>
      <c r="I55" s="190"/>
      <c r="J55" s="187" t="s">
        <v>1782</v>
      </c>
      <c r="K55" s="187"/>
      <c r="L55" s="270" t="str">
        <f>IFERROR(__xludf.DUMMYFUNCTION("IF(
  AND(D55=""Saída"", J55=""Sangria""),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73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IFERROR(__xludf.DUMMYFUNCTION("ifna(VALUE(REGEXEXTRACT(E55,""[0-9.]+[,]+[0-9]+"")))"),362.0)</f>
        <v>362</v>
      </c>
      <c r="S55" s="25"/>
    </row>
    <row r="56" ht="14.25" customHeight="1">
      <c r="A56" s="178"/>
      <c r="B56" s="12">
        <v>1832513.0</v>
      </c>
      <c r="C56" s="13">
        <v>45991.96690972222</v>
      </c>
      <c r="D56" s="179" t="s">
        <v>81</v>
      </c>
      <c r="E56" s="180" t="s">
        <v>6767</v>
      </c>
      <c r="F56" s="181"/>
      <c r="G56" s="179" t="s">
        <v>6768</v>
      </c>
      <c r="H56" s="190"/>
      <c r="I56" s="190"/>
      <c r="J56" s="187" t="s">
        <v>1782</v>
      </c>
      <c r="K56" s="187"/>
      <c r="L56" s="270" t="str">
        <f>IFERROR(__xludf.DUMMYFUNCTION("IF(
  AND(D56=""Saída"", J56=""Sangria""),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2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IFERROR(__xludf.DUMMYFUNCTION("ifna(VALUE(REGEXEXTRACT(E56,""[0-9.]+[,]+[0-9]+"")))"),304.0)</f>
        <v>304</v>
      </c>
      <c r="S56" s="25"/>
    </row>
    <row r="57" ht="17.25" customHeight="1">
      <c r="A57" s="178"/>
      <c r="B57" s="12">
        <v>1832515.0</v>
      </c>
      <c r="C57" s="13">
        <v>45991.967141203706</v>
      </c>
      <c r="D57" s="179" t="s">
        <v>81</v>
      </c>
      <c r="E57" s="180" t="s">
        <v>6769</v>
      </c>
      <c r="F57" s="188"/>
      <c r="G57" s="179" t="s">
        <v>6711</v>
      </c>
      <c r="H57" s="190"/>
      <c r="I57" s="190"/>
      <c r="J57" s="187" t="s">
        <v>1782</v>
      </c>
      <c r="K57" s="187"/>
      <c r="L57" s="270" t="str">
        <f>IFERROR(__xludf.DUMMYFUNCTION("IF(
  AND(D57=""Saída"", J57=""Sangria""),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74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IFERROR(__xludf.DUMMYFUNCTION("ifna(VALUE(REGEXEXTRACT(E57,""[0-9.]+[,]+[0-9]+"")))"),341.0)</f>
        <v>341</v>
      </c>
      <c r="O57" s="25"/>
      <c r="P57" s="25"/>
      <c r="Q57" s="25"/>
      <c r="R57" s="25"/>
      <c r="S57" s="25"/>
      <c r="T57" s="25"/>
      <c r="U57" s="122"/>
      <c r="V57" s="122"/>
      <c r="W57" s="277"/>
    </row>
    <row r="58" ht="14.25" customHeight="1">
      <c r="A58" s="178"/>
      <c r="B58" s="12">
        <v>1832735.0</v>
      </c>
      <c r="C58" s="13">
        <v>45992.02033564815</v>
      </c>
      <c r="D58" s="179" t="s">
        <v>81</v>
      </c>
      <c r="E58" s="180" t="s">
        <v>162</v>
      </c>
      <c r="F58" s="181"/>
      <c r="G58" s="179" t="s">
        <v>128</v>
      </c>
      <c r="H58" s="190"/>
      <c r="I58" s="190"/>
      <c r="J58" s="187" t="s">
        <v>2735</v>
      </c>
      <c r="K58" s="187" t="s">
        <v>6576</v>
      </c>
      <c r="L58" s="270" t="str">
        <f>IFERROR(__xludf.DUMMYFUNCTION("IF(
  AND(D58=""Saída"", J58=""Sangria""),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"),"Confirmada")</f>
        <v>Confirmada</v>
      </c>
      <c r="M58" s="272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IFERROR(__xludf.DUMMYFUNCTION("ifna(VALUE(REGEXEXTRACT(E58,""[0-9.]+[,]+[0-9]+"")))"),150.0)</f>
        <v>150</v>
      </c>
      <c r="O58" s="25"/>
      <c r="P58" s="25"/>
      <c r="Q58" s="25"/>
      <c r="R58" s="25"/>
      <c r="S58" s="25"/>
      <c r="T58" s="25"/>
      <c r="U58" s="278"/>
      <c r="V58" s="278"/>
      <c r="W58" s="279"/>
    </row>
    <row r="59" ht="14.25" customHeight="1">
      <c r="A59" s="178"/>
      <c r="B59" s="12">
        <v>1834409.0</v>
      </c>
      <c r="C59" s="13">
        <v>45992.93111111111</v>
      </c>
      <c r="D59" s="179" t="s">
        <v>81</v>
      </c>
      <c r="E59" s="180" t="s">
        <v>6770</v>
      </c>
      <c r="F59" s="181"/>
      <c r="G59" s="179" t="s">
        <v>4041</v>
      </c>
      <c r="H59" s="190"/>
      <c r="I59" s="190"/>
      <c r="J59" s="187" t="s">
        <v>3151</v>
      </c>
      <c r="K59" s="187"/>
      <c r="L59" s="270" t="str">
        <f>IFERROR(__xludf.DUMMYFUNCTION("IF(
  AND(D59=""Saída"", J59=""Sangria""),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73" t="str">
        <f>IFERROR(__xludf.DUMMYFUNCTION("IF(J59=""Compra de Mercadorias"",
   IF(
      COUNTIF(ARRAYFORMULA(TRIM(CLEAN(TO_TEXT(Notas!BS:BS)))), TRIM(CLEAN(TO_TEXT(B59)))) &gt; 0,
      ""Encontrada"",
      ""Não Encontrada""
   ),
"""")"),"Não Encontrada")</f>
        <v>Não Encontrada</v>
      </c>
      <c r="N59" s="185">
        <f>IFERROR(__xludf.DUMMYFUNCTION("ifna(VALUE(REGEXEXTRACT(E59,""[0-9.]+[,]+[0-9]+"")))"),75.92)</f>
        <v>75.92</v>
      </c>
      <c r="O59" s="209" t="s">
        <v>3799</v>
      </c>
      <c r="P59" s="210"/>
      <c r="Q59" s="210"/>
      <c r="R59" s="210"/>
      <c r="S59" s="210"/>
      <c r="T59" s="59"/>
      <c r="U59" s="280"/>
      <c r="V59" s="280"/>
      <c r="W59" s="281"/>
    </row>
    <row r="60" ht="14.25" customHeight="1">
      <c r="A60" s="178"/>
      <c r="B60" s="12">
        <v>1834411.0</v>
      </c>
      <c r="C60" s="13">
        <v>45992.931342592594</v>
      </c>
      <c r="D60" s="179" t="s">
        <v>81</v>
      </c>
      <c r="E60" s="180" t="s">
        <v>567</v>
      </c>
      <c r="F60" s="181"/>
      <c r="G60" s="179" t="s">
        <v>4041</v>
      </c>
      <c r="H60" s="190"/>
      <c r="I60" s="190"/>
      <c r="J60" s="187" t="s">
        <v>3151</v>
      </c>
      <c r="K60" s="187"/>
      <c r="L60" s="270" t="str">
        <f>IFERROR(__xludf.DUMMYFUNCTION("IF(
  AND(D60=""Saída"", J60=""Sangria""),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3" t="str">
        <f>IFERROR(__xludf.DUMMYFUNCTION("IF(J60=""Compra de Mercadorias"",
   IF(
      COUNTIF(ARRAYFORMULA(TRIM(CLEAN(TO_TEXT(Notas!BS:BS)))), TRIM(CLEAN(TO_TEXT(B60)))) &gt; 0,
      ""Encontrada"",
      ""Não Encontrada""
   ),
"""")"),"Não Encontrada")</f>
        <v>Não Encontrada</v>
      </c>
      <c r="N60" s="185">
        <f>IFERROR(__xludf.DUMMYFUNCTION("ifna(VALUE(REGEXEXTRACT(E60,""[0-9.]+[,]+[0-9]+"")))"),7.42)</f>
        <v>7.42</v>
      </c>
      <c r="O60" s="211"/>
      <c r="T60" s="212"/>
      <c r="U60" s="280"/>
      <c r="V60" s="280"/>
      <c r="W60" s="281"/>
    </row>
    <row r="61" ht="14.25" customHeight="1">
      <c r="A61" s="178"/>
      <c r="B61" s="12">
        <v>1834737.0</v>
      </c>
      <c r="C61" s="13">
        <v>45993.46494212963</v>
      </c>
      <c r="D61" s="179" t="s">
        <v>81</v>
      </c>
      <c r="E61" s="180" t="s">
        <v>1228</v>
      </c>
      <c r="F61" s="181"/>
      <c r="G61" s="179" t="s">
        <v>381</v>
      </c>
      <c r="H61" s="190"/>
      <c r="I61" s="190"/>
      <c r="J61" s="187" t="s">
        <v>2735</v>
      </c>
      <c r="K61" s="187" t="s">
        <v>6576</v>
      </c>
      <c r="L61" s="270" t="str">
        <f>IFERROR(__xludf.DUMMYFUNCTION("IF(
  AND(D61=""Saída"", J61=""Sangria""),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"),"Confirmada")</f>
        <v>Confirmada</v>
      </c>
      <c r="M61" s="274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IFERROR(__xludf.DUMMYFUNCTION("ifna(VALUE(REGEXEXTRACT(E61,""[0-9.]+[,]+[0-9]+"")))"),950.0)</f>
        <v>950</v>
      </c>
      <c r="O61" s="213" t="s">
        <v>1</v>
      </c>
      <c r="P61" s="214" t="s">
        <v>2</v>
      </c>
      <c r="Q61" s="214" t="s">
        <v>3830</v>
      </c>
      <c r="R61" s="214" t="s">
        <v>46</v>
      </c>
      <c r="S61" s="215" t="s">
        <v>33</v>
      </c>
      <c r="T61" s="212"/>
      <c r="U61" s="280"/>
      <c r="V61" s="280"/>
      <c r="W61" s="281"/>
    </row>
    <row r="62" ht="14.25" customHeight="1">
      <c r="A62" s="178"/>
      <c r="B62" s="12">
        <v>1835091.0</v>
      </c>
      <c r="C62" s="13">
        <v>45993.64550925926</v>
      </c>
      <c r="D62" s="179" t="s">
        <v>81</v>
      </c>
      <c r="E62" s="180" t="s">
        <v>146</v>
      </c>
      <c r="F62" s="181"/>
      <c r="G62" s="179" t="s">
        <v>6771</v>
      </c>
      <c r="H62" s="190"/>
      <c r="I62" s="190"/>
      <c r="J62" s="187" t="s">
        <v>2735</v>
      </c>
      <c r="K62" s="187" t="s">
        <v>2018</v>
      </c>
      <c r="L62" s="270" t="str">
        <f>IFERROR(__xludf.DUMMYFUNCTION("IF(
  AND(D62=""Saída"", J62=""Sangria""),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"),"Confirmada")</f>
        <v>Confirmada</v>
      </c>
      <c r="M62" s="272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IFERROR(__xludf.DUMMYFUNCTION("ifna(VALUE(REGEXEXTRACT(E62,""[0-9.]+[,]+[0-9]+"")))"),400.0)</f>
        <v>400</v>
      </c>
      <c r="O62" s="216"/>
      <c r="P62" s="195"/>
      <c r="Q62" s="196"/>
      <c r="R62" s="197"/>
      <c r="S62" s="217"/>
      <c r="T62" s="218" t="str">
        <f t="shared" ref="T62:T82" si="1">IFERROR(VLOOKUP(Q62, $A$4:$B$11, 2, FALSE), "")</f>
        <v/>
      </c>
      <c r="U62" s="280"/>
      <c r="V62" s="280"/>
      <c r="W62" s="281"/>
    </row>
    <row r="63" ht="14.25" customHeight="1">
      <c r="A63" s="178"/>
      <c r="B63" s="12">
        <v>1835518.0</v>
      </c>
      <c r="C63" s="13">
        <v>45993.7440625</v>
      </c>
      <c r="D63" s="179" t="s">
        <v>81</v>
      </c>
      <c r="E63" s="180" t="s">
        <v>6772</v>
      </c>
      <c r="F63" s="181"/>
      <c r="G63" s="179" t="s">
        <v>4041</v>
      </c>
      <c r="H63" s="190"/>
      <c r="I63" s="190"/>
      <c r="J63" s="187" t="s">
        <v>3151</v>
      </c>
      <c r="K63" s="187"/>
      <c r="L63" s="270" t="str">
        <f>IFERROR(__xludf.DUMMYFUNCTION("IF(
  AND(D63=""Saída"", J63=""Sangria""),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74" t="str">
        <f>IFERROR(__xludf.DUMMYFUNCTION("IF(J63=""Compra de Mercadorias"",
   IF(
      COUNTIF(ARRAYFORMULA(TRIM(CLEAN(TO_TEXT(Notas!BS:BS)))), TRIM(CLEAN(TO_TEXT(B63)))) &gt; 0,
      ""Encontrada"",
      ""Não Encontrada""
   ),
"""")"),"Não Encontrada")</f>
        <v>Não Encontrada</v>
      </c>
      <c r="N63" s="185">
        <f>IFERROR(__xludf.DUMMYFUNCTION("ifna(VALUE(REGEXEXTRACT(E63,""[0-9.]+[,]+[0-9]+"")))"),11.3)</f>
        <v>11.3</v>
      </c>
      <c r="O63" s="216"/>
      <c r="P63" s="195"/>
      <c r="Q63" s="196"/>
      <c r="R63" s="197"/>
      <c r="S63" s="219"/>
      <c r="T63" s="218" t="str">
        <f t="shared" si="1"/>
        <v/>
      </c>
      <c r="U63" s="280"/>
      <c r="V63" s="280"/>
      <c r="W63" s="281"/>
    </row>
    <row r="64" ht="14.25" customHeight="1">
      <c r="A64" s="178"/>
      <c r="B64" s="12">
        <v>1835742.0</v>
      </c>
      <c r="C64" s="13">
        <v>45993.80252314815</v>
      </c>
      <c r="D64" s="179" t="s">
        <v>81</v>
      </c>
      <c r="E64" s="180" t="s">
        <v>6773</v>
      </c>
      <c r="F64" s="181"/>
      <c r="G64" s="179" t="s">
        <v>544</v>
      </c>
      <c r="H64" s="190"/>
      <c r="I64" s="190"/>
      <c r="J64" s="187" t="s">
        <v>2019</v>
      </c>
      <c r="K64" s="187" t="s">
        <v>2078</v>
      </c>
      <c r="L64" s="270" t="str">
        <f>IFERROR(__xludf.DUMMYFUNCTION("IF(
  AND(D64=""Saída"", J64=""Sangria""),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2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IFERROR(__xludf.DUMMYFUNCTION("ifna(VALUE(REGEXEXTRACT(E64,""[0-9.]+[,]+[0-9]+"")))"),5.79)</f>
        <v>5.79</v>
      </c>
      <c r="O64" s="216"/>
      <c r="P64" s="195"/>
      <c r="Q64" s="196"/>
      <c r="R64" s="197"/>
      <c r="S64" s="220"/>
      <c r="T64" s="218" t="str">
        <f t="shared" si="1"/>
        <v/>
      </c>
      <c r="U64" s="282"/>
      <c r="V64" s="282"/>
      <c r="W64" s="283"/>
    </row>
    <row r="65" ht="14.25" customHeight="1">
      <c r="A65" s="178"/>
      <c r="B65" s="12">
        <v>1835945.0</v>
      </c>
      <c r="C65" s="13">
        <v>45993.877847222226</v>
      </c>
      <c r="D65" s="179" t="s">
        <v>81</v>
      </c>
      <c r="E65" s="180" t="s">
        <v>5872</v>
      </c>
      <c r="F65" s="181"/>
      <c r="G65" s="179" t="s">
        <v>6774</v>
      </c>
      <c r="H65" s="190"/>
      <c r="I65" s="190"/>
      <c r="J65" s="187" t="s">
        <v>3375</v>
      </c>
      <c r="K65" s="187"/>
      <c r="L65" s="270" t="str">
        <f>IFERROR(__xludf.DUMMYFUNCTION("IF(
  AND(D65=""Saída"", J65=""Sangria""),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74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IFERROR(__xludf.DUMMYFUNCTION("ifna(VALUE(REGEXEXTRACT(E65,""[0-9.]+[,]+[0-9]+"")))"),25.0)</f>
        <v>25</v>
      </c>
      <c r="O65" s="216"/>
      <c r="P65" s="195"/>
      <c r="Q65" s="196"/>
      <c r="R65" s="197"/>
      <c r="S65" s="221"/>
      <c r="T65" s="218" t="str">
        <f t="shared" si="1"/>
        <v/>
      </c>
      <c r="U65" s="284"/>
      <c r="V65" s="284"/>
      <c r="W65" s="285"/>
    </row>
    <row r="66" ht="14.25" customHeight="1">
      <c r="A66" s="178"/>
      <c r="B66" s="12">
        <v>1836097.0</v>
      </c>
      <c r="C66" s="13">
        <v>45993.910474537035</v>
      </c>
      <c r="D66" s="179" t="s">
        <v>81</v>
      </c>
      <c r="E66" s="180" t="s">
        <v>4106</v>
      </c>
      <c r="F66" s="188"/>
      <c r="G66" s="179" t="s">
        <v>381</v>
      </c>
      <c r="H66" s="190"/>
      <c r="I66" s="190"/>
      <c r="J66" s="187" t="s">
        <v>2735</v>
      </c>
      <c r="K66" s="187" t="s">
        <v>6576</v>
      </c>
      <c r="L66" s="270" t="str">
        <f>IFERROR(__xludf.DUMMYFUNCTION("IF(
  AND(D66=""Saída"", J66=""Sangria""),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"),"Confirmada")</f>
        <v>Confirmada</v>
      </c>
      <c r="M66" s="272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IFERROR(__xludf.DUMMYFUNCTION("ifna(VALUE(REGEXEXTRACT(E66,""[0-9.]+[,]+[0-9]+"")))"),750.0)</f>
        <v>750</v>
      </c>
      <c r="O66" s="216"/>
      <c r="P66" s="195"/>
      <c r="Q66" s="196"/>
      <c r="R66" s="197"/>
      <c r="S66" s="220"/>
      <c r="T66" s="218" t="str">
        <f t="shared" si="1"/>
        <v/>
      </c>
      <c r="U66" s="284"/>
      <c r="V66" s="284"/>
      <c r="W66" s="285"/>
    </row>
    <row r="67" ht="14.25" customHeight="1">
      <c r="A67" s="178"/>
      <c r="B67" s="12">
        <v>1837242.0</v>
      </c>
      <c r="C67" s="13">
        <v>45994.70681712963</v>
      </c>
      <c r="D67" s="179" t="s">
        <v>81</v>
      </c>
      <c r="E67" s="180" t="s">
        <v>6775</v>
      </c>
      <c r="F67" s="181"/>
      <c r="G67" s="179" t="s">
        <v>313</v>
      </c>
      <c r="H67" s="190"/>
      <c r="I67" s="190"/>
      <c r="J67" s="187" t="s">
        <v>3151</v>
      </c>
      <c r="K67" s="187"/>
      <c r="L67" s="270" t="str">
        <f>IFERROR(__xludf.DUMMYFUNCTION("IF(
  AND(D67=""Saída"", J67=""Sangria""),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73" t="str">
        <f>IFERROR(__xludf.DUMMYFUNCTION("IF(J67=""Compra de Mercadorias"",
   IF(
      COUNTIF(ARRAYFORMULA(TRIM(CLEAN(TO_TEXT(Notas!BS:BS)))), TRIM(CLEAN(TO_TEXT(B67)))) &gt; 0,
      ""Encontrada"",
      ""Não Encontrada""
   ),
"""")"),"Não Encontrada")</f>
        <v>Não Encontrada</v>
      </c>
      <c r="N67" s="185">
        <f>IFERROR(__xludf.DUMMYFUNCTION("ifna(VALUE(REGEXEXTRACT(E67,""[0-9.]+[,]+[0-9]+"")))"),238.77)</f>
        <v>238.77</v>
      </c>
      <c r="O67" s="222"/>
      <c r="P67" s="223"/>
      <c r="Q67" s="224"/>
      <c r="R67" s="225"/>
      <c r="S67" s="221"/>
      <c r="T67" s="218" t="str">
        <f t="shared" si="1"/>
        <v/>
      </c>
      <c r="U67" s="284"/>
      <c r="V67" s="284"/>
      <c r="W67" s="285"/>
    </row>
    <row r="68">
      <c r="A68" s="178"/>
      <c r="B68" s="12">
        <v>1837247.0</v>
      </c>
      <c r="C68" s="13">
        <v>45994.70731481481</v>
      </c>
      <c r="D68" s="179" t="s">
        <v>81</v>
      </c>
      <c r="E68" s="180" t="s">
        <v>6776</v>
      </c>
      <c r="F68" s="181"/>
      <c r="G68" s="179" t="s">
        <v>5861</v>
      </c>
      <c r="H68" s="190"/>
      <c r="I68" s="190"/>
      <c r="J68" s="187" t="s">
        <v>2019</v>
      </c>
      <c r="K68" s="187" t="s">
        <v>2117</v>
      </c>
      <c r="L68" s="270" t="str">
        <f>IFERROR(__xludf.DUMMYFUNCTION("IF(
  AND(D68=""Saída"", J68=""Sangria""),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2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IFERROR(__xludf.DUMMYFUNCTION("ifna(VALUE(REGEXEXTRACT(E68,""[0-9.]+[,]+[0-9]+"")))"),17.49)</f>
        <v>17.49</v>
      </c>
      <c r="O68" s="226"/>
      <c r="P68" s="227"/>
      <c r="Q68" s="220"/>
      <c r="R68" s="228" t="str">
        <f t="shared" ref="R68:R104" si="2">IFERROR(VLOOKUP(Q68, $B$4:$C$18, 2, FALSE), "")</f>
        <v/>
      </c>
      <c r="S68" s="220" t="str">
        <f t="shared" ref="S68:S104" si="3">IFERROR(VLOOKUP(Q68, $A$4:$B$18, 2, FALSE), "")</f>
        <v/>
      </c>
      <c r="T68" s="218" t="str">
        <f t="shared" si="1"/>
        <v/>
      </c>
      <c r="U68" s="284"/>
      <c r="V68" s="284"/>
      <c r="W68" s="285"/>
    </row>
    <row r="69" ht="14.25" customHeight="1">
      <c r="A69" s="178"/>
      <c r="B69" s="12">
        <v>1837366.0</v>
      </c>
      <c r="C69" s="13">
        <v>45994.72755787037</v>
      </c>
      <c r="D69" s="179" t="s">
        <v>81</v>
      </c>
      <c r="E69" s="180" t="s">
        <v>350</v>
      </c>
      <c r="F69" s="181"/>
      <c r="G69" s="179" t="s">
        <v>6777</v>
      </c>
      <c r="H69" s="190"/>
      <c r="I69" s="190"/>
      <c r="J69" s="187" t="s">
        <v>3151</v>
      </c>
      <c r="K69" s="187"/>
      <c r="L69" s="270" t="str">
        <f>IFERROR(__xludf.DUMMYFUNCTION("IF(
  AND(D69=""Saída"", J69=""Sangria""),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74" t="str">
        <f>IFERROR(__xludf.DUMMYFUNCTION("IF(J69=""Compra de Mercadorias"",
   IF(
      COUNTIF(ARRAYFORMULA(TRIM(CLEAN(TO_TEXT(Notas!BS:BS)))), TRIM(CLEAN(TO_TEXT(B69)))) &gt; 0,
      ""Encontrada"",
      ""Não Encontrada""
   ),
"""")"),"Não Encontrada")</f>
        <v>Não Encontrada</v>
      </c>
      <c r="N69" s="185">
        <f>IFERROR(__xludf.DUMMYFUNCTION("ifna(VALUE(REGEXEXTRACT(E69,""[0-9.]+[,]+[0-9]+"")))"),12.0)</f>
        <v>12</v>
      </c>
      <c r="O69" s="229"/>
      <c r="P69" s="230"/>
      <c r="Q69" s="221"/>
      <c r="R69" s="231" t="str">
        <f t="shared" si="2"/>
        <v/>
      </c>
      <c r="S69" s="221" t="str">
        <f t="shared" si="3"/>
        <v/>
      </c>
      <c r="T69" s="218" t="str">
        <f t="shared" si="1"/>
        <v/>
      </c>
      <c r="U69" s="284"/>
      <c r="V69" s="284"/>
      <c r="W69" s="285"/>
    </row>
    <row r="70" ht="14.25" customHeight="1">
      <c r="A70" s="178"/>
      <c r="B70" s="12">
        <v>1837369.0</v>
      </c>
      <c r="C70" s="13">
        <v>45994.72791666666</v>
      </c>
      <c r="D70" s="179" t="s">
        <v>81</v>
      </c>
      <c r="E70" s="180" t="s">
        <v>335</v>
      </c>
      <c r="F70" s="181"/>
      <c r="G70" s="179" t="s">
        <v>6778</v>
      </c>
      <c r="H70" s="190"/>
      <c r="I70" s="190"/>
      <c r="J70" s="187" t="s">
        <v>3151</v>
      </c>
      <c r="K70" s="187"/>
      <c r="L70" s="270" t="str">
        <f>IFERROR(__xludf.DUMMYFUNCTION("IF(
  AND(D70=""Saída"", J70=""Sangria""),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2" t="str">
        <f>IFERROR(__xludf.DUMMYFUNCTION("IF(J70=""Compra de Mercadorias"",
   IF(
      COUNTIF(ARRAYFORMULA(TRIM(CLEAN(TO_TEXT(Notas!BS:BS)))), TRIM(CLEAN(TO_TEXT(B70)))) &gt; 0,
      ""Encontrada"",
      ""Não Encontrada""
   ),
"""")"),"Não Encontrada")</f>
        <v>Não Encontrada</v>
      </c>
      <c r="N70" s="185">
        <f>IFERROR(__xludf.DUMMYFUNCTION("ifna(VALUE(REGEXEXTRACT(E70,""[0-9.]+[,]+[0-9]+"")))"),10.0)</f>
        <v>10</v>
      </c>
      <c r="O70" s="226"/>
      <c r="P70" s="227"/>
      <c r="Q70" s="220"/>
      <c r="R70" s="228" t="str">
        <f t="shared" si="2"/>
        <v/>
      </c>
      <c r="S70" s="220" t="str">
        <f t="shared" si="3"/>
        <v/>
      </c>
      <c r="T70" s="218" t="str">
        <f t="shared" si="1"/>
        <v/>
      </c>
      <c r="U70" s="284"/>
      <c r="V70" s="284"/>
      <c r="W70" s="285"/>
    </row>
    <row r="71" ht="14.25" customHeight="1">
      <c r="A71" s="178"/>
      <c r="B71" s="12">
        <v>1837540.0</v>
      </c>
      <c r="C71" s="13">
        <v>45994.76540509259</v>
      </c>
      <c r="D71" s="179" t="s">
        <v>81</v>
      </c>
      <c r="E71" s="180" t="s">
        <v>3486</v>
      </c>
      <c r="F71" s="181"/>
      <c r="G71" s="179" t="s">
        <v>381</v>
      </c>
      <c r="H71" s="190"/>
      <c r="I71" s="190"/>
      <c r="J71" s="187" t="s">
        <v>2735</v>
      </c>
      <c r="K71" s="187" t="s">
        <v>6576</v>
      </c>
      <c r="L71" s="270" t="str">
        <f>IFERROR(__xludf.DUMMYFUNCTION("IF(
  AND(D71=""Saída"", J71=""Sangria""),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"),"Confirmada")</f>
        <v>Confirmada</v>
      </c>
      <c r="M71" s="274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IFERROR(__xludf.DUMMYFUNCTION("ifna(VALUE(REGEXEXTRACT(E71,""[0-9.]+[,]+[0-9]+"")))"),500.0)</f>
        <v>500</v>
      </c>
      <c r="O71" s="229"/>
      <c r="P71" s="230"/>
      <c r="Q71" s="221"/>
      <c r="R71" s="231" t="str">
        <f t="shared" si="2"/>
        <v/>
      </c>
      <c r="S71" s="221" t="str">
        <f t="shared" si="3"/>
        <v/>
      </c>
      <c r="T71" s="218" t="str">
        <f t="shared" si="1"/>
        <v/>
      </c>
      <c r="U71" s="284"/>
      <c r="V71" s="284"/>
      <c r="W71" s="285"/>
    </row>
    <row r="72" ht="14.25" customHeight="1">
      <c r="A72" s="178"/>
      <c r="B72" s="12">
        <v>1837668.0</v>
      </c>
      <c r="C72" s="13">
        <v>45994.80474537037</v>
      </c>
      <c r="D72" s="179" t="s">
        <v>81</v>
      </c>
      <c r="E72" s="180" t="s">
        <v>1327</v>
      </c>
      <c r="F72" s="181"/>
      <c r="G72" s="179" t="s">
        <v>544</v>
      </c>
      <c r="H72" s="190"/>
      <c r="I72" s="190"/>
      <c r="J72" s="187" t="s">
        <v>2019</v>
      </c>
      <c r="K72" s="187" t="s">
        <v>2078</v>
      </c>
      <c r="L72" s="270" t="str">
        <f>IFERROR(__xludf.DUMMYFUNCTION("IF(
  AND(D72=""Saída"", J72=""Sangria""),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6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IFERROR(__xludf.DUMMYFUNCTION("ifna(VALUE(REGEXEXTRACT(E72,""[0-9.]+[,]+[0-9]+"")))"),12.83)</f>
        <v>12.83</v>
      </c>
      <c r="O72" s="226"/>
      <c r="P72" s="227"/>
      <c r="Q72" s="220"/>
      <c r="R72" s="228" t="str">
        <f t="shared" si="2"/>
        <v/>
      </c>
      <c r="S72" s="220" t="str">
        <f t="shared" si="3"/>
        <v/>
      </c>
      <c r="T72" s="218" t="str">
        <f t="shared" si="1"/>
        <v/>
      </c>
      <c r="U72" s="275"/>
      <c r="V72" s="275"/>
      <c r="W72" s="286"/>
    </row>
    <row r="73" ht="14.25" customHeight="1">
      <c r="A73" s="178"/>
      <c r="B73" s="12">
        <v>1837815.0</v>
      </c>
      <c r="C73" s="13">
        <v>45994.87384259259</v>
      </c>
      <c r="D73" s="179" t="s">
        <v>81</v>
      </c>
      <c r="E73" s="180" t="s">
        <v>127</v>
      </c>
      <c r="F73" s="181"/>
      <c r="G73" s="179" t="s">
        <v>381</v>
      </c>
      <c r="H73" s="190"/>
      <c r="I73" s="190"/>
      <c r="J73" s="187" t="s">
        <v>2735</v>
      </c>
      <c r="K73" s="187" t="s">
        <v>6576</v>
      </c>
      <c r="L73" s="270" t="str">
        <f>IFERROR(__xludf.DUMMYFUNCTION("IF(
  AND(D73=""Saída"", J73=""Sangria""),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"),"Confirmada")</f>
        <v>Confirmada</v>
      </c>
      <c r="M73" s="276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IFERROR(__xludf.DUMMYFUNCTION("ifna(VALUE(REGEXEXTRACT(E73,""[0-9.]+[,]+[0-9]+"")))"),250.0)</f>
        <v>250</v>
      </c>
      <c r="O73" s="229"/>
      <c r="P73" s="221"/>
      <c r="Q73" s="221"/>
      <c r="R73" s="231" t="str">
        <f t="shared" si="2"/>
        <v/>
      </c>
      <c r="S73" s="221" t="str">
        <f t="shared" si="3"/>
        <v/>
      </c>
      <c r="T73" s="218" t="str">
        <f t="shared" si="1"/>
        <v/>
      </c>
      <c r="U73" s="25"/>
      <c r="V73" s="25"/>
      <c r="W73" s="287"/>
    </row>
    <row r="74" ht="14.25" customHeight="1">
      <c r="A74" s="178"/>
      <c r="B74" s="12">
        <v>1838459.0</v>
      </c>
      <c r="C74" s="13">
        <v>45994.98903935185</v>
      </c>
      <c r="D74" s="179" t="s">
        <v>81</v>
      </c>
      <c r="E74" s="180" t="s">
        <v>416</v>
      </c>
      <c r="F74" s="181"/>
      <c r="G74" s="179" t="s">
        <v>381</v>
      </c>
      <c r="H74" s="190"/>
      <c r="I74" s="190"/>
      <c r="J74" s="187" t="s">
        <v>2735</v>
      </c>
      <c r="K74" s="187" t="s">
        <v>6576</v>
      </c>
      <c r="L74" s="270" t="str">
        <f>IFERROR(__xludf.DUMMYFUNCTION("IF(
  AND(D74=""Saída"", J74=""Sangria""),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"),"Confirmada")</f>
        <v>Confirmada</v>
      </c>
      <c r="M74" s="272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IFERROR(__xludf.DUMMYFUNCTION("ifna(VALUE(REGEXEXTRACT(E74,""[0-9.]+[,]+[0-9]+"")))"),100.0)</f>
        <v>100</v>
      </c>
      <c r="O74" s="226"/>
      <c r="P74" s="220"/>
      <c r="Q74" s="220"/>
      <c r="R74" s="228" t="str">
        <f t="shared" si="2"/>
        <v/>
      </c>
      <c r="S74" s="220" t="str">
        <f t="shared" si="3"/>
        <v/>
      </c>
      <c r="T74" s="218" t="str">
        <f t="shared" si="1"/>
        <v/>
      </c>
      <c r="U74" s="25"/>
      <c r="V74" s="25"/>
      <c r="W74" s="287"/>
    </row>
    <row r="75" ht="14.25" customHeight="1">
      <c r="A75" s="178"/>
      <c r="B75" s="12">
        <v>1838460.0</v>
      </c>
      <c r="C75" s="13">
        <v>45994.989375</v>
      </c>
      <c r="D75" s="179" t="s">
        <v>81</v>
      </c>
      <c r="E75" s="180" t="s">
        <v>155</v>
      </c>
      <c r="F75" s="181"/>
      <c r="G75" s="179" t="s">
        <v>6779</v>
      </c>
      <c r="H75" s="190"/>
      <c r="I75" s="190"/>
      <c r="J75" s="187" t="s">
        <v>2019</v>
      </c>
      <c r="K75" s="187" t="s">
        <v>6745</v>
      </c>
      <c r="L75" s="270" t="str">
        <f>IFERROR(__xludf.DUMMYFUNCTION("IF(
  AND(D75=""Saída"", J75=""Sangria""),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74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85">
        <f>IFERROR(__xludf.DUMMYFUNCTION("ifna(VALUE(REGEXEXTRACT(E75,""[0-9.]+[,]+[0-9]+"")))"),21.0)</f>
        <v>21</v>
      </c>
      <c r="O75" s="229"/>
      <c r="P75" s="221"/>
      <c r="Q75" s="221"/>
      <c r="R75" s="231" t="str">
        <f t="shared" si="2"/>
        <v/>
      </c>
      <c r="S75" s="221" t="str">
        <f t="shared" si="3"/>
        <v/>
      </c>
      <c r="T75" s="218" t="str">
        <f t="shared" si="1"/>
        <v/>
      </c>
      <c r="U75" s="25"/>
      <c r="V75" s="25"/>
      <c r="W75" s="287"/>
    </row>
    <row r="76" ht="14.25" customHeight="1">
      <c r="A76" s="178"/>
      <c r="B76" s="12">
        <v>1838461.0</v>
      </c>
      <c r="C76" s="13">
        <v>45994.98979166667</v>
      </c>
      <c r="D76" s="179" t="s">
        <v>81</v>
      </c>
      <c r="E76" s="180" t="s">
        <v>6780</v>
      </c>
      <c r="F76" s="188"/>
      <c r="G76" s="179" t="s">
        <v>6781</v>
      </c>
      <c r="H76" s="190"/>
      <c r="I76" s="190"/>
      <c r="J76" s="187" t="s">
        <v>2019</v>
      </c>
      <c r="K76" s="187" t="s">
        <v>6746</v>
      </c>
      <c r="L76" s="270" t="str">
        <f>IFERROR(__xludf.DUMMYFUNCTION("IF(
  AND(D76=""Saída"", J76=""Sangria""),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2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IFERROR(__xludf.DUMMYFUNCTION("ifna(VALUE(REGEXEXTRACT(E76,""[0-9.]+[,]+[0-9]+"")))"),36.48)</f>
        <v>36.48</v>
      </c>
      <c r="O76" s="226"/>
      <c r="P76" s="220"/>
      <c r="Q76" s="220"/>
      <c r="R76" s="228" t="str">
        <f t="shared" si="2"/>
        <v/>
      </c>
      <c r="S76" s="220" t="str">
        <f t="shared" si="3"/>
        <v/>
      </c>
      <c r="T76" s="288" t="str">
        <f t="shared" si="1"/>
        <v/>
      </c>
      <c r="U76" s="25"/>
      <c r="V76" s="25"/>
      <c r="W76" s="25"/>
    </row>
    <row r="77" ht="14.25" customHeight="1">
      <c r="A77" s="178"/>
      <c r="B77" s="12">
        <v>1838477.0</v>
      </c>
      <c r="C77" s="13">
        <v>45994.99927083333</v>
      </c>
      <c r="D77" s="179" t="s">
        <v>81</v>
      </c>
      <c r="E77" s="180" t="s">
        <v>590</v>
      </c>
      <c r="F77" s="188"/>
      <c r="G77" s="179" t="s">
        <v>4071</v>
      </c>
      <c r="H77" s="190"/>
      <c r="I77" s="190"/>
      <c r="J77" s="187" t="s">
        <v>2735</v>
      </c>
      <c r="K77" s="187" t="s">
        <v>2018</v>
      </c>
      <c r="L77" s="270" t="str">
        <f>IFERROR(__xludf.DUMMYFUNCTION("IF(
  AND(D77=""Saída"", J77=""Sangria""),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"),"Confirmada")</f>
        <v>Confirmada</v>
      </c>
      <c r="M77" s="274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IFERROR(__xludf.DUMMYFUNCTION("ifna(VALUE(REGEXEXTRACT(E77,""[0-9.]+[,]+[0-9]+"")))"),350.0)</f>
        <v>350</v>
      </c>
      <c r="O77" s="229"/>
      <c r="P77" s="221"/>
      <c r="Q77" s="221"/>
      <c r="R77" s="231" t="str">
        <f t="shared" si="2"/>
        <v/>
      </c>
      <c r="S77" s="221" t="str">
        <f t="shared" si="3"/>
        <v/>
      </c>
      <c r="T77" s="288" t="str">
        <f t="shared" si="1"/>
        <v/>
      </c>
      <c r="U77" s="25"/>
      <c r="V77" s="25"/>
      <c r="W77" s="25"/>
    </row>
    <row r="78" ht="14.25" customHeight="1">
      <c r="A78" s="178"/>
      <c r="B78" s="12">
        <v>1838911.0</v>
      </c>
      <c r="C78" s="13">
        <v>45995.65615740741</v>
      </c>
      <c r="D78" s="179" t="s">
        <v>81</v>
      </c>
      <c r="E78" s="180" t="s">
        <v>3486</v>
      </c>
      <c r="F78" s="181"/>
      <c r="G78" s="179" t="s">
        <v>346</v>
      </c>
      <c r="H78" s="190"/>
      <c r="I78" s="190"/>
      <c r="J78" s="187" t="s">
        <v>2735</v>
      </c>
      <c r="K78" s="187" t="s">
        <v>2018</v>
      </c>
      <c r="L78" s="270" t="str">
        <f>IFERROR(__xludf.DUMMYFUNCTION("IF(
  AND(D78=""Saída"", J78=""Sangria""),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"),"Confirmada")</f>
        <v>Confirmada</v>
      </c>
      <c r="M78" s="272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IFERROR(__xludf.DUMMYFUNCTION("ifna(VALUE(REGEXEXTRACT(E78,""[0-9.]+[,]+[0-9]+"")))"),500.0)</f>
        <v>500</v>
      </c>
      <c r="O78" s="226"/>
      <c r="P78" s="220"/>
      <c r="Q78" s="220"/>
      <c r="R78" s="228" t="str">
        <f t="shared" si="2"/>
        <v/>
      </c>
      <c r="S78" s="220" t="str">
        <f t="shared" si="3"/>
        <v/>
      </c>
      <c r="T78" s="288" t="str">
        <f t="shared" si="1"/>
        <v/>
      </c>
      <c r="U78" s="25"/>
      <c r="V78" s="25"/>
      <c r="W78" s="25"/>
    </row>
    <row r="79" ht="14.25" customHeight="1">
      <c r="A79" s="178"/>
      <c r="B79" s="12">
        <v>1839752.0</v>
      </c>
      <c r="C79" s="13">
        <v>45995.87259259259</v>
      </c>
      <c r="D79" s="179" t="s">
        <v>81</v>
      </c>
      <c r="E79" s="180" t="s">
        <v>5437</v>
      </c>
      <c r="F79" s="181"/>
      <c r="G79" s="179" t="s">
        <v>6782</v>
      </c>
      <c r="H79" s="190"/>
      <c r="I79" s="190"/>
      <c r="J79" s="187" t="s">
        <v>2735</v>
      </c>
      <c r="K79" s="187" t="s">
        <v>2018</v>
      </c>
      <c r="L79" s="270" t="str">
        <f>IFERROR(__xludf.DUMMYFUNCTION("IF(
  AND(D79=""Saída"", J79=""Sangria""),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"),"Confirmada")</f>
        <v>Confirmada</v>
      </c>
      <c r="M79" s="274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IFERROR(__xludf.DUMMYFUNCTION("ifna(VALUE(REGEXEXTRACT(E79,""[0-9.]+[,]+[0-9]+"")))"),600.0)</f>
        <v>600</v>
      </c>
      <c r="O79" s="229"/>
      <c r="P79" s="221"/>
      <c r="Q79" s="221"/>
      <c r="R79" s="231" t="str">
        <f t="shared" si="2"/>
        <v/>
      </c>
      <c r="S79" s="221" t="str">
        <f t="shared" si="3"/>
        <v/>
      </c>
      <c r="T79" s="288" t="str">
        <f t="shared" si="1"/>
        <v/>
      </c>
      <c r="U79" s="25"/>
      <c r="V79" s="25"/>
      <c r="W79" s="25"/>
    </row>
    <row r="80" ht="14.25" customHeight="1">
      <c r="A80" s="178"/>
      <c r="B80" s="12">
        <v>1840127.0</v>
      </c>
      <c r="C80" s="13">
        <v>45995.925150462965</v>
      </c>
      <c r="D80" s="179" t="s">
        <v>81</v>
      </c>
      <c r="E80" s="180" t="s">
        <v>6550</v>
      </c>
      <c r="F80" s="181"/>
      <c r="G80" s="179" t="s">
        <v>6783</v>
      </c>
      <c r="H80" s="190"/>
      <c r="I80" s="190"/>
      <c r="J80" s="187" t="s">
        <v>2438</v>
      </c>
      <c r="K80" s="187"/>
      <c r="L80" s="270" t="str">
        <f>IFERROR(__xludf.DUMMYFUNCTION("IF(
  AND(D80=""Saída"", J80=""Sangria""),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2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IFERROR(__xludf.DUMMYFUNCTION("ifna(VALUE(REGEXEXTRACT(E80,""[0-9.]+[,]+[0-9]+"")))"),62.9)</f>
        <v>62.9</v>
      </c>
      <c r="O80" s="226"/>
      <c r="P80" s="220"/>
      <c r="Q80" s="220"/>
      <c r="R80" s="228" t="str">
        <f t="shared" si="2"/>
        <v/>
      </c>
      <c r="S80" s="220" t="str">
        <f t="shared" si="3"/>
        <v/>
      </c>
      <c r="T80" s="218" t="str">
        <f t="shared" si="1"/>
        <v/>
      </c>
      <c r="U80" s="25"/>
      <c r="V80" s="25"/>
      <c r="W80" s="25"/>
    </row>
    <row r="81" ht="14.25" customHeight="1">
      <c r="A81" s="178"/>
      <c r="B81" s="12">
        <v>1840316.0</v>
      </c>
      <c r="C81" s="13">
        <v>45995.9553125</v>
      </c>
      <c r="D81" s="179" t="s">
        <v>81</v>
      </c>
      <c r="E81" s="180" t="s">
        <v>6784</v>
      </c>
      <c r="F81" s="181"/>
      <c r="G81" s="179" t="s">
        <v>6785</v>
      </c>
      <c r="H81" s="190"/>
      <c r="I81" s="190"/>
      <c r="J81" s="187" t="s">
        <v>3151</v>
      </c>
      <c r="K81" s="187"/>
      <c r="L81" s="270" t="str">
        <f>IFERROR(__xludf.DUMMYFUNCTION("IF(
  AND(D81=""Saída"", J81=""Sangria""),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74" t="str">
        <f>IFERROR(__xludf.DUMMYFUNCTION("IF(J81=""Compra de Mercadorias"",
   IF(
      COUNTIF(ARRAYFORMULA(TRIM(CLEAN(TO_TEXT(Notas!BS:BS)))), TRIM(CLEAN(TO_TEXT(B81)))) &gt; 0,
      ""Encontrada"",
      ""Não Encontrada""
   ),
"""")"),"Não Encontrada")</f>
        <v>Não Encontrada</v>
      </c>
      <c r="N81" s="185">
        <f>IFERROR(__xludf.DUMMYFUNCTION("ifna(VALUE(REGEXEXTRACT(E81,""[0-9.]+[,]+[0-9]+"")))"),107.0)</f>
        <v>107</v>
      </c>
      <c r="O81" s="229"/>
      <c r="P81" s="221"/>
      <c r="Q81" s="221"/>
      <c r="R81" s="231" t="str">
        <f t="shared" si="2"/>
        <v/>
      </c>
      <c r="S81" s="221" t="str">
        <f t="shared" si="3"/>
        <v/>
      </c>
      <c r="T81" s="218" t="str">
        <f t="shared" si="1"/>
        <v/>
      </c>
      <c r="U81" s="185"/>
      <c r="V81" s="185"/>
      <c r="W81" s="185"/>
    </row>
    <row r="82" ht="14.25" customHeight="1">
      <c r="A82" s="178"/>
      <c r="B82" s="12">
        <v>1840391.0</v>
      </c>
      <c r="C82" s="13">
        <v>45995.968935185185</v>
      </c>
      <c r="D82" s="179" t="s">
        <v>81</v>
      </c>
      <c r="E82" s="180" t="s">
        <v>6786</v>
      </c>
      <c r="F82" s="181"/>
      <c r="G82" s="179" t="s">
        <v>6787</v>
      </c>
      <c r="H82" s="190"/>
      <c r="I82" s="190"/>
      <c r="J82" s="187" t="s">
        <v>1782</v>
      </c>
      <c r="K82" s="187"/>
      <c r="L82" s="270" t="str">
        <f>IFERROR(__xludf.DUMMYFUNCTION("IF(
  AND(D82=""Saída"", J82=""Sangria""),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2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IFERROR(__xludf.DUMMYFUNCTION("ifna(VALUE(REGEXEXTRACT(E82,""[0-9.]+[,]+[0-9]+"")))"),95.0)</f>
        <v>95</v>
      </c>
      <c r="O82" s="226"/>
      <c r="P82" s="220"/>
      <c r="Q82" s="220"/>
      <c r="R82" s="228" t="str">
        <f t="shared" si="2"/>
        <v/>
      </c>
      <c r="S82" s="220" t="str">
        <f t="shared" si="3"/>
        <v/>
      </c>
      <c r="T82" s="218" t="str">
        <f t="shared" si="1"/>
        <v/>
      </c>
      <c r="U82" s="185"/>
      <c r="V82" s="185"/>
      <c r="W82" s="185"/>
    </row>
    <row r="83" ht="14.25" customHeight="1">
      <c r="A83" s="178"/>
      <c r="B83" s="12">
        <v>1841035.0</v>
      </c>
      <c r="C83" s="13">
        <v>45996.661574074074</v>
      </c>
      <c r="D83" s="179" t="s">
        <v>81</v>
      </c>
      <c r="E83" s="180" t="s">
        <v>6788</v>
      </c>
      <c r="F83" s="188"/>
      <c r="G83" s="179" t="s">
        <v>6789</v>
      </c>
      <c r="H83" s="190"/>
      <c r="I83" s="190"/>
      <c r="J83" s="187" t="s">
        <v>2438</v>
      </c>
      <c r="K83" s="187"/>
      <c r="L83" s="270" t="str">
        <f>IFERROR(__xludf.DUMMYFUNCTION("IF(
  AND(D83=""Saída"", J83=""Sangria""),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74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IFERROR(__xludf.DUMMYFUNCTION("ifna(VALUE(REGEXEXTRACT(E83,""[0-9.]+[,]+[0-9]+"")))"),47.05)</f>
        <v>47.05</v>
      </c>
      <c r="O83" s="229"/>
      <c r="P83" s="221"/>
      <c r="Q83" s="221"/>
      <c r="R83" s="231" t="str">
        <f t="shared" si="2"/>
        <v/>
      </c>
      <c r="S83" s="221" t="str">
        <f t="shared" si="3"/>
        <v/>
      </c>
      <c r="T83" s="232" t="str">
        <f t="shared" ref="T83:T104" si="4">IFERROR(VLOOKUP(Q83, $A$4:$B$18, 2, FALSE), "")</f>
        <v/>
      </c>
      <c r="U83" s="185"/>
      <c r="V83" s="185"/>
      <c r="W83" s="185"/>
    </row>
    <row r="84" ht="14.25" customHeight="1">
      <c r="A84" s="178"/>
      <c r="B84" s="12">
        <v>1841804.0</v>
      </c>
      <c r="C84" s="13">
        <v>45996.82710648148</v>
      </c>
      <c r="D84" s="179" t="s">
        <v>81</v>
      </c>
      <c r="E84" s="180" t="s">
        <v>6790</v>
      </c>
      <c r="F84" s="181"/>
      <c r="G84" s="179" t="s">
        <v>6791</v>
      </c>
      <c r="H84" s="190"/>
      <c r="I84" s="190"/>
      <c r="J84" s="187" t="s">
        <v>2438</v>
      </c>
      <c r="K84" s="187"/>
      <c r="L84" s="270" t="str">
        <f>IFERROR(__xludf.DUMMYFUNCTION("IF(
  AND(D84=""Saída"", J84=""Sangria""),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2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IFERROR(__xludf.DUMMYFUNCTION("ifna(VALUE(REGEXEXTRACT(E84,""[0-9.]+[,]+[0-9]+"")))"),17.36)</f>
        <v>17.36</v>
      </c>
      <c r="O84" s="226"/>
      <c r="P84" s="220"/>
      <c r="Q84" s="220"/>
      <c r="R84" s="228" t="str">
        <f t="shared" si="2"/>
        <v/>
      </c>
      <c r="S84" s="220" t="str">
        <f t="shared" si="3"/>
        <v/>
      </c>
      <c r="T84" s="232" t="str">
        <f t="shared" si="4"/>
        <v/>
      </c>
      <c r="U84" s="185"/>
      <c r="V84" s="185"/>
      <c r="W84" s="185"/>
    </row>
    <row r="85" ht="14.25" customHeight="1">
      <c r="A85" s="178"/>
      <c r="B85" s="12">
        <v>1841806.0</v>
      </c>
      <c r="C85" s="13">
        <v>45996.82809027778</v>
      </c>
      <c r="D85" s="179" t="s">
        <v>81</v>
      </c>
      <c r="E85" s="180" t="s">
        <v>6792</v>
      </c>
      <c r="F85" s="181"/>
      <c r="G85" s="179" t="s">
        <v>6793</v>
      </c>
      <c r="H85" s="190"/>
      <c r="I85" s="190"/>
      <c r="J85" s="187" t="s">
        <v>3151</v>
      </c>
      <c r="K85" s="187"/>
      <c r="L85" s="270" t="str">
        <f>IFERROR(__xludf.DUMMYFUNCTION("IF(
  AND(D85=""Saída"", J85=""Sangria""),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74" t="str">
        <f>IFERROR(__xludf.DUMMYFUNCTION("IF(J85=""Compra de Mercadorias"",
   IF(
      COUNTIF(ARRAYFORMULA(TRIM(CLEAN(TO_TEXT(Notas!BS:BS)))), TRIM(CLEAN(TO_TEXT(B85)))) &gt; 0,
      ""Encontrada"",
      ""Não Encontrada""
   ),
"""")"),"Não Encontrada")</f>
        <v>Não Encontrada</v>
      </c>
      <c r="N85" s="185">
        <f>IFERROR(__xludf.DUMMYFUNCTION("ifna(VALUE(REGEXEXTRACT(E85,""[0-9.]+[,]+[0-9]+"")))"),39.96)</f>
        <v>39.96</v>
      </c>
      <c r="O85" s="229"/>
      <c r="P85" s="221"/>
      <c r="Q85" s="221"/>
      <c r="R85" s="231" t="str">
        <f t="shared" si="2"/>
        <v/>
      </c>
      <c r="S85" s="221" t="str">
        <f t="shared" si="3"/>
        <v/>
      </c>
      <c r="T85" s="232" t="str">
        <f t="shared" si="4"/>
        <v/>
      </c>
      <c r="U85" s="185"/>
      <c r="V85" s="185"/>
      <c r="W85" s="185"/>
    </row>
    <row r="86" ht="14.25" customHeight="1">
      <c r="A86" s="178"/>
      <c r="B86" s="12">
        <v>1841846.0</v>
      </c>
      <c r="C86" s="13">
        <v>45996.84008101852</v>
      </c>
      <c r="D86" s="179" t="s">
        <v>81</v>
      </c>
      <c r="E86" s="180" t="s">
        <v>402</v>
      </c>
      <c r="F86" s="181"/>
      <c r="G86" s="179" t="s">
        <v>6794</v>
      </c>
      <c r="H86" s="190"/>
      <c r="I86" s="190"/>
      <c r="J86" s="187" t="s">
        <v>3151</v>
      </c>
      <c r="K86" s="187"/>
      <c r="L86" s="270" t="str">
        <f>IFERROR(__xludf.DUMMYFUNCTION("IF(
  AND(D86=""Saída"", J86=""Sangria""),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2" t="str">
        <f>IFERROR(__xludf.DUMMYFUNCTION("IF(J86=""Compra de Mercadorias"",
   IF(
      COUNTIF(ARRAYFORMULA(TRIM(CLEAN(TO_TEXT(Notas!BS:BS)))), TRIM(CLEAN(TO_TEXT(B86)))) &gt; 0,
      ""Encontrada"",
      ""Não Encontrada""
   ),
"""")"),"Não Encontrada")</f>
        <v>Não Encontrada</v>
      </c>
      <c r="N86" s="185">
        <f>IFERROR(__xludf.DUMMYFUNCTION("ifna(VALUE(REGEXEXTRACT(E86,""[0-9.]+[,]+[0-9]+"")))"),20.0)</f>
        <v>20</v>
      </c>
      <c r="O86" s="226"/>
      <c r="P86" s="220"/>
      <c r="Q86" s="220"/>
      <c r="R86" s="228" t="str">
        <f t="shared" si="2"/>
        <v/>
      </c>
      <c r="S86" s="220" t="str">
        <f t="shared" si="3"/>
        <v/>
      </c>
      <c r="T86" s="232" t="str">
        <f t="shared" si="4"/>
        <v/>
      </c>
      <c r="U86" s="185"/>
      <c r="V86" s="185"/>
      <c r="W86" s="185"/>
    </row>
    <row r="87" ht="14.25" customHeight="1">
      <c r="A87" s="178"/>
      <c r="B87" s="12">
        <v>1841901.0</v>
      </c>
      <c r="C87" s="13">
        <v>45996.85576388889</v>
      </c>
      <c r="D87" s="179" t="s">
        <v>81</v>
      </c>
      <c r="E87" s="180" t="s">
        <v>6795</v>
      </c>
      <c r="F87" s="181"/>
      <c r="G87" s="179" t="s">
        <v>460</v>
      </c>
      <c r="H87" s="190"/>
      <c r="I87" s="190"/>
      <c r="J87" s="187" t="s">
        <v>3151</v>
      </c>
      <c r="K87" s="187"/>
      <c r="L87" s="270" t="str">
        <f>IFERROR(__xludf.DUMMYFUNCTION("IF(
  AND(D87=""Saída"", J87=""Sangria""),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74" t="str">
        <f>IFERROR(__xludf.DUMMYFUNCTION("IF(J87=""Compra de Mercadorias"",
   IF(
      COUNTIF(ARRAYFORMULA(TRIM(CLEAN(TO_TEXT(Notas!BS:BS)))), TRIM(CLEAN(TO_TEXT(B87)))) &gt; 0,
      ""Encontrada"",
      ""Não Encontrada""
   ),
"""")"),"Não Encontrada")</f>
        <v>Não Encontrada</v>
      </c>
      <c r="N87" s="185">
        <f>IFERROR(__xludf.DUMMYFUNCTION("ifna(VALUE(REGEXEXTRACT(E87,""[0-9.]+[,]+[0-9]+"")))"),162.96)</f>
        <v>162.96</v>
      </c>
      <c r="O87" s="229"/>
      <c r="P87" s="221"/>
      <c r="Q87" s="221"/>
      <c r="R87" s="231" t="str">
        <f t="shared" si="2"/>
        <v/>
      </c>
      <c r="S87" s="221" t="str">
        <f t="shared" si="3"/>
        <v/>
      </c>
      <c r="T87" s="232" t="str">
        <f t="shared" si="4"/>
        <v/>
      </c>
      <c r="U87" s="185"/>
      <c r="V87" s="185"/>
      <c r="W87" s="185"/>
    </row>
    <row r="88" ht="14.25" customHeight="1">
      <c r="A88" s="178"/>
      <c r="B88" s="12">
        <v>1842578.0</v>
      </c>
      <c r="C88" s="13">
        <v>45996.958402777775</v>
      </c>
      <c r="D88" s="179" t="s">
        <v>81</v>
      </c>
      <c r="E88" s="180" t="s">
        <v>446</v>
      </c>
      <c r="F88" s="181"/>
      <c r="G88" s="179" t="s">
        <v>381</v>
      </c>
      <c r="H88" s="190"/>
      <c r="I88" s="190"/>
      <c r="J88" s="187" t="s">
        <v>2735</v>
      </c>
      <c r="K88" s="187" t="s">
        <v>6576</v>
      </c>
      <c r="L88" s="270" t="str">
        <f>IFERROR(__xludf.DUMMYFUNCTION("IF(
  AND(D88=""Saída"", J88=""Sangria""),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"),"Confirmada")</f>
        <v>Confirmada</v>
      </c>
      <c r="M88" s="272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85">
        <f>IFERROR(__xludf.DUMMYFUNCTION("ifna(VALUE(REGEXEXTRACT(E88,""[0-9.]+[,]+[0-9]+"")))"),700.0)</f>
        <v>700</v>
      </c>
      <c r="O88" s="226"/>
      <c r="P88" s="220"/>
      <c r="Q88" s="220"/>
      <c r="R88" s="228" t="str">
        <f t="shared" si="2"/>
        <v/>
      </c>
      <c r="S88" s="220" t="str">
        <f t="shared" si="3"/>
        <v/>
      </c>
      <c r="T88" s="232" t="str">
        <f t="shared" si="4"/>
        <v/>
      </c>
      <c r="U88" s="185"/>
      <c r="V88" s="185"/>
      <c r="W88" s="185"/>
    </row>
    <row r="89" ht="14.25" customHeight="1">
      <c r="A89" s="178"/>
      <c r="B89" s="12">
        <v>1842579.0</v>
      </c>
      <c r="C89" s="13">
        <v>45996.95861111111</v>
      </c>
      <c r="D89" s="179" t="s">
        <v>81</v>
      </c>
      <c r="E89" s="180" t="s">
        <v>910</v>
      </c>
      <c r="F89" s="181"/>
      <c r="G89" s="179" t="s">
        <v>381</v>
      </c>
      <c r="H89" s="190"/>
      <c r="I89" s="190"/>
      <c r="J89" s="187" t="s">
        <v>2735</v>
      </c>
      <c r="K89" s="187" t="s">
        <v>6576</v>
      </c>
      <c r="L89" s="270" t="str">
        <f>IFERROR(__xludf.DUMMYFUNCTION("IF(
  AND(D89=""Saída"", J89=""Sangria""),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"),"Confirmada")</f>
        <v>Confirmada</v>
      </c>
      <c r="M89" s="274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85">
        <f>IFERROR(__xludf.DUMMYFUNCTION("ifna(VALUE(REGEXEXTRACT(E89,""[0-9.]+[,]+[0-9]+"")))"),1000.0)</f>
        <v>1000</v>
      </c>
      <c r="O89" s="229"/>
      <c r="P89" s="221"/>
      <c r="Q89" s="221"/>
      <c r="R89" s="231" t="str">
        <f t="shared" si="2"/>
        <v/>
      </c>
      <c r="S89" s="221" t="str">
        <f t="shared" si="3"/>
        <v/>
      </c>
      <c r="T89" s="232" t="str">
        <f t="shared" si="4"/>
        <v/>
      </c>
      <c r="U89" s="185"/>
      <c r="V89" s="185"/>
      <c r="W89" s="185"/>
    </row>
    <row r="90" ht="14.25" customHeight="1">
      <c r="A90" s="178"/>
      <c r="B90" s="12">
        <v>1842588.0</v>
      </c>
      <c r="C90" s="13">
        <v>45996.9600462963</v>
      </c>
      <c r="D90" s="179" t="s">
        <v>81</v>
      </c>
      <c r="E90" s="180" t="s">
        <v>6796</v>
      </c>
      <c r="F90" s="181"/>
      <c r="G90" s="179" t="s">
        <v>6797</v>
      </c>
      <c r="H90" s="190"/>
      <c r="I90" s="190"/>
      <c r="J90" s="187" t="s">
        <v>3151</v>
      </c>
      <c r="K90" s="187"/>
      <c r="L90" s="270" t="str">
        <f>IFERROR(__xludf.DUMMYFUNCTION("IF(
  AND(D90=""Saída"", J90=""Sangria""),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2" t="str">
        <f>IFERROR(__xludf.DUMMYFUNCTION("IF(J90=""Compra de Mercadorias"",
   IF(
      COUNTIF(ARRAYFORMULA(TRIM(CLEAN(TO_TEXT(Notas!BS:BS)))), TRIM(CLEAN(TO_TEXT(B90)))) &gt; 0,
      ""Encontrada"",
      ""Não Encontrada""
   ),
"""")"),"Não Encontrada")</f>
        <v>Não Encontrada</v>
      </c>
      <c r="N90" s="185">
        <f>IFERROR(__xludf.DUMMYFUNCTION("ifna(VALUE(REGEXEXTRACT(E90,""[0-9.]+[,]+[0-9]+"")))"),244.0)</f>
        <v>244</v>
      </c>
      <c r="O90" s="226"/>
      <c r="P90" s="220"/>
      <c r="Q90" s="220"/>
      <c r="R90" s="228" t="str">
        <f t="shared" si="2"/>
        <v/>
      </c>
      <c r="S90" s="220" t="str">
        <f t="shared" si="3"/>
        <v/>
      </c>
      <c r="T90" s="232" t="str">
        <f t="shared" si="4"/>
        <v/>
      </c>
      <c r="U90" s="185"/>
      <c r="V90" s="185"/>
      <c r="W90" s="185"/>
    </row>
    <row r="91" ht="14.25" customHeight="1">
      <c r="A91" s="178"/>
      <c r="B91" s="12">
        <v>1842635.0</v>
      </c>
      <c r="C91" s="13">
        <v>45996.965520833335</v>
      </c>
      <c r="D91" s="179" t="s">
        <v>81</v>
      </c>
      <c r="E91" s="180" t="s">
        <v>457</v>
      </c>
      <c r="F91" s="181"/>
      <c r="G91" s="179" t="s">
        <v>381</v>
      </c>
      <c r="H91" s="190"/>
      <c r="I91" s="190"/>
      <c r="J91" s="187" t="s">
        <v>2735</v>
      </c>
      <c r="K91" s="187" t="s">
        <v>6576</v>
      </c>
      <c r="L91" s="270" t="str">
        <f>IFERROR(__xludf.DUMMYFUNCTION("IF(
  AND(D91=""Saída"", J91=""Sangria""),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"),"Confirmada")</f>
        <v>Confirmada</v>
      </c>
      <c r="M91" s="274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IFERROR(__xludf.DUMMYFUNCTION("ifna(VALUE(REGEXEXTRACT(E91,""[0-9.]+[,]+[0-9]+"")))"),200.0)</f>
        <v>200</v>
      </c>
      <c r="O91" s="229"/>
      <c r="P91" s="221"/>
      <c r="Q91" s="221"/>
      <c r="R91" s="231" t="str">
        <f t="shared" si="2"/>
        <v/>
      </c>
      <c r="S91" s="221" t="str">
        <f t="shared" si="3"/>
        <v/>
      </c>
      <c r="T91" s="232" t="str">
        <f t="shared" si="4"/>
        <v/>
      </c>
      <c r="U91" s="185"/>
      <c r="V91" s="185"/>
      <c r="W91" s="185"/>
    </row>
    <row r="92" ht="14.25" customHeight="1">
      <c r="A92" s="178"/>
      <c r="B92" s="12">
        <v>1842688.0</v>
      </c>
      <c r="C92" s="13">
        <v>45996.975011574075</v>
      </c>
      <c r="D92" s="179" t="s">
        <v>81</v>
      </c>
      <c r="E92" s="180" t="s">
        <v>4106</v>
      </c>
      <c r="F92" s="188"/>
      <c r="G92" s="179" t="s">
        <v>381</v>
      </c>
      <c r="H92" s="190"/>
      <c r="I92" s="190"/>
      <c r="J92" s="187" t="s">
        <v>2735</v>
      </c>
      <c r="K92" s="187" t="s">
        <v>6576</v>
      </c>
      <c r="L92" s="270" t="str">
        <f>IFERROR(__xludf.DUMMYFUNCTION("IF(
  AND(D92=""Saída"", J92=""Sangria""),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"),"Caixa Sangria")</f>
        <v>Caixa Sangria</v>
      </c>
      <c r="M92" s="272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IFERROR(__xludf.DUMMYFUNCTION("ifna(VALUE(REGEXEXTRACT(E92,""[0-9.]+[,]+[0-9]+"")))"),750.0)</f>
        <v>750</v>
      </c>
      <c r="O92" s="226"/>
      <c r="P92" s="220"/>
      <c r="Q92" s="220"/>
      <c r="R92" s="228" t="str">
        <f t="shared" si="2"/>
        <v/>
      </c>
      <c r="S92" s="220" t="str">
        <f t="shared" si="3"/>
        <v/>
      </c>
      <c r="T92" s="232" t="str">
        <f t="shared" si="4"/>
        <v/>
      </c>
      <c r="U92" s="185"/>
      <c r="V92" s="185"/>
      <c r="W92" s="185"/>
    </row>
    <row r="93" ht="14.25" customHeight="1">
      <c r="A93" s="178"/>
      <c r="B93" s="12">
        <v>1845370.0</v>
      </c>
      <c r="C93" s="13">
        <v>45997.96965277778</v>
      </c>
      <c r="D93" s="179" t="s">
        <v>81</v>
      </c>
      <c r="E93" s="180" t="s">
        <v>3362</v>
      </c>
      <c r="F93" s="181"/>
      <c r="G93" s="179" t="s">
        <v>5942</v>
      </c>
      <c r="H93" s="190"/>
      <c r="I93" s="190"/>
      <c r="J93" s="187" t="s">
        <v>2735</v>
      </c>
      <c r="K93" s="187" t="s">
        <v>2018</v>
      </c>
      <c r="L93" s="270" t="str">
        <f>IFERROR(__xludf.DUMMYFUNCTION("IF(
  AND(D93=""Saída"", J93=""Sangria""),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"),"Confirmada")</f>
        <v>Confirmada</v>
      </c>
      <c r="M93" s="274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IFERROR(__xludf.DUMMYFUNCTION("ifna(VALUE(REGEXEXTRACT(E93,""[0-9.]+[,]+[0-9]+"")))"),2150.0)</f>
        <v>2150</v>
      </c>
      <c r="O93" s="229"/>
      <c r="P93" s="221"/>
      <c r="Q93" s="221"/>
      <c r="R93" s="231" t="str">
        <f t="shared" si="2"/>
        <v/>
      </c>
      <c r="S93" s="221" t="str">
        <f t="shared" si="3"/>
        <v/>
      </c>
      <c r="T93" s="232" t="str">
        <f t="shared" si="4"/>
        <v/>
      </c>
      <c r="U93" s="185"/>
      <c r="V93" s="185"/>
      <c r="W93" s="185"/>
    </row>
    <row r="94" ht="14.25" customHeight="1">
      <c r="A94" s="178"/>
      <c r="B94" s="12">
        <v>1845629.0</v>
      </c>
      <c r="C94" s="13">
        <v>45998.02082175926</v>
      </c>
      <c r="D94" s="179" t="s">
        <v>81</v>
      </c>
      <c r="E94" s="180" t="s">
        <v>6798</v>
      </c>
      <c r="F94" s="181"/>
      <c r="G94" s="179" t="s">
        <v>506</v>
      </c>
      <c r="H94" s="190"/>
      <c r="I94" s="190"/>
      <c r="J94" s="187" t="s">
        <v>1782</v>
      </c>
      <c r="K94" s="187"/>
      <c r="L94" s="270" t="str">
        <f>IFERROR(__xludf.DUMMYFUNCTION("IF(
  AND(D94=""Saída"", J94=""Sangria""),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6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IFERROR(__xludf.DUMMYFUNCTION("ifna(VALUE(REGEXEXTRACT(E94,""[0-9.]+[,]+[0-9]+"")))"),119.0)</f>
        <v>119</v>
      </c>
      <c r="O94" s="226"/>
      <c r="P94" s="220"/>
      <c r="Q94" s="220"/>
      <c r="R94" s="228" t="str">
        <f t="shared" si="2"/>
        <v/>
      </c>
      <c r="S94" s="220" t="str">
        <f t="shared" si="3"/>
        <v/>
      </c>
      <c r="T94" s="232" t="str">
        <f t="shared" si="4"/>
        <v/>
      </c>
      <c r="U94" s="185"/>
      <c r="V94" s="185"/>
      <c r="W94" s="185"/>
    </row>
    <row r="95" ht="14.25" customHeight="1">
      <c r="A95" s="178"/>
      <c r="B95" s="12">
        <v>1846185.0</v>
      </c>
      <c r="C95" s="13">
        <v>45998.66762731481</v>
      </c>
      <c r="D95" s="179" t="s">
        <v>81</v>
      </c>
      <c r="E95" s="180" t="s">
        <v>1248</v>
      </c>
      <c r="F95" s="181"/>
      <c r="G95" s="179" t="s">
        <v>5942</v>
      </c>
      <c r="H95" s="190"/>
      <c r="I95" s="190"/>
      <c r="J95" s="187" t="s">
        <v>2735</v>
      </c>
      <c r="K95" s="187" t="s">
        <v>2018</v>
      </c>
      <c r="L95" s="270" t="str">
        <f>IFERROR(__xludf.DUMMYFUNCTION("IF(
  AND(D95=""Saída"", J95=""Sangria""),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"),"Confirmada")</f>
        <v>Confirmada</v>
      </c>
      <c r="M95" s="274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IFERROR(__xludf.DUMMYFUNCTION("ifna(VALUE(REGEXEXTRACT(E95,""[0-9.]+[,]+[0-9]+"")))"),850.0)</f>
        <v>850</v>
      </c>
      <c r="O95" s="229"/>
      <c r="P95" s="221"/>
      <c r="Q95" s="221"/>
      <c r="R95" s="231" t="str">
        <f t="shared" si="2"/>
        <v/>
      </c>
      <c r="S95" s="221" t="str">
        <f t="shared" si="3"/>
        <v/>
      </c>
      <c r="T95" s="232" t="str">
        <f t="shared" si="4"/>
        <v/>
      </c>
      <c r="U95" s="185"/>
      <c r="V95" s="185"/>
      <c r="W95" s="185"/>
    </row>
    <row r="96" ht="14.25" customHeight="1">
      <c r="A96" s="178"/>
      <c r="B96" s="12">
        <v>1846634.0</v>
      </c>
      <c r="C96" s="13">
        <v>45998.744421296295</v>
      </c>
      <c r="D96" s="179" t="s">
        <v>81</v>
      </c>
      <c r="E96" s="180" t="s">
        <v>1248</v>
      </c>
      <c r="F96" s="181"/>
      <c r="G96" s="179" t="s">
        <v>346</v>
      </c>
      <c r="H96" s="190"/>
      <c r="I96" s="190"/>
      <c r="J96" s="187" t="s">
        <v>2735</v>
      </c>
      <c r="K96" s="187" t="s">
        <v>2018</v>
      </c>
      <c r="L96" s="270" t="str">
        <f>IFERROR(__xludf.DUMMYFUNCTION("IF(
  AND(D96=""Saída"", J96=""Sangria""),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"),"Confirmada")</f>
        <v>Confirmada</v>
      </c>
      <c r="M96" s="272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IFERROR(__xludf.DUMMYFUNCTION("ifna(VALUE(REGEXEXTRACT(E96,""[0-9.]+[,]+[0-9]+"")))"),850.0)</f>
        <v>850</v>
      </c>
      <c r="O96" s="226"/>
      <c r="P96" s="220"/>
      <c r="Q96" s="220"/>
      <c r="R96" s="228" t="str">
        <f t="shared" si="2"/>
        <v/>
      </c>
      <c r="S96" s="220" t="str">
        <f t="shared" si="3"/>
        <v/>
      </c>
      <c r="T96" s="232" t="str">
        <f t="shared" si="4"/>
        <v/>
      </c>
      <c r="U96" s="185"/>
      <c r="V96" s="185"/>
      <c r="W96" s="185"/>
    </row>
    <row r="97" ht="14.25" customHeight="1">
      <c r="A97" s="178"/>
      <c r="B97" s="12">
        <v>1847077.0</v>
      </c>
      <c r="C97" s="13">
        <v>45998.80962962963</v>
      </c>
      <c r="D97" s="179" t="s">
        <v>81</v>
      </c>
      <c r="E97" s="180" t="s">
        <v>6799</v>
      </c>
      <c r="F97" s="181"/>
      <c r="G97" s="179" t="s">
        <v>6800</v>
      </c>
      <c r="H97" s="190"/>
      <c r="I97" s="190"/>
      <c r="J97" s="187" t="s">
        <v>2438</v>
      </c>
      <c r="K97" s="187"/>
      <c r="L97" s="270" t="str">
        <f>IFERROR(__xludf.DUMMYFUNCTION("IF(
  AND(D97=""Saída"", J97=""Sangria""),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74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IFERROR(__xludf.DUMMYFUNCTION("ifna(VALUE(REGEXEXTRACT(E97,""[0-9.]+[,]+[0-9]+"")))"),58.25)</f>
        <v>58.25</v>
      </c>
      <c r="O97" s="229"/>
      <c r="P97" s="221"/>
      <c r="Q97" s="221"/>
      <c r="R97" s="231" t="str">
        <f t="shared" si="2"/>
        <v/>
      </c>
      <c r="S97" s="221" t="str">
        <f t="shared" si="3"/>
        <v/>
      </c>
      <c r="T97" s="232" t="str">
        <f t="shared" si="4"/>
        <v/>
      </c>
      <c r="U97" s="185"/>
      <c r="V97" s="185"/>
      <c r="W97" s="185"/>
    </row>
    <row r="98" ht="14.25" customHeight="1">
      <c r="A98" s="178"/>
      <c r="B98" s="12">
        <v>1847426.0</v>
      </c>
      <c r="C98" s="13">
        <v>45998.85616898148</v>
      </c>
      <c r="D98" s="179" t="s">
        <v>81</v>
      </c>
      <c r="E98" s="180" t="s">
        <v>335</v>
      </c>
      <c r="F98" s="181"/>
      <c r="G98" s="179" t="s">
        <v>5356</v>
      </c>
      <c r="H98" s="190"/>
      <c r="I98" s="190"/>
      <c r="J98" s="187" t="s">
        <v>3375</v>
      </c>
      <c r="K98" s="187"/>
      <c r="L98" s="270" t="str">
        <f>IFERROR(__xludf.DUMMYFUNCTION("IF(
  AND(D98=""Saída"", J98=""Sangria""),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2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IFERROR(__xludf.DUMMYFUNCTION("ifna(VALUE(REGEXEXTRACT(E98,""[0-9.]+[,]+[0-9]+"")))"),10.0)</f>
        <v>10</v>
      </c>
      <c r="O98" s="226"/>
      <c r="P98" s="220"/>
      <c r="Q98" s="220"/>
      <c r="R98" s="228" t="str">
        <f t="shared" si="2"/>
        <v/>
      </c>
      <c r="S98" s="220" t="str">
        <f t="shared" si="3"/>
        <v/>
      </c>
      <c r="T98" s="232" t="str">
        <f t="shared" si="4"/>
        <v/>
      </c>
      <c r="U98" s="185"/>
      <c r="V98" s="185"/>
      <c r="W98" s="185"/>
    </row>
    <row r="99" ht="14.25" customHeight="1">
      <c r="A99" s="178"/>
      <c r="B99" s="12">
        <v>1847942.0</v>
      </c>
      <c r="C99" s="13">
        <v>45998.91568287037</v>
      </c>
      <c r="D99" s="179" t="s">
        <v>81</v>
      </c>
      <c r="E99" s="180" t="s">
        <v>6801</v>
      </c>
      <c r="F99" s="181"/>
      <c r="G99" s="179" t="s">
        <v>4041</v>
      </c>
      <c r="H99" s="190"/>
      <c r="I99" s="190"/>
      <c r="J99" s="187" t="s">
        <v>3151</v>
      </c>
      <c r="K99" s="187"/>
      <c r="L99" s="270" t="str">
        <f>IFERROR(__xludf.DUMMYFUNCTION("IF(
  AND(D99=""Saída"", J99=""Sangria""),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74" t="str">
        <f>IFERROR(__xludf.DUMMYFUNCTION("IF(J99=""Compra de Mercadorias"",
   IF(
      COUNTIF(ARRAYFORMULA(TRIM(CLEAN(TO_TEXT(Notas!BS:BS)))), TRIM(CLEAN(TO_TEXT(B99)))) &gt; 0,
      ""Encontrada"",
      ""Não Encontrada""
   ),
"""")"),"Não Encontrada")</f>
        <v>Não Encontrada</v>
      </c>
      <c r="N99" s="185">
        <f>IFERROR(__xludf.DUMMYFUNCTION("ifna(VALUE(REGEXEXTRACT(E99,""[0-9.]+[,]+[0-9]+"")))"),7.67)</f>
        <v>7.67</v>
      </c>
      <c r="O99" s="235"/>
      <c r="P99" s="236"/>
      <c r="Q99" s="236"/>
      <c r="R99" s="237" t="str">
        <f t="shared" si="2"/>
        <v/>
      </c>
      <c r="S99" s="236" t="str">
        <f t="shared" si="3"/>
        <v/>
      </c>
      <c r="T99" s="232" t="str">
        <f t="shared" si="4"/>
        <v/>
      </c>
      <c r="U99" s="185"/>
      <c r="V99" s="185"/>
      <c r="W99" s="185"/>
    </row>
    <row r="100" ht="14.25" customHeight="1">
      <c r="A100" s="178"/>
      <c r="B100" s="12">
        <v>1848487.0</v>
      </c>
      <c r="C100" s="13">
        <v>45998.951319444444</v>
      </c>
      <c r="D100" s="179" t="s">
        <v>81</v>
      </c>
      <c r="E100" s="180" t="s">
        <v>6802</v>
      </c>
      <c r="F100" s="181"/>
      <c r="G100" s="179" t="s">
        <v>5861</v>
      </c>
      <c r="H100" s="190"/>
      <c r="I100" s="190"/>
      <c r="J100" s="187" t="s">
        <v>2019</v>
      </c>
      <c r="K100" s="187" t="s">
        <v>2117</v>
      </c>
      <c r="L100" s="270" t="str">
        <f>IFERROR(__xludf.DUMMYFUNCTION("IF(
  AND(D100=""Saída"", J100=""Sangria""),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2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IFERROR(__xludf.DUMMYFUNCTION("ifna(VALUE(REGEXEXTRACT(E100,""[0-9.]+[,]+[0-9]+"")))"),44.28)</f>
        <v>44.28</v>
      </c>
      <c r="O100" s="235"/>
      <c r="P100" s="236"/>
      <c r="Q100" s="236"/>
      <c r="R100" s="237" t="str">
        <f t="shared" si="2"/>
        <v/>
      </c>
      <c r="S100" s="236" t="str">
        <f t="shared" si="3"/>
        <v/>
      </c>
      <c r="T100" s="232" t="str">
        <f t="shared" si="4"/>
        <v/>
      </c>
      <c r="U100" s="185"/>
      <c r="V100" s="185"/>
      <c r="W100" s="185"/>
    </row>
    <row r="101" ht="14.25" customHeight="1">
      <c r="A101" s="178"/>
      <c r="B101" s="12">
        <v>1848896.0</v>
      </c>
      <c r="C101" s="13">
        <v>45998.99465277778</v>
      </c>
      <c r="D101" s="179" t="s">
        <v>81</v>
      </c>
      <c r="E101" s="180" t="s">
        <v>6803</v>
      </c>
      <c r="F101" s="181"/>
      <c r="G101" s="179" t="s">
        <v>6804</v>
      </c>
      <c r="H101" s="190"/>
      <c r="I101" s="190"/>
      <c r="J101" s="187" t="s">
        <v>1782</v>
      </c>
      <c r="K101" s="187"/>
      <c r="L101" s="270" t="str">
        <f>IFERROR(__xludf.DUMMYFUNCTION("IF(
  AND(D101=""Saída"", J101=""Sangria""),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76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IFERROR(__xludf.DUMMYFUNCTION("ifna(VALUE(REGEXEXTRACT(E101,""[0-9.]+[,]+[0-9]+"")))"),102.0)</f>
        <v>102</v>
      </c>
      <c r="O101" s="235"/>
      <c r="P101" s="236"/>
      <c r="Q101" s="236"/>
      <c r="R101" s="237" t="str">
        <f t="shared" si="2"/>
        <v/>
      </c>
      <c r="S101" s="236" t="str">
        <f t="shared" si="3"/>
        <v/>
      </c>
      <c r="T101" s="232" t="str">
        <f t="shared" si="4"/>
        <v/>
      </c>
      <c r="U101" s="185"/>
      <c r="V101" s="185"/>
      <c r="W101" s="185"/>
    </row>
    <row r="102" ht="14.25" customHeight="1">
      <c r="A102" s="178"/>
      <c r="B102" s="12">
        <v>1848908.0</v>
      </c>
      <c r="C102" s="13">
        <v>45998.99898148148</v>
      </c>
      <c r="D102" s="179" t="s">
        <v>81</v>
      </c>
      <c r="E102" s="180" t="s">
        <v>6805</v>
      </c>
      <c r="F102" s="188"/>
      <c r="G102" s="179" t="s">
        <v>381</v>
      </c>
      <c r="H102" s="190"/>
      <c r="I102" s="190"/>
      <c r="J102" s="187" t="s">
        <v>2735</v>
      </c>
      <c r="K102" s="187" t="s">
        <v>6576</v>
      </c>
      <c r="L102" s="270" t="str">
        <f>IFERROR(__xludf.DUMMYFUNCTION("IF(
  AND(D102=""Saída"", J102=""Sangria""),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"),"Confirmada")</f>
        <v>Confirmada</v>
      </c>
      <c r="M102" s="272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IFERROR(__xludf.DUMMYFUNCTION("ifna(VALUE(REGEXEXTRACT(E102,""[0-9.]+[,]+[0-9]+"")))"),2100.0)</f>
        <v>2100</v>
      </c>
      <c r="O102" s="235"/>
      <c r="P102" s="236"/>
      <c r="Q102" s="236"/>
      <c r="R102" s="237" t="str">
        <f t="shared" si="2"/>
        <v/>
      </c>
      <c r="S102" s="236" t="str">
        <f t="shared" si="3"/>
        <v/>
      </c>
      <c r="T102" s="232" t="str">
        <f t="shared" si="4"/>
        <v/>
      </c>
      <c r="U102" s="185"/>
      <c r="V102" s="185"/>
      <c r="W102" s="185"/>
    </row>
    <row r="103" ht="14.25" customHeight="1">
      <c r="A103" s="178"/>
      <c r="B103" s="12">
        <v>1849928.0</v>
      </c>
      <c r="C103" s="13">
        <v>45999.80866898148</v>
      </c>
      <c r="D103" s="179" t="s">
        <v>81</v>
      </c>
      <c r="E103" s="180" t="s">
        <v>443</v>
      </c>
      <c r="F103" s="181"/>
      <c r="G103" s="179" t="s">
        <v>381</v>
      </c>
      <c r="H103" s="190"/>
      <c r="I103" s="190"/>
      <c r="J103" s="187" t="s">
        <v>2735</v>
      </c>
      <c r="K103" s="187" t="s">
        <v>6576</v>
      </c>
      <c r="L103" s="270" t="str">
        <f>IFERROR(__xludf.DUMMYFUNCTION("IF(
  AND(D103=""Saída"", J103=""Sangria""),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"),"Confirmada")</f>
        <v>Confirmada</v>
      </c>
      <c r="M103" s="274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85">
        <f>IFERROR(__xludf.DUMMYFUNCTION("ifna(VALUE(REGEXEXTRACT(E103,""[0-9.]+[,]+[0-9]+"")))"),900.0)</f>
        <v>900</v>
      </c>
      <c r="O103" s="235"/>
      <c r="P103" s="236"/>
      <c r="Q103" s="236"/>
      <c r="R103" s="237" t="str">
        <f t="shared" si="2"/>
        <v/>
      </c>
      <c r="S103" s="236" t="str">
        <f t="shared" si="3"/>
        <v/>
      </c>
      <c r="T103" s="232" t="str">
        <f t="shared" si="4"/>
        <v/>
      </c>
      <c r="U103" s="185"/>
      <c r="V103" s="185"/>
      <c r="W103" s="185"/>
    </row>
    <row r="104" ht="14.25" customHeight="1">
      <c r="A104" s="178"/>
      <c r="B104" s="12">
        <v>1849929.0</v>
      </c>
      <c r="C104" s="13">
        <v>45999.80931712963</v>
      </c>
      <c r="D104" s="179" t="s">
        <v>81</v>
      </c>
      <c r="E104" s="180" t="s">
        <v>5808</v>
      </c>
      <c r="F104" s="181"/>
      <c r="G104" s="179" t="s">
        <v>4041</v>
      </c>
      <c r="H104" s="190"/>
      <c r="I104" s="190"/>
      <c r="J104" s="187" t="s">
        <v>3151</v>
      </c>
      <c r="K104" s="187"/>
      <c r="L104" s="270" t="str">
        <f>IFERROR(__xludf.DUMMYFUNCTION("IF(
  AND(D104=""Saída"", J104=""Sangria""),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2" t="str">
        <f>IFERROR(__xludf.DUMMYFUNCTION("IF(J104=""Compra de Mercadorias"",
   IF(
      COUNTIF(ARRAYFORMULA(TRIM(CLEAN(TO_TEXT(Notas!BS:BS)))), TRIM(CLEAN(TO_TEXT(B104)))) &gt; 0,
      ""Encontrada"",
      ""Não Encontrada""
   ),
"""")"),"Não Encontrada")</f>
        <v>Não Encontrada</v>
      </c>
      <c r="N104" s="185">
        <f>IFERROR(__xludf.DUMMYFUNCTION("ifna(VALUE(REGEXEXTRACT(E104,""[0-9.]+[,]+[0-9]+"")))"),12.98)</f>
        <v>12.98</v>
      </c>
      <c r="O104" s="239"/>
      <c r="P104" s="240"/>
      <c r="Q104" s="240"/>
      <c r="R104" s="241" t="str">
        <f t="shared" si="2"/>
        <v/>
      </c>
      <c r="S104" s="240" t="str">
        <f t="shared" si="3"/>
        <v/>
      </c>
      <c r="T104" s="242" t="str">
        <f t="shared" si="4"/>
        <v/>
      </c>
      <c r="U104" s="185"/>
      <c r="V104" s="185"/>
      <c r="W104" s="185"/>
    </row>
    <row r="105" ht="14.25" customHeight="1">
      <c r="A105" s="178"/>
      <c r="B105" s="12">
        <v>1850601.0</v>
      </c>
      <c r="C105" s="13">
        <v>45999.94935185185</v>
      </c>
      <c r="D105" s="179" t="s">
        <v>81</v>
      </c>
      <c r="E105" s="180" t="s">
        <v>457</v>
      </c>
      <c r="F105" s="181"/>
      <c r="G105" s="179" t="s">
        <v>381</v>
      </c>
      <c r="H105" s="190"/>
      <c r="I105" s="190"/>
      <c r="J105" s="187" t="s">
        <v>2735</v>
      </c>
      <c r="K105" s="187" t="s">
        <v>6576</v>
      </c>
      <c r="L105" s="270" t="str">
        <f>IFERROR(__xludf.DUMMYFUNCTION("IF(
  AND(D105=""Saída"", J105=""Sangria""),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"),"Confirmada")</f>
        <v>Confirmada</v>
      </c>
      <c r="M105" s="273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IFERROR(__xludf.DUMMYFUNCTION("ifna(VALUE(REGEXEXTRACT(E105,""[0-9.]+[,]+[0-9]+"")))"),200.0)</f>
        <v>200</v>
      </c>
      <c r="O105" s="25"/>
      <c r="P105" s="25"/>
      <c r="Q105" s="25"/>
      <c r="R105" s="25"/>
      <c r="S105" s="25"/>
      <c r="T105" s="25"/>
      <c r="U105" s="185"/>
      <c r="V105" s="185"/>
      <c r="W105" s="185"/>
    </row>
    <row r="106" ht="14.25" customHeight="1">
      <c r="A106" s="178"/>
      <c r="B106" s="12">
        <v>1850603.0</v>
      </c>
      <c r="C106" s="13">
        <v>45999.95024305556</v>
      </c>
      <c r="D106" s="179" t="s">
        <v>81</v>
      </c>
      <c r="E106" s="180" t="s">
        <v>6806</v>
      </c>
      <c r="F106" s="188"/>
      <c r="G106" s="179" t="s">
        <v>5861</v>
      </c>
      <c r="H106" s="190"/>
      <c r="I106" s="190"/>
      <c r="J106" s="187" t="s">
        <v>2019</v>
      </c>
      <c r="K106" s="187" t="s">
        <v>2117</v>
      </c>
      <c r="L106" s="270" t="str">
        <f>IFERROR(__xludf.DUMMYFUNCTION("IF(
  AND(D106=""Saída"", J106=""Sangria""),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2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IFERROR(__xludf.DUMMYFUNCTION("ifna(VALUE(REGEXEXTRACT(E106,""[0-9.]+[,]+[0-9]+"")))"),16.95)</f>
        <v>16.95</v>
      </c>
      <c r="O106" s="289" t="s">
        <v>6698</v>
      </c>
      <c r="W106" s="185"/>
    </row>
    <row r="107" ht="14.25" customHeight="1">
      <c r="A107" s="178"/>
      <c r="B107" s="12">
        <v>1851523.0</v>
      </c>
      <c r="C107" s="13">
        <v>46000.79429398148</v>
      </c>
      <c r="D107" s="179" t="s">
        <v>81</v>
      </c>
      <c r="E107" s="180" t="s">
        <v>6807</v>
      </c>
      <c r="F107" s="181"/>
      <c r="G107" s="179" t="s">
        <v>656</v>
      </c>
      <c r="H107" s="190"/>
      <c r="I107" s="190"/>
      <c r="J107" s="187" t="s">
        <v>2019</v>
      </c>
      <c r="K107" s="187" t="s">
        <v>2078</v>
      </c>
      <c r="L107" s="270" t="str">
        <f>IFERROR(__xludf.DUMMYFUNCTION("IF(
  AND(D107=""Saída"", J107=""Sangria""),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74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IFERROR(__xludf.DUMMYFUNCTION("ifna(VALUE(REGEXEXTRACT(E107,""[0-9.]+[,]+[0-9]+"")))"),27.05)</f>
        <v>27.05</v>
      </c>
      <c r="O107" s="290" t="str">
        <f>IFERROR(__xludf.DUMMYFUNCTION("QUERY(B28:M507,""Select B,C,D,E,G,H,I,M where M = 'Não Encontrada'"",1)"),"ID")</f>
        <v>ID</v>
      </c>
      <c r="P107" s="290" t="str">
        <f>IFERROR(__xludf.DUMMYFUNCTION("""COMPUTED_VALUE"""),"Data")</f>
        <v>Data</v>
      </c>
      <c r="Q107" s="290" t="str">
        <f>IFERROR(__xludf.DUMMYFUNCTION("""COMPUTED_VALUE"""),"Entrada/Saída")</f>
        <v>Entrada/Saída</v>
      </c>
      <c r="R107" s="291" t="str">
        <f>IFERROR(__xludf.DUMMYFUNCTION("""COMPUTED_VALUE"""),"Valor ")</f>
        <v>Valor </v>
      </c>
      <c r="S107" s="290" t="str">
        <f>IFERROR(__xludf.DUMMYFUNCTION("""COMPUTED_VALUE"""),"Descrição")</f>
        <v>Descrição</v>
      </c>
      <c r="V107" s="292" t="str">
        <f>IFERROR(__xludf.DUMMYFUNCTION("""COMPUTED_VALUE"""),"Nota")</f>
        <v>Nota</v>
      </c>
      <c r="W107" s="185"/>
    </row>
    <row r="108" ht="14.25" customHeight="1">
      <c r="A108" s="178"/>
      <c r="B108" s="12">
        <v>1851524.0</v>
      </c>
      <c r="C108" s="13">
        <v>46000.794537037036</v>
      </c>
      <c r="D108" s="179" t="s">
        <v>81</v>
      </c>
      <c r="E108" s="180" t="s">
        <v>1075</v>
      </c>
      <c r="F108" s="181"/>
      <c r="G108" s="179" t="s">
        <v>6781</v>
      </c>
      <c r="H108" s="190"/>
      <c r="I108" s="190"/>
      <c r="J108" s="187" t="s">
        <v>2019</v>
      </c>
      <c r="K108" s="187" t="s">
        <v>6746</v>
      </c>
      <c r="L108" s="270" t="str">
        <f>IFERROR(__xludf.DUMMYFUNCTION("IF(
  AND(D108=""Saída"", J108=""Sangria""),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2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85">
        <f>IFERROR(__xludf.DUMMYFUNCTION("ifna(VALUE(REGEXEXTRACT(E108,""[0-9.]+[,]+[0-9]+"")))"),19.0)</f>
        <v>19</v>
      </c>
      <c r="O108" s="293">
        <f>IFERROR(__xludf.DUMMYFUNCTION("""COMPUTED_VALUE"""),1822138.0)</f>
        <v>1822138</v>
      </c>
      <c r="P108" s="294">
        <f>IFERROR(__xludf.DUMMYFUNCTION("""COMPUTED_VALUE"""),45987.847754629634)</f>
        <v>45987.84775</v>
      </c>
      <c r="Q108" s="293" t="str">
        <f>IFERROR(__xludf.DUMMYFUNCTION("""COMPUTED_VALUE"""),"Saída")</f>
        <v>Saída</v>
      </c>
      <c r="R108" s="295" t="str">
        <f>IFERROR(__xludf.DUMMYFUNCTION("""COMPUTED_VALUE"""),"R$ 9,00")</f>
        <v>R$ 9,00</v>
      </c>
      <c r="S108" s="293" t="str">
        <f>IFERROR(__xludf.DUMMYFUNCTION("""COMPUTED_VALUE"""),"Outros")</f>
        <v>Outros</v>
      </c>
      <c r="V108" s="296" t="str">
        <f>IFERROR(__xludf.DUMMYFUNCTION("""COMPUTED_VALUE"""),"Não Encontrada")</f>
        <v>Não Encontrada</v>
      </c>
      <c r="W108" s="185"/>
    </row>
    <row r="109" ht="14.25" customHeight="1">
      <c r="A109" s="178"/>
      <c r="B109" s="12">
        <v>1851530.0</v>
      </c>
      <c r="C109" s="13">
        <v>46000.79657407408</v>
      </c>
      <c r="D109" s="179" t="s">
        <v>81</v>
      </c>
      <c r="E109" s="180" t="s">
        <v>6808</v>
      </c>
      <c r="F109" s="181"/>
      <c r="G109" s="179" t="s">
        <v>381</v>
      </c>
      <c r="H109" s="190"/>
      <c r="I109" s="190"/>
      <c r="J109" s="187" t="s">
        <v>2735</v>
      </c>
      <c r="K109" s="187" t="s">
        <v>6576</v>
      </c>
      <c r="L109" s="270" t="str">
        <f>IFERROR(__xludf.DUMMYFUNCTION("IF(
  AND(D109=""Saída"", J109=""Sangria""),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"),"Confirmada")</f>
        <v>Confirmada</v>
      </c>
      <c r="M109" s="274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85">
        <f>IFERROR(__xludf.DUMMYFUNCTION("ifna(VALUE(REGEXEXTRACT(E109,""[0-9.]+[,]+[0-9]+"")))"),440.0)</f>
        <v>440</v>
      </c>
      <c r="O109" s="297">
        <f>IFERROR(__xludf.DUMMYFUNCTION("""COMPUTED_VALUE"""),1822151.0)</f>
        <v>1822151</v>
      </c>
      <c r="P109" s="298">
        <f>IFERROR(__xludf.DUMMYFUNCTION("""COMPUTED_VALUE"""),45987.84982638889)</f>
        <v>45987.84983</v>
      </c>
      <c r="Q109" s="297" t="str">
        <f>IFERROR(__xludf.DUMMYFUNCTION("""COMPUTED_VALUE"""),"Saída")</f>
        <v>Saída</v>
      </c>
      <c r="R109" s="299" t="str">
        <f>IFERROR(__xludf.DUMMYFUNCTION("""COMPUTED_VALUE"""),"R$ 155,15")</f>
        <v>R$ 155,15</v>
      </c>
      <c r="S109" s="297" t="str">
        <f>IFERROR(__xludf.DUMMYFUNCTION("""COMPUTED_VALUE"""),"CAFE FUNCIONARIOS E FRUTAS")</f>
        <v>CAFE FUNCIONARIOS E FRUTAS</v>
      </c>
      <c r="V109" s="300" t="str">
        <f>IFERROR(__xludf.DUMMYFUNCTION("""COMPUTED_VALUE"""),"Não Encontrada")</f>
        <v>Não Encontrada</v>
      </c>
      <c r="W109" s="185"/>
    </row>
    <row r="110" ht="14.25" customHeight="1">
      <c r="A110" s="178"/>
      <c r="B110" s="12">
        <v>1851661.0</v>
      </c>
      <c r="C110" s="13">
        <v>46000.86498842593</v>
      </c>
      <c r="D110" s="179" t="s">
        <v>81</v>
      </c>
      <c r="E110" s="180" t="s">
        <v>6809</v>
      </c>
      <c r="F110" s="181"/>
      <c r="G110" s="179" t="s">
        <v>6810</v>
      </c>
      <c r="H110" s="190"/>
      <c r="I110" s="190"/>
      <c r="J110" s="187" t="s">
        <v>3151</v>
      </c>
      <c r="K110" s="187"/>
      <c r="L110" s="270" t="str">
        <f>IFERROR(__xludf.DUMMYFUNCTION("IF(
  AND(D110=""Saída"", J110=""Sangria""),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2" t="str">
        <f>IFERROR(__xludf.DUMMYFUNCTION("IF(J110=""Compra de Mercadorias"",
   IF(
      COUNTIF(ARRAYFORMULA(TRIM(CLEAN(TO_TEXT(Notas!BS:BS)))), TRIM(CLEAN(TO_TEXT(B110)))) &gt; 0,
      ""Encontrada"",
      ""Não Encontrada""
   ),
"""")"),"Não Encontrada")</f>
        <v>Não Encontrada</v>
      </c>
      <c r="N110" s="185">
        <f>IFERROR(__xludf.DUMMYFUNCTION("ifna(VALUE(REGEXEXTRACT(E110,""[0-9.]+[,]+[0-9]+"")))"),272.71)</f>
        <v>272.71</v>
      </c>
      <c r="O110" s="293">
        <f>IFERROR(__xludf.DUMMYFUNCTION("""COMPUTED_VALUE"""),1822155.0)</f>
        <v>1822155</v>
      </c>
      <c r="P110" s="294">
        <f>IFERROR(__xludf.DUMMYFUNCTION("""COMPUTED_VALUE"""),45987.85008101852)</f>
        <v>45987.85008</v>
      </c>
      <c r="Q110" s="293" t="str">
        <f>IFERROR(__xludf.DUMMYFUNCTION("""COMPUTED_VALUE"""),"Saída")</f>
        <v>Saída</v>
      </c>
      <c r="R110" s="295" t="str">
        <f>IFERROR(__xludf.DUMMYFUNCTION("""COMPUTED_VALUE"""),"R$ 24,00")</f>
        <v>R$ 24,00</v>
      </c>
      <c r="S110" s="293" t="str">
        <f>IFERROR(__xludf.DUMMYFUNCTION("""COMPUTED_VALUE"""),"MANUTENÇÃO")</f>
        <v>MANUTENÇÃO</v>
      </c>
      <c r="V110" s="296" t="str">
        <f>IFERROR(__xludf.DUMMYFUNCTION("""COMPUTED_VALUE"""),"Não Encontrada")</f>
        <v>Não Encontrada</v>
      </c>
      <c r="W110" s="185"/>
    </row>
    <row r="111" ht="14.25" customHeight="1">
      <c r="A111" s="178"/>
      <c r="B111" s="12">
        <v>1851662.0</v>
      </c>
      <c r="C111" s="13">
        <v>46000.86549768518</v>
      </c>
      <c r="D111" s="179" t="s">
        <v>81</v>
      </c>
      <c r="E111" s="180" t="s">
        <v>6811</v>
      </c>
      <c r="F111" s="181"/>
      <c r="G111" s="179" t="s">
        <v>6812</v>
      </c>
      <c r="H111" s="190"/>
      <c r="I111" s="190"/>
      <c r="J111" s="187" t="s">
        <v>3151</v>
      </c>
      <c r="K111" s="187"/>
      <c r="L111" s="270" t="str">
        <f>IFERROR(__xludf.DUMMYFUNCTION("IF(
  AND(D111=""Saída"", J111=""Sangria""),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74" t="str">
        <f>IFERROR(__xludf.DUMMYFUNCTION("IF(J111=""Compra de Mercadorias"",
   IF(
      COUNTIF(ARRAYFORMULA(TRIM(CLEAN(TO_TEXT(Notas!BS:BS)))), TRIM(CLEAN(TO_TEXT(B111)))) &gt; 0,
      ""Encontrada"",
      ""Não Encontrada""
   ),
"""")"),"Não Encontrada")</f>
        <v>Não Encontrada</v>
      </c>
      <c r="N111" s="185">
        <f>IFERROR(__xludf.DUMMYFUNCTION("ifna(VALUE(REGEXEXTRACT(E111,""[0-9.]+[,]+[0-9]+"")))"),199.8)</f>
        <v>199.8</v>
      </c>
      <c r="O111" s="297">
        <f>IFERROR(__xludf.DUMMYFUNCTION("""COMPUTED_VALUE"""),1824597.0)</f>
        <v>1824597</v>
      </c>
      <c r="P111" s="298">
        <f>IFERROR(__xludf.DUMMYFUNCTION("""COMPUTED_VALUE"""),45989.03099537037)</f>
        <v>45989.031</v>
      </c>
      <c r="Q111" s="297" t="str">
        <f>IFERROR(__xludf.DUMMYFUNCTION("""COMPUTED_VALUE"""),"Saída")</f>
        <v>Saída</v>
      </c>
      <c r="R111" s="299" t="str">
        <f>IFERROR(__xludf.DUMMYFUNCTION("""COMPUTED_VALUE"""),"R$ 24,99")</f>
        <v>R$ 24,99</v>
      </c>
      <c r="S111" s="297" t="str">
        <f>IFERROR(__xludf.DUMMYFUNCTION("""COMPUTED_VALUE"""),"cafe funcionarios")</f>
        <v>cafe funcionarios</v>
      </c>
      <c r="V111" s="300" t="str">
        <f>IFERROR(__xludf.DUMMYFUNCTION("""COMPUTED_VALUE"""),"Não Encontrada")</f>
        <v>Não Encontrada</v>
      </c>
      <c r="W111" s="185"/>
    </row>
    <row r="112" ht="14.25" customHeight="1">
      <c r="A112" s="178"/>
      <c r="B112" s="12">
        <v>1851663.0</v>
      </c>
      <c r="C112" s="13">
        <v>46000.86571759259</v>
      </c>
      <c r="D112" s="179" t="s">
        <v>81</v>
      </c>
      <c r="E112" s="180" t="s">
        <v>6813</v>
      </c>
      <c r="F112" s="181"/>
      <c r="G112" s="179" t="s">
        <v>6814</v>
      </c>
      <c r="H112" s="190"/>
      <c r="I112" s="190"/>
      <c r="J112" s="187" t="s">
        <v>3151</v>
      </c>
      <c r="K112" s="187"/>
      <c r="L112" s="270" t="str">
        <f>IFERROR(__xludf.DUMMYFUNCTION("IF(
  AND(D112=""Saída"", J112=""Sangria""),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6" t="str">
        <f>IFERROR(__xludf.DUMMYFUNCTION("IF(J112=""Compra de Mercadorias"",
   IF(
      COUNTIF(ARRAYFORMULA(TRIM(CLEAN(TO_TEXT(Notas!BS:BS)))), TRIM(CLEAN(TO_TEXT(B112)))) &gt; 0,
      ""Encontrada"",
      ""Não Encontrada""
   ),
"""")"),"Não Encontrada")</f>
        <v>Não Encontrada</v>
      </c>
      <c r="N112" s="185">
        <f>IFERROR(__xludf.DUMMYFUNCTION("ifna(VALUE(REGEXEXTRACT(E112,""[0-9.]+[,]+[0-9]+"")))"),183.07)</f>
        <v>183.07</v>
      </c>
      <c r="O112" s="293">
        <f>IFERROR(__xludf.DUMMYFUNCTION("""COMPUTED_VALUE"""),1834409.0)</f>
        <v>1834409</v>
      </c>
      <c r="P112" s="294">
        <f>IFERROR(__xludf.DUMMYFUNCTION("""COMPUTED_VALUE"""),45992.93111111112)</f>
        <v>45992.93111</v>
      </c>
      <c r="Q112" s="293" t="str">
        <f>IFERROR(__xludf.DUMMYFUNCTION("""COMPUTED_VALUE"""),"Saída")</f>
        <v>Saída</v>
      </c>
      <c r="R112" s="295" t="str">
        <f>IFERROR(__xludf.DUMMYFUNCTION("""COMPUTED_VALUE"""),"R$ 75,92")</f>
        <v>R$ 75,92</v>
      </c>
      <c r="S112" s="293" t="str">
        <f>IFERROR(__xludf.DUMMYFUNCTION("""COMPUTED_VALUE"""),"CAFE FUNCIONARIOS")</f>
        <v>CAFE FUNCIONARIOS</v>
      </c>
      <c r="V112" s="296" t="str">
        <f>IFERROR(__xludf.DUMMYFUNCTION("""COMPUTED_VALUE"""),"Não Encontrada")</f>
        <v>Não Encontrada</v>
      </c>
      <c r="W112" s="185"/>
    </row>
    <row r="113" ht="14.25" customHeight="1">
      <c r="A113" s="178"/>
      <c r="B113" s="12">
        <v>1851664.0</v>
      </c>
      <c r="C113" s="13">
        <v>46000.86583333334</v>
      </c>
      <c r="D113" s="179" t="s">
        <v>152</v>
      </c>
      <c r="E113" s="180" t="s">
        <v>3486</v>
      </c>
      <c r="F113" s="181"/>
      <c r="G113" s="179" t="s">
        <v>5296</v>
      </c>
      <c r="H113" s="190"/>
      <c r="I113" s="190"/>
      <c r="J113" s="187" t="s">
        <v>5195</v>
      </c>
      <c r="K113" s="187"/>
      <c r="L113" s="270" t="str">
        <f>IFERROR(__xludf.DUMMYFUNCTION("IF(
  AND(D113=""Saída"", J113=""Sangria""),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74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IFERROR(__xludf.DUMMYFUNCTION("ifna(VALUE(REGEXEXTRACT(E113,""[0-9.]+[,]+[0-9]+"")))"),500.0)</f>
        <v>500</v>
      </c>
      <c r="O113" s="297">
        <f>IFERROR(__xludf.DUMMYFUNCTION("""COMPUTED_VALUE"""),1834411.0)</f>
        <v>1834411</v>
      </c>
      <c r="P113" s="298">
        <f>IFERROR(__xludf.DUMMYFUNCTION("""COMPUTED_VALUE"""),45992.931342592594)</f>
        <v>45992.93134</v>
      </c>
      <c r="Q113" s="297" t="str">
        <f>IFERROR(__xludf.DUMMYFUNCTION("""COMPUTED_VALUE"""),"Saída")</f>
        <v>Saída</v>
      </c>
      <c r="R113" s="299" t="str">
        <f>IFERROR(__xludf.DUMMYFUNCTION("""COMPUTED_VALUE"""),"R$ 7,42")</f>
        <v>R$ 7,42</v>
      </c>
      <c r="S113" s="297" t="str">
        <f>IFERROR(__xludf.DUMMYFUNCTION("""COMPUTED_VALUE"""),"CAFE FUNCIONARIOS")</f>
        <v>CAFE FUNCIONARIOS</v>
      </c>
      <c r="V113" s="300" t="str">
        <f>IFERROR(__xludf.DUMMYFUNCTION("""COMPUTED_VALUE"""),"Não Encontrada")</f>
        <v>Não Encontrada</v>
      </c>
      <c r="W113" s="185"/>
    </row>
    <row r="114" ht="14.25" customHeight="1">
      <c r="A114" s="178"/>
      <c r="B114" s="12">
        <v>1852237.0</v>
      </c>
      <c r="C114" s="13">
        <v>46001.35456018519</v>
      </c>
      <c r="D114" s="179" t="s">
        <v>81</v>
      </c>
      <c r="E114" s="180" t="s">
        <v>127</v>
      </c>
      <c r="F114" s="188"/>
      <c r="G114" s="179" t="s">
        <v>6815</v>
      </c>
      <c r="H114" s="190"/>
      <c r="I114" s="190"/>
      <c r="J114" s="187" t="s">
        <v>2735</v>
      </c>
      <c r="K114" s="187" t="s">
        <v>6576</v>
      </c>
      <c r="L114" s="270" t="str">
        <f>IFERROR(__xludf.DUMMYFUNCTION("IF(
  AND(D114=""Saída"", J114=""Sangria""),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"),"Confirmada")</f>
        <v>Confirmada</v>
      </c>
      <c r="M114" s="272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>
        <f>IFERROR(__xludf.DUMMYFUNCTION("ifna(VALUE(REGEXEXTRACT(E114,""[0-9.]+[,]+[0-9]+"")))"),250.0)</f>
        <v>250</v>
      </c>
      <c r="O114" s="293">
        <f>IFERROR(__xludf.DUMMYFUNCTION("""COMPUTED_VALUE"""),1835518.0)</f>
        <v>1835518</v>
      </c>
      <c r="P114" s="294">
        <f>IFERROR(__xludf.DUMMYFUNCTION("""COMPUTED_VALUE"""),45993.7440625)</f>
        <v>45993.74406</v>
      </c>
      <c r="Q114" s="293" t="str">
        <f>IFERROR(__xludf.DUMMYFUNCTION("""COMPUTED_VALUE"""),"Saída")</f>
        <v>Saída</v>
      </c>
      <c r="R114" s="295" t="str">
        <f>IFERROR(__xludf.DUMMYFUNCTION("""COMPUTED_VALUE"""),"R$ 11,30")</f>
        <v>R$ 11,30</v>
      </c>
      <c r="S114" s="293" t="str">
        <f>IFERROR(__xludf.DUMMYFUNCTION("""COMPUTED_VALUE"""),"CAFE FUNCIONARIOS")</f>
        <v>CAFE FUNCIONARIOS</v>
      </c>
      <c r="V114" s="296" t="str">
        <f>IFERROR(__xludf.DUMMYFUNCTION("""COMPUTED_VALUE"""),"Não Encontrada")</f>
        <v>Não Encontrada</v>
      </c>
      <c r="W114" s="185"/>
    </row>
    <row r="115" ht="14.25" customHeight="1">
      <c r="A115" s="178"/>
      <c r="B115" s="12">
        <v>1853938.0</v>
      </c>
      <c r="C115" s="13">
        <v>46002.501979166664</v>
      </c>
      <c r="D115" s="179" t="s">
        <v>81</v>
      </c>
      <c r="E115" s="180" t="s">
        <v>6816</v>
      </c>
      <c r="F115" s="181"/>
      <c r="G115" s="179" t="s">
        <v>5821</v>
      </c>
      <c r="H115" s="190"/>
      <c r="I115" s="190"/>
      <c r="J115" s="187" t="s">
        <v>2438</v>
      </c>
      <c r="K115" s="187"/>
      <c r="L115" s="270" t="str">
        <f>IFERROR(__xludf.DUMMYFUNCTION("IF(
  AND(D115=""Saída"", J115=""Sangria""),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74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85">
        <f>IFERROR(__xludf.DUMMYFUNCTION("ifna(VALUE(REGEXEXTRACT(E115,""[0-9.]+[,]+[0-9]+"")))"),18.24)</f>
        <v>18.24</v>
      </c>
      <c r="O115" s="301">
        <f>IFERROR(__xludf.DUMMYFUNCTION("""COMPUTED_VALUE"""),1837242.0)</f>
        <v>1837242</v>
      </c>
      <c r="P115" s="302">
        <f>IFERROR(__xludf.DUMMYFUNCTION("""COMPUTED_VALUE"""),45994.70681712963)</f>
        <v>45994.70682</v>
      </c>
      <c r="Q115" s="301" t="str">
        <f>IFERROR(__xludf.DUMMYFUNCTION("""COMPUTED_VALUE"""),"Saída")</f>
        <v>Saída</v>
      </c>
      <c r="R115" s="303" t="str">
        <f>IFERROR(__xludf.DUMMYFUNCTION("""COMPUTED_VALUE"""),"R$ 238,77")</f>
        <v>R$ 238,77</v>
      </c>
      <c r="S115" s="301" t="str">
        <f>IFERROR(__xludf.DUMMYFUNCTION("""COMPUTED_VALUE"""),"FRUTAS E CAFE FUNCIONARIOS")</f>
        <v>FRUTAS E CAFE FUNCIONARIOS</v>
      </c>
      <c r="V115" s="304" t="str">
        <f>IFERROR(__xludf.DUMMYFUNCTION("""COMPUTED_VALUE"""),"Não Encontrada")</f>
        <v>Não Encontrada</v>
      </c>
      <c r="W115" s="185"/>
    </row>
    <row r="116" ht="14.25" customHeight="1">
      <c r="A116" s="178"/>
      <c r="B116" s="12">
        <v>1853940.0</v>
      </c>
      <c r="C116" s="13">
        <v>46002.50267361111</v>
      </c>
      <c r="D116" s="179" t="s">
        <v>81</v>
      </c>
      <c r="E116" s="180" t="s">
        <v>4138</v>
      </c>
      <c r="F116" s="181"/>
      <c r="G116" s="179" t="s">
        <v>6817</v>
      </c>
      <c r="H116" s="190"/>
      <c r="I116" s="190"/>
      <c r="J116" s="187" t="s">
        <v>2019</v>
      </c>
      <c r="K116" s="187" t="s">
        <v>6745</v>
      </c>
      <c r="L116" s="270" t="str">
        <f>IFERROR(__xludf.DUMMYFUNCTION("IF(
  AND(D116=""Saída"", J116=""Sangria""),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2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IFERROR(__xludf.DUMMYFUNCTION("ifna(VALUE(REGEXEXTRACT(E116,""[0-9.]+[,]+[0-9]+"")))"),30.0)</f>
        <v>30</v>
      </c>
      <c r="O116" s="305">
        <f>IFERROR(__xludf.DUMMYFUNCTION("""COMPUTED_VALUE"""),1837366.0)</f>
        <v>1837366</v>
      </c>
      <c r="P116" s="306">
        <f>IFERROR(__xludf.DUMMYFUNCTION("""COMPUTED_VALUE"""),45994.72755787037)</f>
        <v>45994.72756</v>
      </c>
      <c r="Q116" s="305" t="str">
        <f>IFERROR(__xludf.DUMMYFUNCTION("""COMPUTED_VALUE"""),"Saída")</f>
        <v>Saída</v>
      </c>
      <c r="R116" s="307" t="str">
        <f>IFERROR(__xludf.DUMMYFUNCTION("""COMPUTED_VALUE"""),"R$ 12,00")</f>
        <v>R$ 12,00</v>
      </c>
      <c r="S116" s="305" t="str">
        <f>IFERROR(__xludf.DUMMYFUNCTION("""COMPUTED_VALUE"""),"FITA DUREX")</f>
        <v>FITA DUREX</v>
      </c>
      <c r="V116" s="308" t="str">
        <f>IFERROR(__xludf.DUMMYFUNCTION("""COMPUTED_VALUE"""),"Não Encontrada")</f>
        <v>Não Encontrada</v>
      </c>
      <c r="W116" s="185"/>
    </row>
    <row r="117" ht="14.25" customHeight="1">
      <c r="A117" s="178"/>
      <c r="B117" s="12">
        <v>1853944.0</v>
      </c>
      <c r="C117" s="13">
        <v>46002.507210648146</v>
      </c>
      <c r="D117" s="179" t="s">
        <v>81</v>
      </c>
      <c r="E117" s="180" t="s">
        <v>590</v>
      </c>
      <c r="F117" s="181"/>
      <c r="G117" s="179" t="s">
        <v>6818</v>
      </c>
      <c r="H117" s="190"/>
      <c r="I117" s="190"/>
      <c r="J117" s="187" t="s">
        <v>2735</v>
      </c>
      <c r="K117" s="187" t="s">
        <v>2078</v>
      </c>
      <c r="L117" s="270" t="str">
        <f>IFERROR(__xludf.DUMMYFUNCTION("IF(
  AND(D117=""Saída"", J117=""Sangria""),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"),"Confirmada")</f>
        <v>Confirmada</v>
      </c>
      <c r="M117" s="274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85">
        <f>IFERROR(__xludf.DUMMYFUNCTION("ifna(VALUE(REGEXEXTRACT(E117,""[0-9.]+[,]+[0-9]+"")))"),350.0)</f>
        <v>350</v>
      </c>
      <c r="O117" s="301">
        <f>IFERROR(__xludf.DUMMYFUNCTION("""COMPUTED_VALUE"""),1837369.0)</f>
        <v>1837369</v>
      </c>
      <c r="P117" s="302">
        <f>IFERROR(__xludf.DUMMYFUNCTION("""COMPUTED_VALUE"""),45994.72791666667)</f>
        <v>45994.72792</v>
      </c>
      <c r="Q117" s="301" t="str">
        <f>IFERROR(__xludf.DUMMYFUNCTION("""COMPUTED_VALUE"""),"Saída")</f>
        <v>Saída</v>
      </c>
      <c r="R117" s="303" t="str">
        <f>IFERROR(__xludf.DUMMYFUNCTION("""COMPUTED_VALUE"""),"R$ 10,00")</f>
        <v>R$ 10,00</v>
      </c>
      <c r="S117" s="301" t="str">
        <f>IFERROR(__xludf.DUMMYFUNCTION("""COMPUTED_VALUE"""),"MATA MOSQUITO")</f>
        <v>MATA MOSQUITO</v>
      </c>
      <c r="V117" s="304" t="str">
        <f>IFERROR(__xludf.DUMMYFUNCTION("""COMPUTED_VALUE"""),"Não Encontrada")</f>
        <v>Não Encontrada</v>
      </c>
      <c r="W117" s="185"/>
    </row>
    <row r="118" ht="14.25" customHeight="1">
      <c r="A118" s="178"/>
      <c r="B118" s="12">
        <v>1855927.0</v>
      </c>
      <c r="C118" s="13">
        <v>46003.39579861111</v>
      </c>
      <c r="D118" s="179" t="s">
        <v>81</v>
      </c>
      <c r="E118" s="180" t="s">
        <v>659</v>
      </c>
      <c r="F118" s="181"/>
      <c r="G118" s="179" t="s">
        <v>544</v>
      </c>
      <c r="H118" s="190"/>
      <c r="I118" s="190"/>
      <c r="J118" s="187" t="s">
        <v>2019</v>
      </c>
      <c r="K118" s="187" t="s">
        <v>2078</v>
      </c>
      <c r="L118" s="270" t="str">
        <f>IFERROR(__xludf.DUMMYFUNCTION("IF(
  AND(D118=""Saída"", J118=""Sangria""),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72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IFERROR(__xludf.DUMMYFUNCTION("ifna(VALUE(REGEXEXTRACT(E118,""[0-9.]+[,]+[0-9]+"")))"),5.0)</f>
        <v>5</v>
      </c>
      <c r="O118" s="305">
        <f>IFERROR(__xludf.DUMMYFUNCTION("""COMPUTED_VALUE"""),1840316.0)</f>
        <v>1840316</v>
      </c>
      <c r="P118" s="306">
        <f>IFERROR(__xludf.DUMMYFUNCTION("""COMPUTED_VALUE"""),45995.955312499995)</f>
        <v>45995.95531</v>
      </c>
      <c r="Q118" s="305" t="str">
        <f>IFERROR(__xludf.DUMMYFUNCTION("""COMPUTED_VALUE"""),"Saída")</f>
        <v>Saída</v>
      </c>
      <c r="R118" s="307" t="str">
        <f>IFERROR(__xludf.DUMMYFUNCTION("""COMPUTED_VALUE"""),"R$ 107,00")</f>
        <v>R$ 107,00</v>
      </c>
      <c r="S118" s="305" t="str">
        <f>IFERROR(__xludf.DUMMYFUNCTION("""COMPUTED_VALUE"""),"impressões e copias")</f>
        <v>impressões e copias</v>
      </c>
      <c r="V118" s="308" t="str">
        <f>IFERROR(__xludf.DUMMYFUNCTION("""COMPUTED_VALUE"""),"Não Encontrada")</f>
        <v>Não Encontrada</v>
      </c>
      <c r="W118" s="185"/>
    </row>
    <row r="119" ht="14.25" customHeight="1">
      <c r="A119" s="178"/>
      <c r="B119" s="12">
        <v>1855928.0</v>
      </c>
      <c r="C119" s="13">
        <v>46003.39611111111</v>
      </c>
      <c r="D119" s="179" t="s">
        <v>81</v>
      </c>
      <c r="E119" s="180" t="s">
        <v>6819</v>
      </c>
      <c r="F119" s="181"/>
      <c r="G119" s="179" t="s">
        <v>6779</v>
      </c>
      <c r="H119" s="190"/>
      <c r="I119" s="190"/>
      <c r="J119" s="187" t="s">
        <v>2019</v>
      </c>
      <c r="K119" s="187" t="s">
        <v>6745</v>
      </c>
      <c r="L119" s="270" t="str">
        <f>IFERROR(__xludf.DUMMYFUNCTION("IF(
  AND(D119=""Saída"", J119=""Sangria""),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74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IFERROR(__xludf.DUMMYFUNCTION("ifna(VALUE(REGEXEXTRACT(E119,""[0-9.]+[,]+[0-9]+"")))"),19.59)</f>
        <v>19.59</v>
      </c>
      <c r="O119" s="301">
        <f>IFERROR(__xludf.DUMMYFUNCTION("""COMPUTED_VALUE"""),1841806.0)</f>
        <v>1841806</v>
      </c>
      <c r="P119" s="302">
        <f>IFERROR(__xludf.DUMMYFUNCTION("""COMPUTED_VALUE"""),45996.82809027778)</f>
        <v>45996.82809</v>
      </c>
      <c r="Q119" s="301" t="str">
        <f>IFERROR(__xludf.DUMMYFUNCTION("""COMPUTED_VALUE"""),"Saída")</f>
        <v>Saída</v>
      </c>
      <c r="R119" s="303" t="str">
        <f>IFERROR(__xludf.DUMMYFUNCTION("""COMPUTED_VALUE"""),"R$ 39,96")</f>
        <v>R$ 39,96</v>
      </c>
      <c r="S119" s="301" t="str">
        <f>IFERROR(__xludf.DUMMYFUNCTION("""COMPUTED_VALUE"""),"CANUDOS REFRIGERANTES")</f>
        <v>CANUDOS REFRIGERANTES</v>
      </c>
      <c r="V119" s="304" t="str">
        <f>IFERROR(__xludf.DUMMYFUNCTION("""COMPUTED_VALUE"""),"Não Encontrada")</f>
        <v>Não Encontrada</v>
      </c>
      <c r="W119" s="185"/>
    </row>
    <row r="120" ht="14.25" customHeight="1">
      <c r="A120" s="178"/>
      <c r="B120" s="12">
        <v>1855929.0</v>
      </c>
      <c r="C120" s="13">
        <v>46003.398935185185</v>
      </c>
      <c r="D120" s="179" t="s">
        <v>81</v>
      </c>
      <c r="E120" s="180" t="s">
        <v>943</v>
      </c>
      <c r="F120" s="181"/>
      <c r="G120" s="179" t="s">
        <v>381</v>
      </c>
      <c r="H120" s="190"/>
      <c r="I120" s="190"/>
      <c r="J120" s="187" t="s">
        <v>2735</v>
      </c>
      <c r="K120" s="187" t="s">
        <v>6576</v>
      </c>
      <c r="L120" s="270" t="str">
        <f>IFERROR(__xludf.DUMMYFUNCTION("IF(
  AND(D120=""Saída"", J120=""Sangria""),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"),"Confirmada")</f>
        <v>Confirmada</v>
      </c>
      <c r="M120" s="272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IFERROR(__xludf.DUMMYFUNCTION("ifna(VALUE(REGEXEXTRACT(E120,""[0-9.]+[,]+[0-9]+"")))"),800.0)</f>
        <v>800</v>
      </c>
      <c r="O120" s="305">
        <f>IFERROR(__xludf.DUMMYFUNCTION("""COMPUTED_VALUE"""),1841846.0)</f>
        <v>1841846</v>
      </c>
      <c r="P120" s="306">
        <f>IFERROR(__xludf.DUMMYFUNCTION("""COMPUTED_VALUE"""),45996.84008101852)</f>
        <v>45996.84008</v>
      </c>
      <c r="Q120" s="305" t="str">
        <f>IFERROR(__xludf.DUMMYFUNCTION("""COMPUTED_VALUE"""),"Saída")</f>
        <v>Saída</v>
      </c>
      <c r="R120" s="307" t="str">
        <f>IFERROR(__xludf.DUMMYFUNCTION("""COMPUTED_VALUE"""),"R$ 20,00")</f>
        <v>R$ 20,00</v>
      </c>
      <c r="S120" s="305" t="str">
        <f>IFERROR(__xludf.DUMMYFUNCTION("""COMPUTED_VALUE"""),"BAND AID CURATIVO")</f>
        <v>BAND AID CURATIVO</v>
      </c>
      <c r="V120" s="308" t="str">
        <f>IFERROR(__xludf.DUMMYFUNCTION("""COMPUTED_VALUE"""),"Não Encontrada")</f>
        <v>Não Encontrada</v>
      </c>
      <c r="W120" s="185"/>
    </row>
    <row r="121" ht="14.25" customHeight="1">
      <c r="A121" s="178"/>
      <c r="B121" s="12">
        <v>1857570.0</v>
      </c>
      <c r="C121" s="13">
        <v>46003.948530092595</v>
      </c>
      <c r="D121" s="179" t="s">
        <v>81</v>
      </c>
      <c r="E121" s="180" t="s">
        <v>6820</v>
      </c>
      <c r="F121" s="181"/>
      <c r="G121" s="179" t="s">
        <v>6821</v>
      </c>
      <c r="H121" s="190"/>
      <c r="I121" s="190"/>
      <c r="J121" s="187" t="s">
        <v>1782</v>
      </c>
      <c r="K121" s="187"/>
      <c r="L121" s="270" t="str">
        <f>IFERROR(__xludf.DUMMYFUNCTION("IF(
  AND(D121=""Saída"", J121=""Sangria""),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74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85">
        <f>IFERROR(__xludf.DUMMYFUNCTION("ifna(VALUE(REGEXEXTRACT(E121,""[0-9.]+[,]+[0-9]+"")))"),160.0)</f>
        <v>160</v>
      </c>
      <c r="O121" s="301">
        <f>IFERROR(__xludf.DUMMYFUNCTION("""COMPUTED_VALUE"""),1841901.0)</f>
        <v>1841901</v>
      </c>
      <c r="P121" s="302">
        <f>IFERROR(__xludf.DUMMYFUNCTION("""COMPUTED_VALUE"""),45996.85576388889)</f>
        <v>45996.85576</v>
      </c>
      <c r="Q121" s="301" t="str">
        <f>IFERROR(__xludf.DUMMYFUNCTION("""COMPUTED_VALUE"""),"Saída")</f>
        <v>Saída</v>
      </c>
      <c r="R121" s="303" t="str">
        <f>IFERROR(__xludf.DUMMYFUNCTION("""COMPUTED_VALUE"""),"R$ 162,96")</f>
        <v>R$ 162,96</v>
      </c>
      <c r="S121" s="301" t="str">
        <f>IFERROR(__xludf.DUMMYFUNCTION("""COMPUTED_VALUE"""),"FRUTAS")</f>
        <v>FRUTAS</v>
      </c>
      <c r="V121" s="304" t="str">
        <f>IFERROR(__xludf.DUMMYFUNCTION("""COMPUTED_VALUE"""),"Não Encontrada")</f>
        <v>Não Encontrada</v>
      </c>
      <c r="W121" s="185"/>
    </row>
    <row r="122" ht="14.25" customHeight="1">
      <c r="A122" s="178"/>
      <c r="B122" s="12">
        <v>1857606.0</v>
      </c>
      <c r="C122" s="13">
        <v>46003.956030092595</v>
      </c>
      <c r="D122" s="179" t="s">
        <v>81</v>
      </c>
      <c r="E122" s="180" t="s">
        <v>6822</v>
      </c>
      <c r="F122" s="181"/>
      <c r="G122" s="179" t="s">
        <v>4028</v>
      </c>
      <c r="H122" s="190"/>
      <c r="I122" s="190"/>
      <c r="J122" s="187" t="s">
        <v>3151</v>
      </c>
      <c r="K122" s="187"/>
      <c r="L122" s="270" t="str">
        <f>IFERROR(__xludf.DUMMYFUNCTION("IF(
  AND(D122=""Saída"", J122=""Sangria""),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2" t="str">
        <f>IFERROR(__xludf.DUMMYFUNCTION("IF(J122=""Compra de Mercadorias"",
   IF(
      COUNTIF(ARRAYFORMULA(TRIM(CLEAN(TO_TEXT(Notas!BS:BS)))), TRIM(CLEAN(TO_TEXT(B122)))) &gt; 0,
      ""Encontrada"",
      ""Não Encontrada""
   ),
"""")"),"Não Encontrada")</f>
        <v>Não Encontrada</v>
      </c>
      <c r="N122" s="185">
        <f>IFERROR(__xludf.DUMMYFUNCTION("ifna(VALUE(REGEXEXTRACT(E122,""[0-9.]+[,]+[0-9]+"")))"),83.81)</f>
        <v>83.81</v>
      </c>
      <c r="O122" s="305">
        <f>IFERROR(__xludf.DUMMYFUNCTION("""COMPUTED_VALUE"""),1842588.0)</f>
        <v>1842588</v>
      </c>
      <c r="P122" s="306">
        <f>IFERROR(__xludf.DUMMYFUNCTION("""COMPUTED_VALUE"""),45996.9600462963)</f>
        <v>45996.96005</v>
      </c>
      <c r="Q122" s="305" t="str">
        <f>IFERROR(__xludf.DUMMYFUNCTION("""COMPUTED_VALUE"""),"Saída")</f>
        <v>Saída</v>
      </c>
      <c r="R122" s="307" t="str">
        <f>IFERROR(__xludf.DUMMYFUNCTION("""COMPUTED_VALUE"""),"R$ 244,00")</f>
        <v>R$ 244,00</v>
      </c>
      <c r="S122" s="305" t="str">
        <f>IFERROR(__xludf.DUMMYFUNCTION("""COMPUTED_VALUE"""),"COMEMORAÇÃO ANIVERSARIO")</f>
        <v>COMEMORAÇÃO ANIVERSARIO</v>
      </c>
      <c r="V122" s="308" t="str">
        <f>IFERROR(__xludf.DUMMYFUNCTION("""COMPUTED_VALUE"""),"Não Encontrada")</f>
        <v>Não Encontrada</v>
      </c>
      <c r="W122" s="185"/>
    </row>
    <row r="123" ht="14.25" customHeight="1">
      <c r="A123" s="178"/>
      <c r="B123" s="12">
        <v>1857617.0</v>
      </c>
      <c r="C123" s="13">
        <v>46003.9575</v>
      </c>
      <c r="D123" s="179" t="s">
        <v>81</v>
      </c>
      <c r="E123" s="180" t="s">
        <v>6823</v>
      </c>
      <c r="F123" s="181"/>
      <c r="G123" s="179" t="s">
        <v>4041</v>
      </c>
      <c r="H123" s="190"/>
      <c r="I123" s="190"/>
      <c r="J123" s="187" t="s">
        <v>3151</v>
      </c>
      <c r="K123" s="187"/>
      <c r="L123" s="270" t="str">
        <f>IFERROR(__xludf.DUMMYFUNCTION("IF(
  AND(D123=""Saída"", J123=""Sangria""),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74" t="str">
        <f>IFERROR(__xludf.DUMMYFUNCTION("IF(J123=""Compra de Mercadorias"",
   IF(
      COUNTIF(ARRAYFORMULA(TRIM(CLEAN(TO_TEXT(Notas!BS:BS)))), TRIM(CLEAN(TO_TEXT(B123)))) &gt; 0,
      ""Encontrada"",
      ""Não Encontrada""
   ),
"""")"),"Não Encontrada")</f>
        <v>Não Encontrada</v>
      </c>
      <c r="N123" s="185">
        <f>IFERROR(__xludf.DUMMYFUNCTION("ifna(VALUE(REGEXEXTRACT(E123,""[0-9.]+[,]+[0-9]+"")))"),13.53)</f>
        <v>13.53</v>
      </c>
      <c r="O123" s="301">
        <f>IFERROR(__xludf.DUMMYFUNCTION("""COMPUTED_VALUE"""),1847942.0)</f>
        <v>1847942</v>
      </c>
      <c r="P123" s="302">
        <f>IFERROR(__xludf.DUMMYFUNCTION("""COMPUTED_VALUE"""),45998.91568287037)</f>
        <v>45998.91568</v>
      </c>
      <c r="Q123" s="301" t="str">
        <f>IFERROR(__xludf.DUMMYFUNCTION("""COMPUTED_VALUE"""),"Saída")</f>
        <v>Saída</v>
      </c>
      <c r="R123" s="303" t="str">
        <f>IFERROR(__xludf.DUMMYFUNCTION("""COMPUTED_VALUE"""),"R$ 7,67")</f>
        <v>R$ 7,67</v>
      </c>
      <c r="S123" s="301" t="str">
        <f>IFERROR(__xludf.DUMMYFUNCTION("""COMPUTED_VALUE"""),"CAFE FUNCIONARIOS")</f>
        <v>CAFE FUNCIONARIOS</v>
      </c>
      <c r="V123" s="304" t="str">
        <f>IFERROR(__xludf.DUMMYFUNCTION("""COMPUTED_VALUE"""),"Não Encontrada")</f>
        <v>Não Encontrada</v>
      </c>
      <c r="W123" s="185"/>
    </row>
    <row r="124" ht="14.25" customHeight="1">
      <c r="A124" s="178"/>
      <c r="B124" s="12">
        <v>1857666.0</v>
      </c>
      <c r="C124" s="13">
        <v>46003.96803240741</v>
      </c>
      <c r="D124" s="179" t="s">
        <v>81</v>
      </c>
      <c r="E124" s="180" t="s">
        <v>200</v>
      </c>
      <c r="F124" s="188"/>
      <c r="G124" s="179" t="s">
        <v>381</v>
      </c>
      <c r="H124" s="190"/>
      <c r="I124" s="190"/>
      <c r="J124" s="187" t="s">
        <v>2735</v>
      </c>
      <c r="K124" s="187" t="s">
        <v>6576</v>
      </c>
      <c r="L124" s="270" t="str">
        <f>IFERROR(__xludf.DUMMYFUNCTION("IF(
  AND(D124=""Saída"", J124=""Sangria""),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"),"Confirmada")</f>
        <v>Confirmada</v>
      </c>
      <c r="M124" s="272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>
        <f>IFERROR(__xludf.DUMMYFUNCTION("ifna(VALUE(REGEXEXTRACT(E124,""[0-9.]+[,]+[0-9]+"")))"),300.0)</f>
        <v>300</v>
      </c>
      <c r="O124" s="305">
        <f>IFERROR(__xludf.DUMMYFUNCTION("""COMPUTED_VALUE"""),1849929.0)</f>
        <v>1849929</v>
      </c>
      <c r="P124" s="306">
        <f>IFERROR(__xludf.DUMMYFUNCTION("""COMPUTED_VALUE"""),45999.809317129635)</f>
        <v>45999.80932</v>
      </c>
      <c r="Q124" s="305" t="str">
        <f>IFERROR(__xludf.DUMMYFUNCTION("""COMPUTED_VALUE"""),"Saída")</f>
        <v>Saída</v>
      </c>
      <c r="R124" s="307" t="str">
        <f>IFERROR(__xludf.DUMMYFUNCTION("""COMPUTED_VALUE"""),"R$ 12,98")</f>
        <v>R$ 12,98</v>
      </c>
      <c r="S124" s="305" t="str">
        <f>IFERROR(__xludf.DUMMYFUNCTION("""COMPUTED_VALUE"""),"CAFE FUNCIONARIOS")</f>
        <v>CAFE FUNCIONARIOS</v>
      </c>
      <c r="V124" s="308" t="str">
        <f>IFERROR(__xludf.DUMMYFUNCTION("""COMPUTED_VALUE"""),"Não Encontrada")</f>
        <v>Não Encontrada</v>
      </c>
      <c r="W124" s="185"/>
    </row>
    <row r="125" ht="14.25" customHeight="1">
      <c r="A125" s="178"/>
      <c r="B125" s="12">
        <v>1858553.0</v>
      </c>
      <c r="C125" s="13">
        <v>46004.723645833335</v>
      </c>
      <c r="D125" s="179" t="s">
        <v>81</v>
      </c>
      <c r="E125" s="180" t="s">
        <v>411</v>
      </c>
      <c r="F125" s="181"/>
      <c r="G125" s="179" t="s">
        <v>346</v>
      </c>
      <c r="H125" s="190"/>
      <c r="I125" s="190"/>
      <c r="J125" s="187" t="s">
        <v>2735</v>
      </c>
      <c r="K125" s="187" t="s">
        <v>2018</v>
      </c>
      <c r="L125" s="270" t="str">
        <f>IFERROR(__xludf.DUMMYFUNCTION("IF(
  AND(D125=""Saída"", J125=""Sangria""),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"),"Confirmada")</f>
        <v>Confirmada</v>
      </c>
      <c r="M125" s="274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>
        <f>IFERROR(__xludf.DUMMYFUNCTION("ifna(VALUE(REGEXEXTRACT(E125,""[0-9.]+[,]+[0-9]+"")))"),1450.0)</f>
        <v>1450</v>
      </c>
      <c r="O125" s="301">
        <f>IFERROR(__xludf.DUMMYFUNCTION("""COMPUTED_VALUE"""),1851661.0)</f>
        <v>1851661</v>
      </c>
      <c r="P125" s="302">
        <f>IFERROR(__xludf.DUMMYFUNCTION("""COMPUTED_VALUE"""),46000.86498842592)</f>
        <v>46000.86499</v>
      </c>
      <c r="Q125" s="301" t="str">
        <f>IFERROR(__xludf.DUMMYFUNCTION("""COMPUTED_VALUE"""),"Saída")</f>
        <v>Saída</v>
      </c>
      <c r="R125" s="303" t="str">
        <f>IFERROR(__xludf.DUMMYFUNCTION("""COMPUTED_VALUE"""),"R$ 272,71")</f>
        <v>R$ 272,71</v>
      </c>
      <c r="S125" s="301" t="str">
        <f>IFERROR(__xludf.DUMMYFUNCTION("""COMPUTED_VALUE"""),"2 CESTA DE NATAL")</f>
        <v>2 CESTA DE NATAL</v>
      </c>
      <c r="V125" s="304" t="str">
        <f>IFERROR(__xludf.DUMMYFUNCTION("""COMPUTED_VALUE"""),"Não Encontrada")</f>
        <v>Não Encontrada</v>
      </c>
      <c r="W125" s="185"/>
    </row>
    <row r="126" ht="14.25" customHeight="1">
      <c r="A126" s="178"/>
      <c r="B126" s="12">
        <v>1858708.0</v>
      </c>
      <c r="C126" s="13">
        <v>46004.754212962966</v>
      </c>
      <c r="D126" s="179" t="s">
        <v>81</v>
      </c>
      <c r="E126" s="180" t="s">
        <v>5860</v>
      </c>
      <c r="F126" s="181"/>
      <c r="G126" s="179" t="s">
        <v>629</v>
      </c>
      <c r="H126" s="190"/>
      <c r="I126" s="190"/>
      <c r="J126" s="187" t="s">
        <v>2438</v>
      </c>
      <c r="K126" s="187"/>
      <c r="L126" s="270" t="str">
        <f>IFERROR(__xludf.DUMMYFUNCTION("IF(
  AND(D126=""Saída"", J126=""Sangria""),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2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IFERROR(__xludf.DUMMYFUNCTION("ifna(VALUE(REGEXEXTRACT(E126,""[0-9.]+[,]+[0-9]+"")))"),36.23)</f>
        <v>36.23</v>
      </c>
      <c r="O126" s="305">
        <f>IFERROR(__xludf.DUMMYFUNCTION("""COMPUTED_VALUE"""),1851662.0)</f>
        <v>1851662</v>
      </c>
      <c r="P126" s="306">
        <f>IFERROR(__xludf.DUMMYFUNCTION("""COMPUTED_VALUE"""),46000.86549768518)</f>
        <v>46000.8655</v>
      </c>
      <c r="Q126" s="305" t="str">
        <f>IFERROR(__xludf.DUMMYFUNCTION("""COMPUTED_VALUE"""),"Saída")</f>
        <v>Saída</v>
      </c>
      <c r="R126" s="307" t="str">
        <f>IFERROR(__xludf.DUMMYFUNCTION("""COMPUTED_VALUE"""),"R$ 199,80")</f>
        <v>R$ 199,80</v>
      </c>
      <c r="S126" s="305" t="str">
        <f>IFERROR(__xludf.DUMMYFUNCTION("""COMPUTED_VALUE"""),"CESTA DE NATAL")</f>
        <v>CESTA DE NATAL</v>
      </c>
      <c r="V126" s="308" t="str">
        <f>IFERROR(__xludf.DUMMYFUNCTION("""COMPUTED_VALUE"""),"Não Encontrada")</f>
        <v>Não Encontrada</v>
      </c>
      <c r="W126" s="185"/>
    </row>
    <row r="127" ht="14.25" customHeight="1">
      <c r="A127" s="178"/>
      <c r="B127" s="12">
        <v>1858722.0</v>
      </c>
      <c r="C127" s="13">
        <v>46004.757002314815</v>
      </c>
      <c r="D127" s="179" t="s">
        <v>81</v>
      </c>
      <c r="E127" s="180" t="s">
        <v>5860</v>
      </c>
      <c r="F127" s="181"/>
      <c r="G127" s="179" t="s">
        <v>6824</v>
      </c>
      <c r="H127" s="190"/>
      <c r="I127" s="190"/>
      <c r="J127" s="187" t="s">
        <v>2438</v>
      </c>
      <c r="K127" s="187"/>
      <c r="L127" s="270" t="str">
        <f>IFERROR(__xludf.DUMMYFUNCTION("IF(
  AND(D127=""Saída"", J127=""Sangria""),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74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>
        <f>IFERROR(__xludf.DUMMYFUNCTION("ifna(VALUE(REGEXEXTRACT(E127,""[0-9.]+[,]+[0-9]+"")))"),36.23)</f>
        <v>36.23</v>
      </c>
      <c r="O127" s="301">
        <f>IFERROR(__xludf.DUMMYFUNCTION("""COMPUTED_VALUE"""),1851663.0)</f>
        <v>1851663</v>
      </c>
      <c r="P127" s="302">
        <f>IFERROR(__xludf.DUMMYFUNCTION("""COMPUTED_VALUE"""),46000.86571759259)</f>
        <v>46000.86572</v>
      </c>
      <c r="Q127" s="301" t="str">
        <f>IFERROR(__xludf.DUMMYFUNCTION("""COMPUTED_VALUE"""),"Saída")</f>
        <v>Saída</v>
      </c>
      <c r="R127" s="303" t="str">
        <f>IFERROR(__xludf.DUMMYFUNCTION("""COMPUTED_VALUE"""),"R$ 183,07")</f>
        <v>R$ 183,07</v>
      </c>
      <c r="S127" s="301" t="str">
        <f>IFERROR(__xludf.DUMMYFUNCTION("""COMPUTED_VALUE"""),"PANETONES")</f>
        <v>PANETONES</v>
      </c>
      <c r="V127" s="304" t="str">
        <f>IFERROR(__xludf.DUMMYFUNCTION("""COMPUTED_VALUE"""),"Não Encontrada")</f>
        <v>Não Encontrada</v>
      </c>
      <c r="W127" s="185"/>
    </row>
    <row r="128" ht="14.25" customHeight="1">
      <c r="A128" s="178"/>
      <c r="B128" s="12">
        <v>1858732.0</v>
      </c>
      <c r="C128" s="13">
        <v>46004.75775462963</v>
      </c>
      <c r="D128" s="179" t="s">
        <v>81</v>
      </c>
      <c r="E128" s="180" t="s">
        <v>6825</v>
      </c>
      <c r="F128" s="181"/>
      <c r="G128" s="179" t="s">
        <v>6826</v>
      </c>
      <c r="H128" s="190"/>
      <c r="I128" s="190"/>
      <c r="J128" s="187" t="s">
        <v>2438</v>
      </c>
      <c r="K128" s="187"/>
      <c r="L128" s="270" t="str">
        <f>IFERROR(__xludf.DUMMYFUNCTION("IF(
  AND(D128=""Saída"", J128=""Sangria""),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2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>
        <f>IFERROR(__xludf.DUMMYFUNCTION("ifna(VALUE(REGEXEXTRACT(E128,""[0-9.]+[,]+[0-9]+"")))"),120.52)</f>
        <v>120.52</v>
      </c>
      <c r="O128" s="308">
        <f>IFERROR(__xludf.DUMMYFUNCTION("""COMPUTED_VALUE"""),1857606.0)</f>
        <v>1857606</v>
      </c>
      <c r="P128" s="306">
        <f>IFERROR(__xludf.DUMMYFUNCTION("""COMPUTED_VALUE"""),46003.956030092595)</f>
        <v>46003.95603</v>
      </c>
      <c r="Q128" s="308" t="str">
        <f>IFERROR(__xludf.DUMMYFUNCTION("""COMPUTED_VALUE"""),"Saída")</f>
        <v>Saída</v>
      </c>
      <c r="R128" s="307" t="str">
        <f>IFERROR(__xludf.DUMMYFUNCTION("""COMPUTED_VALUE"""),"R$ 83,81")</f>
        <v>R$ 83,81</v>
      </c>
      <c r="S128" s="308" t="str">
        <f>IFERROR(__xludf.DUMMYFUNCTION("""COMPUTED_VALUE"""),"SUCO PARA BANANA DO BUFFET E CAFE FUNCIONARIOS")</f>
        <v>SUCO PARA BANANA DO BUFFET E CAFE FUNCIONARIOS</v>
      </c>
      <c r="V128" s="308" t="str">
        <f>IFERROR(__xludf.DUMMYFUNCTION("""COMPUTED_VALUE"""),"Não Encontrada")</f>
        <v>Não Encontrada</v>
      </c>
      <c r="W128" s="185"/>
    </row>
    <row r="129" ht="14.25" customHeight="1">
      <c r="A129" s="178"/>
      <c r="B129" s="12">
        <v>1858748.0</v>
      </c>
      <c r="C129" s="13">
        <v>46004.76105324074</v>
      </c>
      <c r="D129" s="179" t="s">
        <v>152</v>
      </c>
      <c r="E129" s="180" t="s">
        <v>485</v>
      </c>
      <c r="F129" s="181"/>
      <c r="G129" s="179" t="s">
        <v>6827</v>
      </c>
      <c r="H129" s="190"/>
      <c r="I129" s="190"/>
      <c r="J129" s="187" t="s">
        <v>5195</v>
      </c>
      <c r="K129" s="187"/>
      <c r="L129" s="270" t="str">
        <f>IFERROR(__xludf.DUMMYFUNCTION("IF(
  AND(D129=""Saída"", J129=""Sangria""),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74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>
        <f>IFERROR(__xludf.DUMMYFUNCTION("ifna(VALUE(REGEXEXTRACT(E129,""[0-9.]+[,]+[0-9]+"")))"),60.0)</f>
        <v>60</v>
      </c>
      <c r="O129" s="304">
        <f>IFERROR(__xludf.DUMMYFUNCTION("""COMPUTED_VALUE"""),1857617.0)</f>
        <v>1857617</v>
      </c>
      <c r="P129" s="302">
        <f>IFERROR(__xludf.DUMMYFUNCTION("""COMPUTED_VALUE"""),46003.957500000004)</f>
        <v>46003.9575</v>
      </c>
      <c r="Q129" s="304" t="str">
        <f>IFERROR(__xludf.DUMMYFUNCTION("""COMPUTED_VALUE"""),"Saída")</f>
        <v>Saída</v>
      </c>
      <c r="R129" s="303" t="str">
        <f>IFERROR(__xludf.DUMMYFUNCTION("""COMPUTED_VALUE"""),"R$ 13,53")</f>
        <v>R$ 13,53</v>
      </c>
      <c r="S129" s="304" t="str">
        <f>IFERROR(__xludf.DUMMYFUNCTION("""COMPUTED_VALUE"""),"CAFE FUNCIONARIOS")</f>
        <v>CAFE FUNCIONARIOS</v>
      </c>
      <c r="V129" s="304" t="str">
        <f>IFERROR(__xludf.DUMMYFUNCTION("""COMPUTED_VALUE"""),"Não Encontrada")</f>
        <v>Não Encontrada</v>
      </c>
      <c r="W129" s="185"/>
    </row>
    <row r="130" ht="14.25" customHeight="1">
      <c r="A130" s="178"/>
      <c r="B130" s="12">
        <v>1858983.0</v>
      </c>
      <c r="C130" s="13">
        <v>46004.824155092596</v>
      </c>
      <c r="D130" s="179" t="s">
        <v>81</v>
      </c>
      <c r="E130" s="180" t="s">
        <v>6828</v>
      </c>
      <c r="F130" s="181"/>
      <c r="G130" s="179" t="s">
        <v>4111</v>
      </c>
      <c r="H130" s="190"/>
      <c r="I130" s="190"/>
      <c r="J130" s="187" t="s">
        <v>3151</v>
      </c>
      <c r="K130" s="187"/>
      <c r="L130" s="270" t="str">
        <f>IFERROR(__xludf.DUMMYFUNCTION("IF(
  AND(D130=""Saída"", J130=""Sangria""),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2" t="str">
        <f>IFERROR(__xludf.DUMMYFUNCTION("IF(J130=""Compra de Mercadorias"",
   IF(
      COUNTIF(ARRAYFORMULA(TRIM(CLEAN(TO_TEXT(Notas!BS:BS)))), TRIM(CLEAN(TO_TEXT(B130)))) &gt; 0,
      ""Encontrada"",
      ""Não Encontrada""
   ),
"""")"),"Não Encontrada")</f>
        <v>Não Encontrada</v>
      </c>
      <c r="N130" s="185">
        <f>IFERROR(__xludf.DUMMYFUNCTION("ifna(VALUE(REGEXEXTRACT(E130,""[0-9.]+[,]+[0-9]+"")))"),108.77)</f>
        <v>108.77</v>
      </c>
      <c r="O130" s="305">
        <f>IFERROR(__xludf.DUMMYFUNCTION("""COMPUTED_VALUE"""),1858983.0)</f>
        <v>1858983</v>
      </c>
      <c r="P130" s="306">
        <f>IFERROR(__xludf.DUMMYFUNCTION("""COMPUTED_VALUE"""),46004.82415509259)</f>
        <v>46004.82416</v>
      </c>
      <c r="Q130" s="305" t="str">
        <f>IFERROR(__xludf.DUMMYFUNCTION("""COMPUTED_VALUE"""),"Saída")</f>
        <v>Saída</v>
      </c>
      <c r="R130" s="307" t="str">
        <f>IFERROR(__xludf.DUMMYFUNCTION("""COMPUTED_VALUE"""),"R$ 108,77")</f>
        <v>R$ 108,77</v>
      </c>
      <c r="S130" s="305" t="str">
        <f>IFERROR(__xludf.DUMMYFUNCTION("""COMPUTED_VALUE"""),"CAIXA ORGANIZADORA PARA FRUTAS GELADEIRA")</f>
        <v>CAIXA ORGANIZADORA PARA FRUTAS GELADEIRA</v>
      </c>
      <c r="V130" s="305" t="str">
        <f>IFERROR(__xludf.DUMMYFUNCTION("""COMPUTED_VALUE"""),"Não Encontrada")</f>
        <v>Não Encontrada</v>
      </c>
      <c r="W130" s="25"/>
    </row>
    <row r="131" ht="14.25" customHeight="1">
      <c r="A131" s="178"/>
      <c r="B131" s="12">
        <v>1859166.0</v>
      </c>
      <c r="C131" s="13">
        <v>46004.860555555555</v>
      </c>
      <c r="D131" s="179" t="s">
        <v>81</v>
      </c>
      <c r="E131" s="180" t="s">
        <v>4106</v>
      </c>
      <c r="F131" s="181"/>
      <c r="G131" s="179" t="s">
        <v>6829</v>
      </c>
      <c r="H131" s="190"/>
      <c r="I131" s="190"/>
      <c r="J131" s="187" t="s">
        <v>2735</v>
      </c>
      <c r="K131" s="187" t="s">
        <v>2018</v>
      </c>
      <c r="L131" s="270" t="str">
        <f>IFERROR(__xludf.DUMMYFUNCTION("IF(
  AND(D131=""Saída"", J131=""Sangria""),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"),"Confirmada")</f>
        <v>Confirmada</v>
      </c>
      <c r="M131" s="276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>
        <f>IFERROR(__xludf.DUMMYFUNCTION("ifna(VALUE(REGEXEXTRACT(E131,""[0-9.]+[,]+[0-9]+"")))"),750.0)</f>
        <v>750</v>
      </c>
      <c r="O131" s="309">
        <f>IFERROR(__xludf.DUMMYFUNCTION("""COMPUTED_VALUE"""),1863346.0)</f>
        <v>1863346</v>
      </c>
      <c r="P131" s="302">
        <f>IFERROR(__xludf.DUMMYFUNCTION("""COMPUTED_VALUE"""),46006.55197916667)</f>
        <v>46006.55198</v>
      </c>
      <c r="Q131" s="301" t="str">
        <f>IFERROR(__xludf.DUMMYFUNCTION("""COMPUTED_VALUE"""),"Saída")</f>
        <v>Saída</v>
      </c>
      <c r="R131" s="303" t="str">
        <f>IFERROR(__xludf.DUMMYFUNCTION("""COMPUTED_VALUE"""),"R$ 73,10")</f>
        <v>R$ 73,10</v>
      </c>
      <c r="S131" s="301" t="str">
        <f>IFERROR(__xludf.DUMMYFUNCTION("""COMPUTED_VALUE"""),"PANETONE CAMPANHA E FRUTAS")</f>
        <v>PANETONE CAMPANHA E FRUTAS</v>
      </c>
      <c r="V131" s="301" t="str">
        <f>IFERROR(__xludf.DUMMYFUNCTION("""COMPUTED_VALUE"""),"Não Encontrada")</f>
        <v>Não Encontrada</v>
      </c>
      <c r="W131" s="25"/>
    </row>
    <row r="132" ht="14.25" customHeight="1">
      <c r="A132" s="178"/>
      <c r="B132" s="12">
        <v>1860134.0</v>
      </c>
      <c r="C132" s="13">
        <v>46004.98174768518</v>
      </c>
      <c r="D132" s="179" t="s">
        <v>81</v>
      </c>
      <c r="E132" s="180" t="s">
        <v>2949</v>
      </c>
      <c r="F132" s="181"/>
      <c r="G132" s="179" t="s">
        <v>6804</v>
      </c>
      <c r="H132" s="190"/>
      <c r="I132" s="190"/>
      <c r="J132" s="187" t="s">
        <v>1782</v>
      </c>
      <c r="K132" s="187"/>
      <c r="L132" s="270" t="str">
        <f>IFERROR(__xludf.DUMMYFUNCTION("IF(
  AND(D132=""Saída"", J132=""Sangria""),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2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85">
        <f>IFERROR(__xludf.DUMMYFUNCTION("ifna(VALUE(REGEXEXTRACT(E132,""[0-9.]+[,]+[0-9]+"")))"),121.0)</f>
        <v>121</v>
      </c>
      <c r="O132" s="305">
        <f>IFERROR(__xludf.DUMMYFUNCTION("""COMPUTED_VALUE"""),1866989.0)</f>
        <v>1866989</v>
      </c>
      <c r="P132" s="306">
        <f>IFERROR(__xludf.DUMMYFUNCTION("""COMPUTED_VALUE"""),46007.96668981481)</f>
        <v>46007.96669</v>
      </c>
      <c r="Q132" s="305" t="str">
        <f>IFERROR(__xludf.DUMMYFUNCTION("""COMPUTED_VALUE"""),"Saída")</f>
        <v>Saída</v>
      </c>
      <c r="R132" s="307" t="str">
        <f>IFERROR(__xludf.DUMMYFUNCTION("""COMPUTED_VALUE"""),"R$ 95,89")</f>
        <v>R$ 95,89</v>
      </c>
      <c r="S132" s="305" t="str">
        <f>IFERROR(__xludf.DUMMYFUNCTION("""COMPUTED_VALUE"""),"CAFE FUNCIONARIOS")</f>
        <v>CAFE FUNCIONARIOS</v>
      </c>
      <c r="V132" s="305" t="str">
        <f>IFERROR(__xludf.DUMMYFUNCTION("""COMPUTED_VALUE"""),"Não Encontrada")</f>
        <v>Não Encontrada</v>
      </c>
      <c r="W132" s="25"/>
    </row>
    <row r="133" ht="14.25" customHeight="1">
      <c r="A133" s="178"/>
      <c r="B133" s="12">
        <v>1860160.0</v>
      </c>
      <c r="C133" s="13">
        <v>46004.98877314815</v>
      </c>
      <c r="D133" s="179" t="s">
        <v>81</v>
      </c>
      <c r="E133" s="180" t="s">
        <v>162</v>
      </c>
      <c r="F133" s="181"/>
      <c r="G133" s="179" t="s">
        <v>381</v>
      </c>
      <c r="H133" s="190"/>
      <c r="I133" s="190"/>
      <c r="J133" s="187" t="s">
        <v>2735</v>
      </c>
      <c r="K133" s="187" t="s">
        <v>6576</v>
      </c>
      <c r="L133" s="270" t="str">
        <f>IFERROR(__xludf.DUMMYFUNCTION("IF(
  AND(D133=""Saída"", J133=""Sangria""),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"),"Confirmada")</f>
        <v>Confirmada</v>
      </c>
      <c r="M133" s="274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>
        <f>IFERROR(__xludf.DUMMYFUNCTION("ifna(VALUE(REGEXEXTRACT(E133,""[0-9.]+[,]+[0-9]+"")))"),150.0)</f>
        <v>150</v>
      </c>
      <c r="O133" s="301">
        <f>IFERROR(__xludf.DUMMYFUNCTION("""COMPUTED_VALUE"""),1870727.0)</f>
        <v>1870727</v>
      </c>
      <c r="P133" s="302">
        <f>IFERROR(__xludf.DUMMYFUNCTION("""COMPUTED_VALUE"""),46009.99569444444)</f>
        <v>46009.99569</v>
      </c>
      <c r="Q133" s="301" t="str">
        <f>IFERROR(__xludf.DUMMYFUNCTION("""COMPUTED_VALUE"""),"Saída")</f>
        <v>Saída</v>
      </c>
      <c r="R133" s="303" t="str">
        <f>IFERROR(__xludf.DUMMYFUNCTION("""COMPUTED_VALUE"""),"R$ 12,31")</f>
        <v>R$ 12,31</v>
      </c>
      <c r="S133" s="301" t="str">
        <f>IFERROR(__xludf.DUMMYFUNCTION("""COMPUTED_VALUE"""),"FRUTAS")</f>
        <v>FRUTAS</v>
      </c>
      <c r="V133" s="301" t="str">
        <f>IFERROR(__xludf.DUMMYFUNCTION("""COMPUTED_VALUE"""),"Não Encontrada")</f>
        <v>Não Encontrada</v>
      </c>
      <c r="W133" s="25"/>
    </row>
    <row r="134" ht="14.25" customHeight="1">
      <c r="A134" s="178"/>
      <c r="B134" s="12">
        <v>1863079.0</v>
      </c>
      <c r="C134" s="13">
        <v>46005.97855324074</v>
      </c>
      <c r="D134" s="179" t="s">
        <v>81</v>
      </c>
      <c r="E134" s="180" t="s">
        <v>4106</v>
      </c>
      <c r="F134" s="188"/>
      <c r="G134" s="179" t="s">
        <v>4071</v>
      </c>
      <c r="H134" s="190"/>
      <c r="I134" s="190"/>
      <c r="J134" s="187" t="s">
        <v>2735</v>
      </c>
      <c r="K134" s="187" t="s">
        <v>2018</v>
      </c>
      <c r="L134" s="270" t="str">
        <f>IFERROR(__xludf.DUMMYFUNCTION("IF(
  AND(D134=""Saída"", J134=""Sangria""),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"),"Confirmada")</f>
        <v>Confirmada</v>
      </c>
      <c r="M134" s="272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IFERROR(__xludf.DUMMYFUNCTION("ifna(VALUE(REGEXEXTRACT(E134,""[0-9.]+[,]+[0-9]+"")))"),750.0)</f>
        <v>750</v>
      </c>
      <c r="O134" s="305">
        <f>IFERROR(__xludf.DUMMYFUNCTION("""COMPUTED_VALUE"""),1870741.0)</f>
        <v>1870741</v>
      </c>
      <c r="P134" s="306">
        <f>IFERROR(__xludf.DUMMYFUNCTION("""COMPUTED_VALUE"""),46010.02230324074)</f>
        <v>46010.0223</v>
      </c>
      <c r="Q134" s="305" t="str">
        <f>IFERROR(__xludf.DUMMYFUNCTION("""COMPUTED_VALUE"""),"Saída")</f>
        <v>Saída</v>
      </c>
      <c r="R134" s="307" t="str">
        <f>IFERROR(__xludf.DUMMYFUNCTION("""COMPUTED_VALUE"""),"R$ 150,00")</f>
        <v>R$ 150,00</v>
      </c>
      <c r="S134" s="305" t="str">
        <f>IFERROR(__xludf.DUMMYFUNCTION("""COMPUTED_VALUE"""),"COMEMORAÇÃO ANIVERSARIO WILLIAN")</f>
        <v>COMEMORAÇÃO ANIVERSARIO WILLIAN</v>
      </c>
      <c r="V134" s="305" t="str">
        <f>IFERROR(__xludf.DUMMYFUNCTION("""COMPUTED_VALUE"""),"Não Encontrada")</f>
        <v>Não Encontrada</v>
      </c>
      <c r="W134" s="25"/>
    </row>
    <row r="135" ht="14.25" customHeight="1">
      <c r="A135" s="178"/>
      <c r="B135" s="12">
        <v>1863083.0</v>
      </c>
      <c r="C135" s="13">
        <v>46005.97880787037</v>
      </c>
      <c r="D135" s="179" t="s">
        <v>81</v>
      </c>
      <c r="E135" s="180" t="s">
        <v>6556</v>
      </c>
      <c r="F135" s="181"/>
      <c r="G135" s="179" t="s">
        <v>4071</v>
      </c>
      <c r="H135" s="190"/>
      <c r="I135" s="190"/>
      <c r="J135" s="187" t="s">
        <v>2735</v>
      </c>
      <c r="K135" s="187" t="s">
        <v>2018</v>
      </c>
      <c r="L135" s="270" t="str">
        <f>IFERROR(__xludf.DUMMYFUNCTION("IF(
  AND(D135=""Saída"", J135=""Sangria""),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"),"Confirmada")</f>
        <v>Confirmada</v>
      </c>
      <c r="M135" s="274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IFERROR(__xludf.DUMMYFUNCTION("ifna(VALUE(REGEXEXTRACT(E135,""[0-9.]+[,]+[0-9]+"")))"),1100.0)</f>
        <v>1100</v>
      </c>
      <c r="O135" s="301">
        <f>IFERROR(__xludf.DUMMYFUNCTION("""COMPUTED_VALUE"""),1871112.0)</f>
        <v>1871112</v>
      </c>
      <c r="P135" s="302">
        <f>IFERROR(__xludf.DUMMYFUNCTION("""COMPUTED_VALUE"""),46010.637615740736)</f>
        <v>46010.63762</v>
      </c>
      <c r="Q135" s="301" t="str">
        <f>IFERROR(__xludf.DUMMYFUNCTION("""COMPUTED_VALUE"""),"Saída")</f>
        <v>Saída</v>
      </c>
      <c r="R135" s="301" t="str">
        <f>IFERROR(__xludf.DUMMYFUNCTION("""COMPUTED_VALUE"""),"R$ 162,00")</f>
        <v>R$ 162,00</v>
      </c>
      <c r="S135" s="301" t="str">
        <f>IFERROR(__xludf.DUMMYFUNCTION("""COMPUTED_VALUE"""),"13º SALARIO- Willian")</f>
        <v>13º SALARIO- Willian</v>
      </c>
      <c r="V135" s="301" t="str">
        <f>IFERROR(__xludf.DUMMYFUNCTION("""COMPUTED_VALUE"""),"Não Encontrada")</f>
        <v>Não Encontrada</v>
      </c>
      <c r="W135" s="25"/>
    </row>
    <row r="136" ht="14.25" customHeight="1">
      <c r="A136" s="178"/>
      <c r="B136" s="12">
        <v>1863088.0</v>
      </c>
      <c r="C136" s="13">
        <v>46005.97918981482</v>
      </c>
      <c r="D136" s="179" t="s">
        <v>81</v>
      </c>
      <c r="E136" s="180" t="s">
        <v>5424</v>
      </c>
      <c r="F136" s="181"/>
      <c r="G136" s="179" t="s">
        <v>381</v>
      </c>
      <c r="H136" s="190"/>
      <c r="I136" s="190"/>
      <c r="J136" s="187" t="s">
        <v>2735</v>
      </c>
      <c r="K136" s="187" t="s">
        <v>6576</v>
      </c>
      <c r="L136" s="270" t="str">
        <f>IFERROR(__xludf.DUMMYFUNCTION("IF(
  AND(D136=""Saída"", J136=""Sangria""),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"),"Confirmada")</f>
        <v>Confirmada</v>
      </c>
      <c r="M136" s="276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IFERROR(__xludf.DUMMYFUNCTION("ifna(VALUE(REGEXEXTRACT(E136,""[0-9.]+[,]+[0-9]+"")))"),1500.0)</f>
        <v>1500</v>
      </c>
      <c r="O136" s="305">
        <f>IFERROR(__xludf.DUMMYFUNCTION("""COMPUTED_VALUE"""),1878472.0)</f>
        <v>1878472</v>
      </c>
      <c r="P136" s="306">
        <f>IFERROR(__xludf.DUMMYFUNCTION("""COMPUTED_VALUE"""),46012.950219907405)</f>
        <v>46012.95022</v>
      </c>
      <c r="Q136" s="305" t="str">
        <f>IFERROR(__xludf.DUMMYFUNCTION("""COMPUTED_VALUE"""),"Saída")</f>
        <v>Saída</v>
      </c>
      <c r="R136" s="305" t="str">
        <f>IFERROR(__xludf.DUMMYFUNCTION("""COMPUTED_VALUE"""),"R$ 100,00")</f>
        <v>R$ 100,00</v>
      </c>
      <c r="S136" s="305" t="str">
        <f>IFERROR(__xludf.DUMMYFUNCTION("""COMPUTED_VALUE"""),"PANETONE CAMPANHA")</f>
        <v>PANETONE CAMPANHA</v>
      </c>
      <c r="V136" s="305" t="str">
        <f>IFERROR(__xludf.DUMMYFUNCTION("""COMPUTED_VALUE"""),"Não Encontrada")</f>
        <v>Não Encontrada</v>
      </c>
      <c r="W136" s="25"/>
    </row>
    <row r="137" ht="14.25" customHeight="1">
      <c r="A137" s="178"/>
      <c r="B137" s="12">
        <v>1863113.0</v>
      </c>
      <c r="C137" s="13">
        <v>46005.98390046296</v>
      </c>
      <c r="D137" s="179" t="s">
        <v>81</v>
      </c>
      <c r="E137" s="180" t="s">
        <v>6786</v>
      </c>
      <c r="F137" s="181"/>
      <c r="G137" s="179" t="s">
        <v>6830</v>
      </c>
      <c r="H137" s="190"/>
      <c r="I137" s="190"/>
      <c r="J137" s="187" t="s">
        <v>1782</v>
      </c>
      <c r="K137" s="187"/>
      <c r="L137" s="270" t="str">
        <f>IFERROR(__xludf.DUMMYFUNCTION("IF(
  AND(D137=""Saída"", J137=""Sangria""),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74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IFERROR(__xludf.DUMMYFUNCTION("ifna(VALUE(REGEXEXTRACT(E137,""[0-9.]+[,]+[0-9]+"")))"),95.0)</f>
        <v>95</v>
      </c>
      <c r="O137" s="301">
        <f>IFERROR(__xludf.DUMMYFUNCTION("""COMPUTED_VALUE"""),1878476.0)</f>
        <v>1878476</v>
      </c>
      <c r="P137" s="302">
        <f>IFERROR(__xludf.DUMMYFUNCTION("""COMPUTED_VALUE"""),46012.95049768519)</f>
        <v>46012.9505</v>
      </c>
      <c r="Q137" s="301" t="str">
        <f>IFERROR(__xludf.DUMMYFUNCTION("""COMPUTED_VALUE"""),"Saída")</f>
        <v>Saída</v>
      </c>
      <c r="R137" s="301" t="str">
        <f>IFERROR(__xludf.DUMMYFUNCTION("""COMPUTED_VALUE"""),"R$ 39,44")</f>
        <v>R$ 39,44</v>
      </c>
      <c r="S137" s="301" t="str">
        <f>IFERROR(__xludf.DUMMYFUNCTION("""COMPUTED_VALUE"""),"CAFE FUNCIONARIOS")</f>
        <v>CAFE FUNCIONARIOS</v>
      </c>
      <c r="V137" s="301" t="str">
        <f>IFERROR(__xludf.DUMMYFUNCTION("""COMPUTED_VALUE"""),"Não Encontrada")</f>
        <v>Não Encontrada</v>
      </c>
      <c r="W137" s="25"/>
    </row>
    <row r="138" ht="14.25" customHeight="1">
      <c r="A138" s="178"/>
      <c r="B138" s="12">
        <v>1863115.0</v>
      </c>
      <c r="C138" s="13">
        <v>46005.98436342592</v>
      </c>
      <c r="D138" s="179" t="s">
        <v>81</v>
      </c>
      <c r="E138" s="180" t="s">
        <v>943</v>
      </c>
      <c r="F138" s="181"/>
      <c r="G138" s="179" t="s">
        <v>381</v>
      </c>
      <c r="H138" s="190"/>
      <c r="I138" s="190"/>
      <c r="J138" s="187" t="s">
        <v>2735</v>
      </c>
      <c r="K138" s="187" t="s">
        <v>6576</v>
      </c>
      <c r="L138" s="270" t="str">
        <f>IFERROR(__xludf.DUMMYFUNCTION("IF(
  AND(D138=""Saída"", J138=""Sangria""),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"),"Confirmada")</f>
        <v>Confirmada</v>
      </c>
      <c r="M138" s="272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IFERROR(__xludf.DUMMYFUNCTION("ifna(VALUE(REGEXEXTRACT(E138,""[0-9.]+[,]+[0-9]+"")))"),800.0)</f>
        <v>800</v>
      </c>
      <c r="O138" s="305"/>
      <c r="P138" s="311"/>
      <c r="Q138" s="305"/>
      <c r="R138" s="305"/>
      <c r="S138" s="305"/>
      <c r="V138" s="305"/>
      <c r="W138" s="25"/>
    </row>
    <row r="139" ht="14.25" customHeight="1">
      <c r="A139" s="178"/>
      <c r="B139" s="12">
        <v>1863118.0</v>
      </c>
      <c r="C139" s="13">
        <v>46005.98585648148</v>
      </c>
      <c r="D139" s="179" t="s">
        <v>152</v>
      </c>
      <c r="E139" s="180" t="s">
        <v>536</v>
      </c>
      <c r="F139" s="188"/>
      <c r="G139" s="179" t="s">
        <v>267</v>
      </c>
      <c r="H139" s="190"/>
      <c r="I139" s="190"/>
      <c r="J139" s="187" t="s">
        <v>2669</v>
      </c>
      <c r="K139" s="187"/>
      <c r="L139" s="270" t="str">
        <f>IFERROR(__xludf.DUMMYFUNCTION("IF(
  AND(D139=""Saída"", J139=""Sangria""),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74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IFERROR(__xludf.DUMMYFUNCTION("ifna(VALUE(REGEXEXTRACT(E139,""[0-9.]+[,]+[0-9]+"")))"),80.0)</f>
        <v>80</v>
      </c>
      <c r="O139" s="301"/>
      <c r="P139" s="310"/>
      <c r="Q139" s="301"/>
      <c r="R139" s="301"/>
      <c r="S139" s="301"/>
      <c r="V139" s="301"/>
      <c r="W139" s="25"/>
    </row>
    <row r="140" ht="14.25" customHeight="1">
      <c r="A140" s="178"/>
      <c r="B140" s="12">
        <v>1863345.0</v>
      </c>
      <c r="C140" s="13">
        <v>46006.55143518518</v>
      </c>
      <c r="D140" s="179" t="s">
        <v>152</v>
      </c>
      <c r="E140" s="180" t="s">
        <v>416</v>
      </c>
      <c r="F140" s="181"/>
      <c r="G140" s="179" t="s">
        <v>267</v>
      </c>
      <c r="H140" s="190"/>
      <c r="I140" s="190"/>
      <c r="J140" s="187" t="s">
        <v>2669</v>
      </c>
      <c r="K140" s="187"/>
      <c r="L140" s="270" t="str">
        <f>IFERROR(__xludf.DUMMYFUNCTION("IF(
  AND(D140=""Saída"", J140=""Sangria""),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2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IFERROR(__xludf.DUMMYFUNCTION("ifna(VALUE(REGEXEXTRACT(E140,""[0-9.]+[,]+[0-9]+"")))"),100.0)</f>
        <v>100</v>
      </c>
      <c r="O140" s="305"/>
      <c r="P140" s="311"/>
      <c r="Q140" s="305"/>
      <c r="R140" s="305"/>
      <c r="S140" s="305"/>
      <c r="V140" s="305"/>
      <c r="W140" s="25"/>
    </row>
    <row r="141" ht="14.25" customHeight="1">
      <c r="A141" s="178"/>
      <c r="B141" s="12">
        <v>1863346.0</v>
      </c>
      <c r="C141" s="13">
        <v>46006.55197916667</v>
      </c>
      <c r="D141" s="179" t="s">
        <v>81</v>
      </c>
      <c r="E141" s="180" t="s">
        <v>6832</v>
      </c>
      <c r="F141" s="181"/>
      <c r="G141" s="179" t="s">
        <v>4154</v>
      </c>
      <c r="H141" s="190"/>
      <c r="I141" s="190"/>
      <c r="J141" s="187" t="s">
        <v>3151</v>
      </c>
      <c r="K141" s="187"/>
      <c r="L141" s="270" t="str">
        <f>IFERROR(__xludf.DUMMYFUNCTION("IF(
  AND(D141=""Saída"", J141=""Sangria""),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74" t="str">
        <f>IFERROR(__xludf.DUMMYFUNCTION("IF(J141=""Compra de Mercadorias"",
   IF(
      COUNTIF(ARRAYFORMULA(TRIM(CLEAN(TO_TEXT(Notas!BS:BS)))), TRIM(CLEAN(TO_TEXT(B141)))) &gt; 0,
      ""Encontrada"",
      ""Não Encontrada""
   ),
"""")"),"Não Encontrada")</f>
        <v>Não Encontrada</v>
      </c>
      <c r="N141" s="185">
        <f>IFERROR(__xludf.DUMMYFUNCTION("ifna(VALUE(REGEXEXTRACT(E141,""[0-9.]+[,]+[0-9]+"")))"),73.1)</f>
        <v>73.1</v>
      </c>
      <c r="O141" s="304"/>
      <c r="P141" s="312"/>
      <c r="Q141" s="304"/>
      <c r="R141" s="304"/>
      <c r="S141" s="304"/>
      <c r="V141" s="304"/>
      <c r="W141" s="185"/>
    </row>
    <row r="142" ht="14.25" customHeight="1">
      <c r="A142" s="178"/>
      <c r="B142" s="12">
        <v>1865047.0</v>
      </c>
      <c r="C142" s="13">
        <v>46006.95899305555</v>
      </c>
      <c r="D142" s="179" t="s">
        <v>81</v>
      </c>
      <c r="E142" s="180" t="s">
        <v>343</v>
      </c>
      <c r="F142" s="181"/>
      <c r="G142" s="179" t="s">
        <v>381</v>
      </c>
      <c r="H142" s="190"/>
      <c r="I142" s="190"/>
      <c r="J142" s="187" t="s">
        <v>2735</v>
      </c>
      <c r="K142" s="187" t="s">
        <v>6576</v>
      </c>
      <c r="L142" s="270" t="str">
        <f>IFERROR(__xludf.DUMMYFUNCTION("IF(
  AND(D142=""Saída"", J142=""Sangria""),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"),"Confirmada")</f>
        <v>Confirmada</v>
      </c>
      <c r="M142" s="272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>
        <f>IFERROR(__xludf.DUMMYFUNCTION("ifna(VALUE(REGEXEXTRACT(E142,""[0-9.]+[,]+[0-9]+"")))"),550.0)</f>
        <v>550</v>
      </c>
      <c r="O142" s="308"/>
      <c r="P142" s="313"/>
      <c r="Q142" s="308"/>
      <c r="R142" s="308"/>
      <c r="S142" s="308"/>
      <c r="V142" s="308"/>
      <c r="W142" s="185"/>
    </row>
    <row r="143" ht="14.25" customHeight="1">
      <c r="A143" s="178"/>
      <c r="B143" s="12">
        <v>1866982.0</v>
      </c>
      <c r="C143" s="13">
        <v>46007.96560185185</v>
      </c>
      <c r="D143" s="179" t="s">
        <v>81</v>
      </c>
      <c r="E143" s="180" t="s">
        <v>6833</v>
      </c>
      <c r="F143" s="181"/>
      <c r="G143" s="179" t="s">
        <v>5810</v>
      </c>
      <c r="H143" s="190"/>
      <c r="I143" s="190"/>
      <c r="J143" s="187" t="s">
        <v>2019</v>
      </c>
      <c r="K143" s="187" t="s">
        <v>2117</v>
      </c>
      <c r="L143" s="270" t="str">
        <f>IFERROR(__xludf.DUMMYFUNCTION("IF(
  AND(D143=""Saída"", J143=""Sangria""),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74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>
        <f>IFERROR(__xludf.DUMMYFUNCTION("ifna(VALUE(REGEXEXTRACT(E143,""[0-9.]+[,]+[0-9]+"")))"),17.45)</f>
        <v>17.45</v>
      </c>
      <c r="O143" s="304"/>
      <c r="P143" s="312"/>
      <c r="Q143" s="304"/>
      <c r="R143" s="304"/>
      <c r="S143" s="304"/>
      <c r="V143" s="304"/>
      <c r="W143" s="185"/>
    </row>
    <row r="144" ht="14.25" customHeight="1">
      <c r="A144" s="178"/>
      <c r="B144" s="12">
        <v>1866986.0</v>
      </c>
      <c r="C144" s="13">
        <v>46007.9659837963</v>
      </c>
      <c r="D144" s="179" t="s">
        <v>81</v>
      </c>
      <c r="E144" s="180" t="s">
        <v>6834</v>
      </c>
      <c r="F144" s="181"/>
      <c r="G144" s="179" t="s">
        <v>6835</v>
      </c>
      <c r="H144" s="190"/>
      <c r="I144" s="190"/>
      <c r="J144" s="187" t="s">
        <v>2019</v>
      </c>
      <c r="K144" s="187" t="s">
        <v>2078</v>
      </c>
      <c r="L144" s="270" t="str">
        <f>IFERROR(__xludf.DUMMYFUNCTION("IF(
  AND(D144=""Saída"", J144=""Sangria""),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2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IFERROR(__xludf.DUMMYFUNCTION("ifna(VALUE(REGEXEXTRACT(E144,""[0-9.]+[,]+[0-9]+"")))"),84.69)</f>
        <v>84.69</v>
      </c>
      <c r="O144" s="308"/>
      <c r="P144" s="313"/>
      <c r="Q144" s="308"/>
      <c r="R144" s="308"/>
      <c r="S144" s="308"/>
      <c r="V144" s="308"/>
      <c r="W144" s="185"/>
    </row>
    <row r="145" ht="14.25" customHeight="1">
      <c r="A145" s="178"/>
      <c r="B145" s="12">
        <v>1866989.0</v>
      </c>
      <c r="C145" s="13">
        <v>46007.96668981481</v>
      </c>
      <c r="D145" s="179" t="s">
        <v>81</v>
      </c>
      <c r="E145" s="180" t="s">
        <v>6836</v>
      </c>
      <c r="F145" s="181"/>
      <c r="G145" s="179" t="s">
        <v>4041</v>
      </c>
      <c r="H145" s="190"/>
      <c r="I145" s="190"/>
      <c r="J145" s="187" t="s">
        <v>3151</v>
      </c>
      <c r="K145" s="187"/>
      <c r="L145" s="270" t="str">
        <f>IFERROR(__xludf.DUMMYFUNCTION("IF(
  AND(D145=""Saída"", J145=""Sangria""),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74" t="str">
        <f>IFERROR(__xludf.DUMMYFUNCTION("IF(J145=""Compra de Mercadorias"",
   IF(
      COUNTIF(ARRAYFORMULA(TRIM(CLEAN(TO_TEXT(Notas!BS:BS)))), TRIM(CLEAN(TO_TEXT(B145)))) &gt; 0,
      ""Encontrada"",
      ""Não Encontrada""
   ),
"""")"),"Não Encontrada")</f>
        <v>Não Encontrada</v>
      </c>
      <c r="N145" s="185">
        <f>IFERROR(__xludf.DUMMYFUNCTION("ifna(VALUE(REGEXEXTRACT(E145,""[0-9.]+[,]+[0-9]+"")))"),95.89)</f>
        <v>95.89</v>
      </c>
      <c r="O145" s="304"/>
      <c r="P145" s="312"/>
      <c r="Q145" s="304"/>
      <c r="R145" s="304"/>
      <c r="S145" s="304"/>
      <c r="V145" s="304"/>
      <c r="W145" s="185"/>
    </row>
    <row r="146" ht="14.25" customHeight="1">
      <c r="A146" s="178"/>
      <c r="B146" s="12">
        <v>1867079.0</v>
      </c>
      <c r="C146" s="13">
        <v>46007.99358796296</v>
      </c>
      <c r="D146" s="179" t="s">
        <v>81</v>
      </c>
      <c r="E146" s="180" t="s">
        <v>943</v>
      </c>
      <c r="F146" s="181"/>
      <c r="G146" s="179" t="s">
        <v>381</v>
      </c>
      <c r="H146" s="190"/>
      <c r="I146" s="190"/>
      <c r="J146" s="187" t="s">
        <v>2735</v>
      </c>
      <c r="K146" s="187" t="s">
        <v>6576</v>
      </c>
      <c r="L146" s="270" t="str">
        <f>IFERROR(__xludf.DUMMYFUNCTION("IF(
  AND(D146=""Saída"", J146=""Sangria""),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"),"Confirmada")</f>
        <v>Confirmada</v>
      </c>
      <c r="M146" s="272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>
        <f>IFERROR(__xludf.DUMMYFUNCTION("ifna(VALUE(REGEXEXTRACT(E146,""[0-9.]+[,]+[0-9]+"")))"),800.0)</f>
        <v>800</v>
      </c>
      <c r="O146" s="308"/>
      <c r="P146" s="313"/>
      <c r="Q146" s="308"/>
      <c r="R146" s="308"/>
      <c r="S146" s="308"/>
      <c r="V146" s="308"/>
      <c r="W146" s="185"/>
    </row>
    <row r="147" ht="14.25" customHeight="1">
      <c r="A147" s="178"/>
      <c r="B147" s="12">
        <v>1867082.0</v>
      </c>
      <c r="C147" s="13">
        <v>46007.993784722225</v>
      </c>
      <c r="D147" s="179" t="s">
        <v>81</v>
      </c>
      <c r="E147" s="180" t="s">
        <v>200</v>
      </c>
      <c r="F147" s="188"/>
      <c r="G147" s="179" t="s">
        <v>381</v>
      </c>
      <c r="H147" s="190"/>
      <c r="I147" s="190"/>
      <c r="J147" s="187" t="s">
        <v>2735</v>
      </c>
      <c r="K147" s="187" t="s">
        <v>6576</v>
      </c>
      <c r="L147" s="270" t="str">
        <f>IFERROR(__xludf.DUMMYFUNCTION("IF(
  AND(D147=""Saída"", J147=""Sangria""),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"),"Confirmada")</f>
        <v>Confirmada</v>
      </c>
      <c r="M147" s="274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>
        <f>IFERROR(__xludf.DUMMYFUNCTION("ifna(VALUE(REGEXEXTRACT(E147,""[0-9.]+[,]+[0-9]+"")))"),300.0)</f>
        <v>300</v>
      </c>
      <c r="O147" s="304"/>
      <c r="P147" s="312"/>
      <c r="Q147" s="304"/>
      <c r="R147" s="304"/>
      <c r="S147" s="304"/>
      <c r="V147" s="304"/>
      <c r="W147" s="185"/>
    </row>
    <row r="148" ht="14.25" customHeight="1">
      <c r="A148" s="178"/>
      <c r="B148" s="12">
        <v>1868836.0</v>
      </c>
      <c r="C148" s="13">
        <v>46009.47320601852</v>
      </c>
      <c r="D148" s="179" t="s">
        <v>81</v>
      </c>
      <c r="E148" s="180" t="s">
        <v>590</v>
      </c>
      <c r="F148" s="181"/>
      <c r="G148" s="179" t="s">
        <v>381</v>
      </c>
      <c r="H148" s="190"/>
      <c r="I148" s="190"/>
      <c r="J148" s="187" t="s">
        <v>2735</v>
      </c>
      <c r="K148" s="187" t="s">
        <v>6576</v>
      </c>
      <c r="L148" s="270" t="str">
        <f>IFERROR(__xludf.DUMMYFUNCTION("IF(
  AND(D148=""Saída"", J148=""Sangria""),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"),"Confirmada")</f>
        <v>Confirmada</v>
      </c>
      <c r="M148" s="272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IFERROR(__xludf.DUMMYFUNCTION("ifna(VALUE(REGEXEXTRACT(E148,""[0-9.]+[,]+[0-9]+"")))"),350.0)</f>
        <v>350</v>
      </c>
      <c r="O148" s="308"/>
      <c r="P148" s="313"/>
      <c r="Q148" s="308"/>
      <c r="R148" s="308"/>
      <c r="S148" s="308"/>
      <c r="V148" s="308"/>
      <c r="W148" s="185"/>
    </row>
    <row r="149" ht="14.25" customHeight="1">
      <c r="A149" s="178"/>
      <c r="B149" s="12">
        <v>1868838.0</v>
      </c>
      <c r="C149" s="13">
        <v>46009.47372685185</v>
      </c>
      <c r="D149" s="179" t="s">
        <v>81</v>
      </c>
      <c r="E149" s="180" t="s">
        <v>6839</v>
      </c>
      <c r="F149" s="181"/>
      <c r="G149" s="179" t="s">
        <v>381</v>
      </c>
      <c r="H149" s="190"/>
      <c r="I149" s="190"/>
      <c r="J149" s="187" t="s">
        <v>2735</v>
      </c>
      <c r="K149" s="187" t="s">
        <v>6576</v>
      </c>
      <c r="L149" s="270" t="str">
        <f>IFERROR(__xludf.DUMMYFUNCTION("IF(
  AND(D149=""Saída"", J149=""Sangria""),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"),"Confirmada")</f>
        <v>Confirmada</v>
      </c>
      <c r="M149" s="274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IFERROR(__xludf.DUMMYFUNCTION("ifna(VALUE(REGEXEXTRACT(E149,""[0-9.]+[,]+[0-9]+"")))"),1850.0)</f>
        <v>1850</v>
      </c>
      <c r="O149" s="304"/>
      <c r="P149" s="312"/>
      <c r="Q149" s="304"/>
      <c r="R149" s="304"/>
      <c r="S149" s="304"/>
      <c r="V149" s="304"/>
      <c r="W149" s="185"/>
    </row>
    <row r="150" ht="14.25" customHeight="1">
      <c r="A150" s="178"/>
      <c r="B150" s="12">
        <v>1868839.0</v>
      </c>
      <c r="C150" s="13">
        <v>46009.47461805555</v>
      </c>
      <c r="D150" s="179" t="s">
        <v>152</v>
      </c>
      <c r="E150" s="180" t="s">
        <v>866</v>
      </c>
      <c r="F150" s="181"/>
      <c r="G150" s="179" t="s">
        <v>267</v>
      </c>
      <c r="H150" s="190"/>
      <c r="I150" s="190"/>
      <c r="J150" s="187" t="s">
        <v>2669</v>
      </c>
      <c r="K150" s="187"/>
      <c r="L150" s="270" t="str">
        <f>IFERROR(__xludf.DUMMYFUNCTION("IF(
  AND(D150=""Saída"", J150=""Sangria""),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2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IFERROR(__xludf.DUMMYFUNCTION("ifna(VALUE(REGEXEXTRACT(E150,""[0-9.]+[,]+[0-9]+"")))"),40.5)</f>
        <v>40.5</v>
      </c>
      <c r="O150" s="308"/>
      <c r="P150" s="313"/>
      <c r="Q150" s="308"/>
      <c r="R150" s="308"/>
      <c r="S150" s="308"/>
      <c r="V150" s="308"/>
      <c r="W150" s="185"/>
    </row>
    <row r="151" ht="14.25" customHeight="1">
      <c r="A151" s="178"/>
      <c r="B151" s="12">
        <v>1868841.0</v>
      </c>
      <c r="C151" s="13">
        <v>46009.47604166667</v>
      </c>
      <c r="D151" s="179" t="s">
        <v>81</v>
      </c>
      <c r="E151" s="180" t="s">
        <v>979</v>
      </c>
      <c r="F151" s="181"/>
      <c r="G151" s="179" t="s">
        <v>6840</v>
      </c>
      <c r="H151" s="190"/>
      <c r="I151" s="190"/>
      <c r="J151" s="187" t="s">
        <v>2019</v>
      </c>
      <c r="K151" s="187" t="s">
        <v>6746</v>
      </c>
      <c r="L151" s="270" t="str">
        <f>IFERROR(__xludf.DUMMYFUNCTION("IF(
  AND(D151=""Saída"", J151=""Sangria""),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74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IFERROR(__xludf.DUMMYFUNCTION("ifna(VALUE(REGEXEXTRACT(E151,""[0-9.]+[,]+[0-9]+"")))"),3.0)</f>
        <v>3</v>
      </c>
      <c r="O151" s="304"/>
      <c r="P151" s="312"/>
      <c r="Q151" s="304"/>
      <c r="R151" s="304"/>
      <c r="S151" s="304"/>
      <c r="V151" s="304"/>
      <c r="W151" s="185"/>
    </row>
    <row r="152" ht="14.25" customHeight="1">
      <c r="A152" s="178"/>
      <c r="B152" s="12">
        <v>1868842.0</v>
      </c>
      <c r="C152" s="13">
        <v>46009.47678240741</v>
      </c>
      <c r="D152" s="179" t="s">
        <v>81</v>
      </c>
      <c r="E152" s="180" t="s">
        <v>6843</v>
      </c>
      <c r="F152" s="181"/>
      <c r="G152" s="179" t="s">
        <v>6779</v>
      </c>
      <c r="H152" s="190"/>
      <c r="I152" s="190"/>
      <c r="J152" s="187" t="s">
        <v>2019</v>
      </c>
      <c r="K152" s="187" t="s">
        <v>6745</v>
      </c>
      <c r="L152" s="270" t="str">
        <f>IFERROR(__xludf.DUMMYFUNCTION("IF(
  AND(D152=""Saída"", J152=""Sangria""),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2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IFERROR(__xludf.DUMMYFUNCTION("ifna(VALUE(REGEXEXTRACT(E152,""[0-9.]+[,]+[0-9]+"")))"),6.42)</f>
        <v>6.42</v>
      </c>
      <c r="O152" s="308"/>
      <c r="P152" s="313"/>
      <c r="Q152" s="308"/>
      <c r="R152" s="308"/>
      <c r="S152" s="308"/>
      <c r="V152" s="308"/>
      <c r="W152" s="185"/>
    </row>
    <row r="153" ht="14.25" customHeight="1">
      <c r="A153" s="178"/>
      <c r="B153" s="12">
        <v>1868843.0</v>
      </c>
      <c r="C153" s="13">
        <v>46009.47741898148</v>
      </c>
      <c r="D153" s="179" t="s">
        <v>81</v>
      </c>
      <c r="E153" s="180" t="s">
        <v>6844</v>
      </c>
      <c r="F153" s="181"/>
      <c r="G153" s="179" t="s">
        <v>6845</v>
      </c>
      <c r="H153" s="190"/>
      <c r="I153" s="190"/>
      <c r="J153" s="187" t="s">
        <v>2438</v>
      </c>
      <c r="K153" s="187"/>
      <c r="L153" s="270" t="str">
        <f>IFERROR(__xludf.DUMMYFUNCTION("IF(
  AND(D153=""Saída"", J153=""Sangria""),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74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IFERROR(__xludf.DUMMYFUNCTION("ifna(VALUE(REGEXEXTRACT(E153,""[0-9.]+[,]+[0-9]+"")))"),112.72)</f>
        <v>112.72</v>
      </c>
      <c r="O153" s="304"/>
      <c r="P153" s="312"/>
      <c r="Q153" s="304"/>
      <c r="R153" s="304"/>
      <c r="S153" s="304"/>
      <c r="V153" s="304"/>
      <c r="W153" s="185"/>
    </row>
    <row r="154" ht="14.25" customHeight="1">
      <c r="A154" s="178"/>
      <c r="B154" s="12">
        <v>1868846.0</v>
      </c>
      <c r="C154" s="13">
        <v>46009.47788194445</v>
      </c>
      <c r="D154" s="179" t="s">
        <v>81</v>
      </c>
      <c r="E154" s="180" t="s">
        <v>6846</v>
      </c>
      <c r="F154" s="181"/>
      <c r="G154" s="179" t="s">
        <v>6847</v>
      </c>
      <c r="H154" s="190"/>
      <c r="I154" s="190"/>
      <c r="J154" s="187"/>
      <c r="K154" s="187"/>
      <c r="L154" s="270" t="str">
        <f>IFERROR(__xludf.DUMMYFUNCTION("IF(
  AND(D154=""Saída"", J154=""Sangria""),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2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IFERROR(__xludf.DUMMYFUNCTION("ifna(VALUE(REGEXEXTRACT(E154,""[0-9.]+[,]+[0-9]+"")))"),38.34)</f>
        <v>38.34</v>
      </c>
      <c r="O154" s="308"/>
      <c r="P154" s="313"/>
      <c r="Q154" s="308"/>
      <c r="R154" s="308"/>
      <c r="S154" s="308"/>
      <c r="V154" s="308"/>
      <c r="W154" s="185"/>
    </row>
    <row r="155" ht="14.25" customHeight="1">
      <c r="A155" s="178"/>
      <c r="B155" s="12">
        <v>1869038.0</v>
      </c>
      <c r="C155" s="13">
        <v>46009.60775462963</v>
      </c>
      <c r="D155" s="179" t="s">
        <v>81</v>
      </c>
      <c r="E155" s="180" t="s">
        <v>6848</v>
      </c>
      <c r="F155" s="181"/>
      <c r="G155" s="179" t="s">
        <v>6849</v>
      </c>
      <c r="H155" s="190"/>
      <c r="I155" s="190"/>
      <c r="J155" s="187" t="s">
        <v>2438</v>
      </c>
      <c r="K155" s="187"/>
      <c r="L155" s="270" t="str">
        <f>IFERROR(__xludf.DUMMYFUNCTION("IF(
  AND(D155=""Saída"", J155=""Sangria""),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74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IFERROR(__xludf.DUMMYFUNCTION("ifna(VALUE(REGEXEXTRACT(E155,""[0-9.]+[,]+[0-9]+"")))"),44.41)</f>
        <v>44.41</v>
      </c>
      <c r="O155" s="304"/>
      <c r="P155" s="312"/>
      <c r="Q155" s="304"/>
      <c r="R155" s="304"/>
      <c r="S155" s="304"/>
      <c r="V155" s="304"/>
      <c r="W155" s="185"/>
    </row>
    <row r="156" ht="14.25" customHeight="1">
      <c r="A156" s="178"/>
      <c r="B156" s="12">
        <v>1869364.0</v>
      </c>
      <c r="C156" s="13">
        <v>46009.70166666667</v>
      </c>
      <c r="D156" s="179" t="s">
        <v>81</v>
      </c>
      <c r="E156" s="180" t="s">
        <v>979</v>
      </c>
      <c r="F156" s="181"/>
      <c r="G156" s="179" t="s">
        <v>6779</v>
      </c>
      <c r="H156" s="190"/>
      <c r="I156" s="190"/>
      <c r="J156" s="187" t="s">
        <v>2019</v>
      </c>
      <c r="K156" s="187" t="s">
        <v>6745</v>
      </c>
      <c r="L156" s="270" t="str">
        <f>IFERROR(__xludf.DUMMYFUNCTION("IF(
  AND(D156=""Saída"", J156=""Sangria""),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2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IFERROR(__xludf.DUMMYFUNCTION("ifna(VALUE(REGEXEXTRACT(E156,""[0-9.]+[,]+[0-9]+"")))"),3.0)</f>
        <v>3</v>
      </c>
      <c r="O156" s="308"/>
      <c r="P156" s="313"/>
      <c r="Q156" s="308"/>
      <c r="R156" s="308"/>
      <c r="S156" s="308"/>
      <c r="V156" s="308"/>
      <c r="W156" s="185"/>
    </row>
    <row r="157" ht="14.25" customHeight="1">
      <c r="A157" s="178"/>
      <c r="B157" s="12">
        <v>1869639.0</v>
      </c>
      <c r="C157" s="13">
        <v>46009.75863425926</v>
      </c>
      <c r="D157" s="179" t="s">
        <v>81</v>
      </c>
      <c r="E157" s="180" t="s">
        <v>3905</v>
      </c>
      <c r="F157" s="188"/>
      <c r="G157" s="179" t="s">
        <v>6850</v>
      </c>
      <c r="H157" s="190"/>
      <c r="I157" s="190"/>
      <c r="J157" s="187" t="s">
        <v>2735</v>
      </c>
      <c r="K157" s="187" t="s">
        <v>2018</v>
      </c>
      <c r="L157" s="270" t="str">
        <f>IFERROR(__xludf.DUMMYFUNCTION("IF(
  AND(D157=""Saída"", J157=""Sangria""),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"),"Confirmada")</f>
        <v>Confirmada</v>
      </c>
      <c r="M157" s="274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IFERROR(__xludf.DUMMYFUNCTION("ifna(VALUE(REGEXEXTRACT(E157,""[0-9.]+[,]+[0-9]+"")))"),1050.0)</f>
        <v>1050</v>
      </c>
      <c r="O157" s="304"/>
      <c r="P157" s="312"/>
      <c r="Q157" s="304"/>
      <c r="R157" s="304"/>
      <c r="S157" s="304"/>
      <c r="V157" s="304"/>
      <c r="W157" s="185"/>
    </row>
    <row r="158" ht="14.25" customHeight="1">
      <c r="A158" s="178"/>
      <c r="B158" s="314"/>
      <c r="C158" s="315"/>
      <c r="D158" s="316"/>
      <c r="E158" s="317"/>
      <c r="F158" s="316"/>
      <c r="G158" s="316"/>
      <c r="H158" s="190"/>
      <c r="I158" s="190"/>
      <c r="J158" s="187"/>
      <c r="K158" s="187"/>
      <c r="L158" s="270" t="str">
        <f>IFERROR(__xludf.DUMMYFUNCTION("IF(
  AND(D158=""Saída"", J158=""Sangria""),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2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 t="str">
        <f>IFERROR(__xludf.DUMMYFUNCTION("ifna(VALUE(REGEXEXTRACT(E158,""[0-9.]+[,]+[0-9]+"")))"),"")</f>
        <v/>
      </c>
      <c r="O158" s="308"/>
      <c r="P158" s="313"/>
      <c r="Q158" s="308"/>
      <c r="R158" s="308"/>
      <c r="S158" s="308"/>
      <c r="V158" s="308"/>
      <c r="W158" s="185"/>
    </row>
    <row r="159" ht="14.25" customHeight="1">
      <c r="A159" s="178"/>
      <c r="B159" s="12">
        <v>1870706.0</v>
      </c>
      <c r="C159" s="13">
        <v>46009.984444444446</v>
      </c>
      <c r="D159" s="179" t="s">
        <v>81</v>
      </c>
      <c r="E159" s="180" t="s">
        <v>979</v>
      </c>
      <c r="F159" s="181"/>
      <c r="G159" s="179" t="s">
        <v>6840</v>
      </c>
      <c r="H159" s="190"/>
      <c r="I159" s="190"/>
      <c r="J159" s="187" t="s">
        <v>2019</v>
      </c>
      <c r="K159" s="187" t="s">
        <v>6746</v>
      </c>
      <c r="L159" s="270" t="str">
        <f>IFERROR(__xludf.DUMMYFUNCTION("IF(
  AND(D159=""Saída"", J159=""Sangria""),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74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IFERROR(__xludf.DUMMYFUNCTION("ifna(VALUE(REGEXEXTRACT(E159,""[0-9.]+[,]+[0-9]+"")))"),3.0)</f>
        <v>3</v>
      </c>
      <c r="O159" s="185"/>
      <c r="P159" s="185"/>
      <c r="Q159" s="185"/>
      <c r="R159" s="185"/>
      <c r="S159" s="185"/>
      <c r="T159" s="185"/>
      <c r="U159" s="185"/>
      <c r="V159" s="185"/>
      <c r="W159" s="185"/>
    </row>
    <row r="160" ht="14.25" customHeight="1">
      <c r="A160" s="178"/>
      <c r="B160" s="12">
        <v>1870709.0</v>
      </c>
      <c r="C160" s="13">
        <v>46009.985243055555</v>
      </c>
      <c r="D160" s="179" t="s">
        <v>81</v>
      </c>
      <c r="E160" s="180" t="s">
        <v>1248</v>
      </c>
      <c r="F160" s="181"/>
      <c r="G160" s="179" t="s">
        <v>4071</v>
      </c>
      <c r="H160" s="190"/>
      <c r="I160" s="190"/>
      <c r="J160" s="187" t="s">
        <v>2735</v>
      </c>
      <c r="K160" s="187" t="s">
        <v>2018</v>
      </c>
      <c r="L160" s="270" t="str">
        <f>IFERROR(__xludf.DUMMYFUNCTION("IF(
  AND(D160=""Saída"", J160=""Sangria""),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"),"Confirmada")</f>
        <v>Confirmada</v>
      </c>
      <c r="M160" s="272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IFERROR(__xludf.DUMMYFUNCTION("ifna(VALUE(REGEXEXTRACT(E160,""[0-9.]+[,]+[0-9]+"")))"),850.0)</f>
        <v>850</v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4.25" customHeight="1">
      <c r="A161" s="178"/>
      <c r="B161" s="12">
        <v>1870724.0</v>
      </c>
      <c r="C161" s="13">
        <v>46009.994108796294</v>
      </c>
      <c r="D161" s="179" t="s">
        <v>152</v>
      </c>
      <c r="E161" s="180" t="s">
        <v>834</v>
      </c>
      <c r="F161" s="181"/>
      <c r="G161" s="179" t="s">
        <v>267</v>
      </c>
      <c r="H161" s="190"/>
      <c r="I161" s="190"/>
      <c r="J161" s="187" t="s">
        <v>2669</v>
      </c>
      <c r="K161" s="187"/>
      <c r="L161" s="270" t="str">
        <f>IFERROR(__xludf.DUMMYFUNCTION("IF(
  AND(D161=""Saída"", J161=""Sangria""),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74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>
        <f>IFERROR(__xludf.DUMMYFUNCTION("ifna(VALUE(REGEXEXTRACT(E161,""[0-9.]+[,]+[0-9]+"")))"),15.0)</f>
        <v>15</v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2">
        <v>1870727.0</v>
      </c>
      <c r="C162" s="13">
        <v>46009.99569444444</v>
      </c>
      <c r="D162" s="179" t="s">
        <v>81</v>
      </c>
      <c r="E162" s="180" t="s">
        <v>6855</v>
      </c>
      <c r="F162" s="188"/>
      <c r="G162" s="179" t="s">
        <v>460</v>
      </c>
      <c r="H162" s="190"/>
      <c r="I162" s="190"/>
      <c r="J162" s="187" t="s">
        <v>3151</v>
      </c>
      <c r="K162" s="187"/>
      <c r="L162" s="270" t="str">
        <f>IFERROR(__xludf.DUMMYFUNCTION("IF(
  AND(D162=""Saída"", J162=""Sangria""),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2" t="str">
        <f>IFERROR(__xludf.DUMMYFUNCTION("IF(J162=""Compra de Mercadorias"",
   IF(
      COUNTIF(ARRAYFORMULA(TRIM(CLEAN(TO_TEXT(Notas!BS:BS)))), TRIM(CLEAN(TO_TEXT(B162)))) &gt; 0,
      ""Encontrada"",
      ""Não Encontrada""
   ),
"""")"),"Não Encontrada")</f>
        <v>Não Encontrada</v>
      </c>
      <c r="N162" s="185">
        <f>IFERROR(__xludf.DUMMYFUNCTION("ifna(VALUE(REGEXEXTRACT(E162,""[0-9.]+[,]+[0-9]+"")))"),12.31)</f>
        <v>12.31</v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2">
        <v>1870741.0</v>
      </c>
      <c r="C163" s="13">
        <v>46010.02230324074</v>
      </c>
      <c r="D163" s="179" t="s">
        <v>81</v>
      </c>
      <c r="E163" s="180" t="s">
        <v>162</v>
      </c>
      <c r="F163" s="181"/>
      <c r="G163" s="179" t="s">
        <v>4305</v>
      </c>
      <c r="H163" s="190"/>
      <c r="I163" s="190"/>
      <c r="J163" s="187" t="s">
        <v>3151</v>
      </c>
      <c r="K163" s="187"/>
      <c r="L163" s="270" t="str">
        <f>IFERROR(__xludf.DUMMYFUNCTION("IF(
  AND(D163=""Saída"", J163=""Sangria""),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74" t="str">
        <f>IFERROR(__xludf.DUMMYFUNCTION("IF(J163=""Compra de Mercadorias"",
   IF(
      COUNTIF(ARRAYFORMULA(TRIM(CLEAN(TO_TEXT(Notas!BS:BS)))), TRIM(CLEAN(TO_TEXT(B163)))) &gt; 0,
      ""Encontrada"",
      ""Não Encontrada""
   ),
"""")"),"Não Encontrada")</f>
        <v>Não Encontrada</v>
      </c>
      <c r="N163" s="185">
        <f>IFERROR(__xludf.DUMMYFUNCTION("ifna(VALUE(REGEXEXTRACT(E163,""[0-9.]+[,]+[0-9]+"")))"),150.0)</f>
        <v>150</v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2">
        <v>1870932.0</v>
      </c>
      <c r="C164" s="13">
        <v>46010.57564814815</v>
      </c>
      <c r="D164" s="179" t="s">
        <v>81</v>
      </c>
      <c r="E164" s="180" t="s">
        <v>659</v>
      </c>
      <c r="F164" s="181"/>
      <c r="G164" s="179" t="s">
        <v>5861</v>
      </c>
      <c r="H164" s="190"/>
      <c r="I164" s="190"/>
      <c r="J164" s="187" t="s">
        <v>2019</v>
      </c>
      <c r="K164" s="187" t="s">
        <v>2117</v>
      </c>
      <c r="L164" s="270" t="str">
        <f>IFERROR(__xludf.DUMMYFUNCTION("IF(
  AND(D164=""Saída"", J164=""Sangria""),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2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>
        <f>IFERROR(__xludf.DUMMYFUNCTION("ifna(VALUE(REGEXEXTRACT(E164,""[0-9.]+[,]+[0-9]+"")))"),5.0)</f>
        <v>5</v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2">
        <v>1871112.0</v>
      </c>
      <c r="C165" s="13">
        <v>46010.63761574074</v>
      </c>
      <c r="D165" s="179" t="s">
        <v>81</v>
      </c>
      <c r="E165" s="180" t="s">
        <v>6856</v>
      </c>
      <c r="F165" s="181"/>
      <c r="G165" s="179" t="s">
        <v>6857</v>
      </c>
      <c r="H165" s="190"/>
      <c r="I165" s="190"/>
      <c r="J165" s="187" t="s">
        <v>3151</v>
      </c>
      <c r="K165" s="187"/>
      <c r="L165" s="270" t="str">
        <f>IFERROR(__xludf.DUMMYFUNCTION("IF(
  AND(D165=""Saída"", J165=""Sangria""),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74" t="str">
        <f>IFERROR(__xludf.DUMMYFUNCTION("IF(J165=""Compra de Mercadorias"",
   IF(
      COUNTIF(ARRAYFORMULA(TRIM(CLEAN(TO_TEXT(Notas!BS:BS)))), TRIM(CLEAN(TO_TEXT(B165)))) &gt; 0,
      ""Encontrada"",
      ""Não Encontrada""
   ),
"""")"),"Não Encontrada")</f>
        <v>Não Encontrada</v>
      </c>
      <c r="N165" s="185">
        <f>IFERROR(__xludf.DUMMYFUNCTION("ifna(VALUE(REGEXEXTRACT(E165,""[0-9.]+[,]+[0-9]+"")))"),162.0)</f>
        <v>162</v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2">
        <v>1871114.0</v>
      </c>
      <c r="C166" s="13">
        <v>46010.638032407405</v>
      </c>
      <c r="D166" s="179" t="s">
        <v>81</v>
      </c>
      <c r="E166" s="180" t="s">
        <v>5289</v>
      </c>
      <c r="F166" s="181"/>
      <c r="G166" s="179" t="s">
        <v>6858</v>
      </c>
      <c r="H166" s="190"/>
      <c r="I166" s="190"/>
      <c r="J166" s="187"/>
      <c r="K166" s="187"/>
      <c r="L166" s="270" t="str">
        <f>IFERROR(__xludf.DUMMYFUNCTION("IF(
  AND(D166=""Saída"", J166=""Sangria""),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2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>
        <f>IFERROR(__xludf.DUMMYFUNCTION("ifna(VALUE(REGEXEXTRACT(E166,""[0-9.]+[,]+[0-9]+"")))"),0.01)</f>
        <v>0.01</v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2">
        <v>1872030.0</v>
      </c>
      <c r="C167" s="13">
        <v>46010.834085648145</v>
      </c>
      <c r="D167" s="179" t="s">
        <v>81</v>
      </c>
      <c r="E167" s="180" t="s">
        <v>4106</v>
      </c>
      <c r="F167" s="181"/>
      <c r="G167" s="179" t="s">
        <v>381</v>
      </c>
      <c r="H167" s="190"/>
      <c r="I167" s="190"/>
      <c r="J167" s="187" t="s">
        <v>2735</v>
      </c>
      <c r="K167" s="187" t="s">
        <v>6576</v>
      </c>
      <c r="L167" s="270" t="str">
        <f>IFERROR(__xludf.DUMMYFUNCTION("IF(
  AND(D167=""Saída"", J167=""Sangria""),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"),"Confirmada")</f>
        <v>Confirmada</v>
      </c>
      <c r="M167" s="274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>
        <f>IFERROR(__xludf.DUMMYFUNCTION("ifna(VALUE(REGEXEXTRACT(E167,""[0-9.]+[,]+[0-9]+"")))"),750.0)</f>
        <v>750</v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2">
        <v>1872038.0</v>
      </c>
      <c r="C168" s="13">
        <v>46010.83619212963</v>
      </c>
      <c r="D168" s="179" t="s">
        <v>81</v>
      </c>
      <c r="E168" s="180" t="s">
        <v>4106</v>
      </c>
      <c r="F168" s="181"/>
      <c r="G168" s="179" t="s">
        <v>4071</v>
      </c>
      <c r="H168" s="190"/>
      <c r="I168" s="190"/>
      <c r="J168" s="187" t="s">
        <v>2735</v>
      </c>
      <c r="K168" s="187" t="s">
        <v>2018</v>
      </c>
      <c r="L168" s="270" t="str">
        <f>IFERROR(__xludf.DUMMYFUNCTION("IF(
  AND(D168=""Saída"", J168=""Sangria""),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"),"Confirmada")</f>
        <v>Confirmada</v>
      </c>
      <c r="M168" s="272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>
        <f>IFERROR(__xludf.DUMMYFUNCTION("ifna(VALUE(REGEXEXTRACT(E168,""[0-9.]+[,]+[0-9]+"")))"),750.0)</f>
        <v>750</v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2">
        <v>1873017.0</v>
      </c>
      <c r="C169" s="13">
        <v>46011.02180555555</v>
      </c>
      <c r="D169" s="179" t="s">
        <v>81</v>
      </c>
      <c r="E169" s="180" t="s">
        <v>590</v>
      </c>
      <c r="F169" s="181"/>
      <c r="G169" s="179" t="s">
        <v>381</v>
      </c>
      <c r="H169" s="190"/>
      <c r="I169" s="190"/>
      <c r="J169" s="187" t="s">
        <v>2735</v>
      </c>
      <c r="K169" s="187" t="s">
        <v>6576</v>
      </c>
      <c r="L169" s="270" t="str">
        <f>IFERROR(__xludf.DUMMYFUNCTION("IF(
  AND(D169=""Saída"", J169=""Sangria""),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"),"Confirmada")</f>
        <v>Confirmada</v>
      </c>
      <c r="M169" s="274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>
        <f>IFERROR(__xludf.DUMMYFUNCTION("ifna(VALUE(REGEXEXTRACT(E169,""[0-9.]+[,]+[0-9]+"")))"),350.0)</f>
        <v>350</v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2">
        <v>1874301.0</v>
      </c>
      <c r="C170" s="13">
        <v>46011.81465277778</v>
      </c>
      <c r="D170" s="179" t="s">
        <v>81</v>
      </c>
      <c r="E170" s="180" t="s">
        <v>3419</v>
      </c>
      <c r="F170" s="181"/>
      <c r="G170" s="179" t="s">
        <v>381</v>
      </c>
      <c r="H170" s="190"/>
      <c r="I170" s="190"/>
      <c r="J170" s="187" t="s">
        <v>2735</v>
      </c>
      <c r="K170" s="187" t="s">
        <v>6576</v>
      </c>
      <c r="L170" s="270" t="str">
        <f>IFERROR(__xludf.DUMMYFUNCTION("IF(
  AND(D170=""Saída"", J170=""Sangria""),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"),"Confirmada")</f>
        <v>Confirmada</v>
      </c>
      <c r="M170" s="272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>
        <f>IFERROR(__xludf.DUMMYFUNCTION("ifna(VALUE(REGEXEXTRACT(E170,""[0-9.]+[,]+[0-9]+"")))"),1800.0)</f>
        <v>1800</v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2">
        <v>1875185.0</v>
      </c>
      <c r="C171" s="13">
        <v>46011.931666666664</v>
      </c>
      <c r="D171" s="179" t="s">
        <v>81</v>
      </c>
      <c r="E171" s="180" t="s">
        <v>3486</v>
      </c>
      <c r="F171" s="181"/>
      <c r="G171" s="179" t="s">
        <v>381</v>
      </c>
      <c r="H171" s="190"/>
      <c r="I171" s="190"/>
      <c r="J171" s="187" t="s">
        <v>2735</v>
      </c>
      <c r="K171" s="187" t="s">
        <v>6576</v>
      </c>
      <c r="L171" s="270" t="str">
        <f>IFERROR(__xludf.DUMMYFUNCTION("IF(
  AND(D171=""Saída"", J171=""Sangria""),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"),"Confirmada")</f>
        <v>Confirmada</v>
      </c>
      <c r="M171" s="274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>
        <f>IFERROR(__xludf.DUMMYFUNCTION("ifna(VALUE(REGEXEXTRACT(E171,""[0-9.]+[,]+[0-9]+"")))"),500.0)</f>
        <v>500</v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2">
        <v>1875627.0</v>
      </c>
      <c r="C172" s="13">
        <v>46011.98287037037</v>
      </c>
      <c r="D172" s="179" t="s">
        <v>81</v>
      </c>
      <c r="E172" s="180" t="s">
        <v>416</v>
      </c>
      <c r="F172" s="188"/>
      <c r="G172" s="179" t="s">
        <v>381</v>
      </c>
      <c r="H172" s="190"/>
      <c r="I172" s="190"/>
      <c r="J172" s="187" t="s">
        <v>2735</v>
      </c>
      <c r="K172" s="187" t="s">
        <v>6576</v>
      </c>
      <c r="L172" s="270" t="str">
        <f>IFERROR(__xludf.DUMMYFUNCTION("IF(
  AND(D172=""Saída"", J172=""Sangria""),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"),"Confirmada")</f>
        <v>Confirmada</v>
      </c>
      <c r="M172" s="272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>
        <f>IFERROR(__xludf.DUMMYFUNCTION("ifna(VALUE(REGEXEXTRACT(E172,""[0-9.]+[,]+[0-9]+"")))"),100.0)</f>
        <v>100</v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2">
        <v>1875630.0</v>
      </c>
      <c r="C173" s="13">
        <v>46011.98372685185</v>
      </c>
      <c r="D173" s="179" t="s">
        <v>152</v>
      </c>
      <c r="E173" s="180" t="s">
        <v>713</v>
      </c>
      <c r="F173" s="181"/>
      <c r="G173" s="179" t="s">
        <v>267</v>
      </c>
      <c r="H173" s="190"/>
      <c r="I173" s="190"/>
      <c r="J173" s="187" t="s">
        <v>2669</v>
      </c>
      <c r="K173" s="187"/>
      <c r="L173" s="270" t="str">
        <f>IFERROR(__xludf.DUMMYFUNCTION("IF(
  AND(D173=""Saída"", J173=""Sangria""),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74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>
        <f>IFERROR(__xludf.DUMMYFUNCTION("ifna(VALUE(REGEXEXTRACT(E173,""[0-9.]+[,]+[0-9]+"")))"),50.0)</f>
        <v>50</v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2">
        <v>1876451.0</v>
      </c>
      <c r="C174" s="13">
        <v>46012.69783564815</v>
      </c>
      <c r="D174" s="179" t="s">
        <v>81</v>
      </c>
      <c r="E174" s="180" t="s">
        <v>943</v>
      </c>
      <c r="F174" s="181"/>
      <c r="G174" s="179" t="s">
        <v>6762</v>
      </c>
      <c r="H174" s="190"/>
      <c r="I174" s="190"/>
      <c r="J174" s="187" t="s">
        <v>2735</v>
      </c>
      <c r="K174" s="187" t="s">
        <v>2018</v>
      </c>
      <c r="L174" s="270" t="str">
        <f>IFERROR(__xludf.DUMMYFUNCTION("IF(
  AND(D174=""Saída"", J174=""Sangria""),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"),"Confirmada")</f>
        <v>Confirmada</v>
      </c>
      <c r="M174" s="272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>
        <f>IFERROR(__xludf.DUMMYFUNCTION("ifna(VALUE(REGEXEXTRACT(E174,""[0-9.]+[,]+[0-9]+"")))"),800.0)</f>
        <v>800</v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2">
        <v>1877843.0</v>
      </c>
      <c r="C175" s="13">
        <v>46012.90944444444</v>
      </c>
      <c r="D175" s="179" t="s">
        <v>152</v>
      </c>
      <c r="E175" s="180" t="s">
        <v>722</v>
      </c>
      <c r="F175" s="181"/>
      <c r="G175" s="179" t="s">
        <v>158</v>
      </c>
      <c r="H175" s="190"/>
      <c r="I175" s="190"/>
      <c r="J175" s="187" t="s">
        <v>2669</v>
      </c>
      <c r="K175" s="187"/>
      <c r="L175" s="270" t="str">
        <f>IFERROR(__xludf.DUMMYFUNCTION("IF(
  AND(D175=""Saída"", J175=""Sangria""),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74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>
        <f>IFERROR(__xludf.DUMMYFUNCTION("ifna(VALUE(REGEXEXTRACT(E175,""[0-9.]+[,]+[0-9]+"")))"),112.0)</f>
        <v>112</v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2">
        <v>1877861.0</v>
      </c>
      <c r="C176" s="13">
        <v>46012.91076388889</v>
      </c>
      <c r="D176" s="179" t="s">
        <v>152</v>
      </c>
      <c r="E176" s="180" t="s">
        <v>6560</v>
      </c>
      <c r="F176" s="181"/>
      <c r="G176" s="179" t="s">
        <v>267</v>
      </c>
      <c r="H176" s="190"/>
      <c r="I176" s="190"/>
      <c r="J176" s="187" t="s">
        <v>2669</v>
      </c>
      <c r="K176" s="187"/>
      <c r="L176" s="270" t="str">
        <f>IFERROR(__xludf.DUMMYFUNCTION("IF(
  AND(D176=""Saída"", J176=""Sangria""),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2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>
        <f>IFERROR(__xludf.DUMMYFUNCTION("ifna(VALUE(REGEXEXTRACT(E176,""[0-9.]+[,]+[0-9]+"")))"),14.0)</f>
        <v>14</v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2">
        <v>1877902.0</v>
      </c>
      <c r="C177" s="13">
        <v>46012.9140625</v>
      </c>
      <c r="D177" s="179" t="s">
        <v>81</v>
      </c>
      <c r="E177" s="180" t="s">
        <v>6862</v>
      </c>
      <c r="F177" s="181"/>
      <c r="G177" s="179" t="s">
        <v>6863</v>
      </c>
      <c r="H177" s="190"/>
      <c r="I177" s="190"/>
      <c r="J177" s="187" t="s">
        <v>2438</v>
      </c>
      <c r="K177" s="187"/>
      <c r="L177" s="270" t="str">
        <f>IFERROR(__xludf.DUMMYFUNCTION("IF(
  AND(D177=""Saída"", J177=""Sangria""),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74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>
        <f>IFERROR(__xludf.DUMMYFUNCTION("ifna(VALUE(REGEXEXTRACT(E177,""[0-9.]+[,]+[0-9]+"")))"),72.71)</f>
        <v>72.71</v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2">
        <v>1877910.0</v>
      </c>
      <c r="C178" s="13">
        <v>46012.91494212963</v>
      </c>
      <c r="D178" s="179" t="s">
        <v>81</v>
      </c>
      <c r="E178" s="180" t="s">
        <v>6865</v>
      </c>
      <c r="F178" s="181"/>
      <c r="G178" s="179" t="s">
        <v>6757</v>
      </c>
      <c r="H178" s="190"/>
      <c r="I178" s="190"/>
      <c r="J178" s="187" t="s">
        <v>2438</v>
      </c>
      <c r="K178" s="187"/>
      <c r="L178" s="270" t="str">
        <f>IFERROR(__xludf.DUMMYFUNCTION("IF(
  AND(D178=""Saída"", J178=""Sangria""),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2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>
        <f>IFERROR(__xludf.DUMMYFUNCTION("ifna(VALUE(REGEXEXTRACT(E178,""[0-9.]+[,]+[0-9]+"")))"),47.3)</f>
        <v>47.3</v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2">
        <v>1878472.0</v>
      </c>
      <c r="C179" s="13">
        <v>46012.950219907405</v>
      </c>
      <c r="D179" s="179" t="s">
        <v>81</v>
      </c>
      <c r="E179" s="180" t="s">
        <v>416</v>
      </c>
      <c r="F179" s="181"/>
      <c r="G179" s="179" t="s">
        <v>6864</v>
      </c>
      <c r="H179" s="190"/>
      <c r="I179" s="190"/>
      <c r="J179" s="187" t="s">
        <v>3151</v>
      </c>
      <c r="K179" s="187"/>
      <c r="L179" s="270" t="str">
        <f>IFERROR(__xludf.DUMMYFUNCTION("IF(
  AND(D179=""Saída"", J179=""Sangria""),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74" t="str">
        <f>IFERROR(__xludf.DUMMYFUNCTION("IF(J179=""Compra de Mercadorias"",
   IF(
      COUNTIF(ARRAYFORMULA(TRIM(CLEAN(TO_TEXT(Notas!BS:BS)))), TRIM(CLEAN(TO_TEXT(B179)))) &gt; 0,
      ""Encontrada"",
      ""Não Encontrada""
   ),
"""")"),"Não Encontrada")</f>
        <v>Não Encontrada</v>
      </c>
      <c r="N179" s="185">
        <f>IFERROR(__xludf.DUMMYFUNCTION("ifna(VALUE(REGEXEXTRACT(E179,""[0-9.]+[,]+[0-9]+"")))"),100.0)</f>
        <v>100</v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2">
        <v>1878476.0</v>
      </c>
      <c r="C180" s="13">
        <v>46012.95049768518</v>
      </c>
      <c r="D180" s="179" t="s">
        <v>81</v>
      </c>
      <c r="E180" s="180" t="s">
        <v>6868</v>
      </c>
      <c r="F180" s="181"/>
      <c r="G180" s="179" t="s">
        <v>4041</v>
      </c>
      <c r="H180" s="190"/>
      <c r="I180" s="190"/>
      <c r="J180" s="187" t="s">
        <v>3151</v>
      </c>
      <c r="K180" s="187"/>
      <c r="L180" s="270" t="str">
        <f>IFERROR(__xludf.DUMMYFUNCTION("IF(
  AND(D180=""Saída"", J180=""Sangria""),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2" t="str">
        <f>IFERROR(__xludf.DUMMYFUNCTION("IF(J180=""Compra de Mercadorias"",
   IF(
      COUNTIF(ARRAYFORMULA(TRIM(CLEAN(TO_TEXT(Notas!BS:BS)))), TRIM(CLEAN(TO_TEXT(B180)))) &gt; 0,
      ""Encontrada"",
      ""Não Encontrada""
   ),
"""")"),"Não Encontrada")</f>
        <v>Não Encontrada</v>
      </c>
      <c r="N180" s="185">
        <f>IFERROR(__xludf.DUMMYFUNCTION("ifna(VALUE(REGEXEXTRACT(E180,""[0-9.]+[,]+[0-9]+"")))"),39.44)</f>
        <v>39.44</v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2">
        <v>1878798.0</v>
      </c>
      <c r="C181" s="13">
        <v>46012.98165509259</v>
      </c>
      <c r="D181" s="179" t="s">
        <v>81</v>
      </c>
      <c r="E181" s="180" t="s">
        <v>6853</v>
      </c>
      <c r="F181" s="181"/>
      <c r="G181" s="179" t="s">
        <v>6869</v>
      </c>
      <c r="H181" s="190"/>
      <c r="I181" s="190"/>
      <c r="J181" s="187" t="s">
        <v>1782</v>
      </c>
      <c r="K181" s="187"/>
      <c r="L181" s="270" t="str">
        <f>IFERROR(__xludf.DUMMYFUNCTION("IF(
  AND(D181=""Saída"", J181=""Sangria""),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74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>
        <f>IFERROR(__xludf.DUMMYFUNCTION("ifna(VALUE(REGEXEXTRACT(E181,""[0-9.]+[,]+[0-9]+"")))"),260.0)</f>
        <v>260</v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2">
        <v>1878815.0</v>
      </c>
      <c r="C182" s="13">
        <v>46012.98287037037</v>
      </c>
      <c r="D182" s="179" t="s">
        <v>81</v>
      </c>
      <c r="E182" s="180" t="s">
        <v>127</v>
      </c>
      <c r="F182" s="188"/>
      <c r="G182" s="179" t="s">
        <v>381</v>
      </c>
      <c r="H182" s="190"/>
      <c r="I182" s="190"/>
      <c r="J182" s="187" t="s">
        <v>2735</v>
      </c>
      <c r="K182" s="187" t="s">
        <v>6576</v>
      </c>
      <c r="L182" s="270" t="str">
        <f>IFERROR(__xludf.DUMMYFUNCTION("IF(
  AND(D182=""Saída"", J182=""Sangria""),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"),"Confirmada")</f>
        <v>Confirmada</v>
      </c>
      <c r="M182" s="272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>
        <f>IFERROR(__xludf.DUMMYFUNCTION("ifna(VALUE(REGEXEXTRACT(E182,""[0-9.]+[,]+[0-9]+"")))"),250.0)</f>
        <v>250</v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2">
        <v>1878843.0</v>
      </c>
      <c r="C183" s="13">
        <v>46012.9877662037</v>
      </c>
      <c r="D183" s="179" t="s">
        <v>81</v>
      </c>
      <c r="E183" s="180" t="s">
        <v>943</v>
      </c>
      <c r="F183" s="181"/>
      <c r="G183" s="179" t="s">
        <v>4071</v>
      </c>
      <c r="H183" s="190"/>
      <c r="I183" s="190"/>
      <c r="J183" s="187" t="s">
        <v>2735</v>
      </c>
      <c r="K183" s="187" t="s">
        <v>2018</v>
      </c>
      <c r="L183" s="270" t="str">
        <f>IFERROR(__xludf.DUMMYFUNCTION("IF(
  AND(D183=""Saída"", J183=""Sangria""),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"),"Confirmada")</f>
        <v>Confirmada</v>
      </c>
      <c r="M183" s="274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>
        <f>IFERROR(__xludf.DUMMYFUNCTION("ifna(VALUE(REGEXEXTRACT(E183,""[0-9.]+[,]+[0-9]+"")))"),800.0)</f>
        <v>800</v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2">
        <v>1878844.0</v>
      </c>
      <c r="C184" s="13">
        <v>46012.988020833334</v>
      </c>
      <c r="D184" s="179" t="s">
        <v>81</v>
      </c>
      <c r="E184" s="180" t="s">
        <v>1005</v>
      </c>
      <c r="F184" s="188"/>
      <c r="G184" s="179" t="s">
        <v>4071</v>
      </c>
      <c r="H184" s="190"/>
      <c r="I184" s="190"/>
      <c r="J184" s="187" t="s">
        <v>2735</v>
      </c>
      <c r="K184" s="187" t="s">
        <v>2018</v>
      </c>
      <c r="L184" s="270" t="str">
        <f>IFERROR(__xludf.DUMMYFUNCTION("IF(
  AND(D184=""Saída"", J184=""Sangria""),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"),"Confirmada")</f>
        <v>Confirmada</v>
      </c>
      <c r="M184" s="272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>
        <f>IFERROR(__xludf.DUMMYFUNCTION("ifna(VALUE(REGEXEXTRACT(E184,""[0-9.]+[,]+[0-9]+"")))"),1250.0)</f>
        <v>1250</v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2">
        <v>1880245.0</v>
      </c>
      <c r="C185" s="13">
        <v>46013.80635416666</v>
      </c>
      <c r="D185" s="179" t="s">
        <v>81</v>
      </c>
      <c r="E185" s="180" t="s">
        <v>6872</v>
      </c>
      <c r="F185" s="181"/>
      <c r="G185" s="179" t="s">
        <v>5861</v>
      </c>
      <c r="H185" s="190"/>
      <c r="I185" s="190"/>
      <c r="J185" s="187" t="s">
        <v>2019</v>
      </c>
      <c r="K185" s="187" t="s">
        <v>2117</v>
      </c>
      <c r="L185" s="270" t="str">
        <f>IFERROR(__xludf.DUMMYFUNCTION("IF(
  AND(D185=""Saída"", J185=""Sangria""),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74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>
        <f>IFERROR(__xludf.DUMMYFUNCTION("ifna(VALUE(REGEXEXTRACT(E185,""[0-9.]+[,]+[0-9]+"")))"),10.06)</f>
        <v>10.06</v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2">
        <v>1880909.0</v>
      </c>
      <c r="C186" s="13">
        <v>46013.93042824074</v>
      </c>
      <c r="D186" s="179" t="s">
        <v>81</v>
      </c>
      <c r="E186" s="180" t="s">
        <v>411</v>
      </c>
      <c r="F186" s="181"/>
      <c r="G186" s="179" t="s">
        <v>128</v>
      </c>
      <c r="H186" s="190"/>
      <c r="I186" s="190"/>
      <c r="J186" s="187" t="s">
        <v>2735</v>
      </c>
      <c r="K186" s="187" t="s">
        <v>6576</v>
      </c>
      <c r="L186" s="270" t="str">
        <f>IFERROR(__xludf.DUMMYFUNCTION("IF(
  AND(D186=""Saída"", J186=""Sangria""),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"),"Confirmada")</f>
        <v>Confirmada</v>
      </c>
      <c r="M186" s="272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>
        <f>IFERROR(__xludf.DUMMYFUNCTION("ifna(VALUE(REGEXEXTRACT(E186,""[0-9.]+[,]+[0-9]+"")))"),1450.0)</f>
        <v>1450</v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2">
        <v>1881036.0</v>
      </c>
      <c r="C187" s="13">
        <v>46013.94556712963</v>
      </c>
      <c r="D187" s="179" t="s">
        <v>81</v>
      </c>
      <c r="E187" s="180" t="s">
        <v>823</v>
      </c>
      <c r="F187" s="188"/>
      <c r="G187" s="179" t="s">
        <v>6873</v>
      </c>
      <c r="H187" s="190"/>
      <c r="I187" s="190"/>
      <c r="J187" s="187" t="s">
        <v>2436</v>
      </c>
      <c r="K187" s="187"/>
      <c r="L187" s="270" t="str">
        <f>IFERROR(__xludf.DUMMYFUNCTION("IF(
  AND(D187=""Saída"", J187=""Sangria""),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74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>
        <f>IFERROR(__xludf.DUMMYFUNCTION("ifna(VALUE(REGEXEXTRACT(E187,""[0-9.]+[,]+[0-9]+"")))"),120.0)</f>
        <v>120</v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270" t="str">
        <f>IFERROR(__xludf.DUMMYFUNCTION("IF(
  AND(D188=""Saída"", J188=""Sangria""),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2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 t="str">
        <f>IFERROR(__xludf.DUMMYFUNCTION("ifna(VALUE(REGEXEXTRACT(E188,""[0-9.]+[,]+[0-9]+"")))"),"")</f>
        <v/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270" t="str">
        <f>IFERROR(__xludf.DUMMYFUNCTION("IF(
  AND(D189=""Saída"", J189=""Sangria""),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74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 t="str">
        <f>IFERROR(__xludf.DUMMYFUNCTION("ifna(VALUE(REGEXEXTRACT(E189,""[0-9.]+[,]+[0-9]+"")))"),"")</f>
        <v/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2"/>
      <c r="C190" s="13"/>
      <c r="D190" s="179"/>
      <c r="E190" s="180"/>
      <c r="F190" s="181"/>
      <c r="G190" s="179"/>
      <c r="H190" s="190"/>
      <c r="I190" s="190"/>
      <c r="J190" s="187"/>
      <c r="K190" s="187"/>
      <c r="L190" s="270" t="str">
        <f>IFERROR(__xludf.DUMMYFUNCTION("IF(
  AND(D190=""Saída"", J190=""Sangria""),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2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 t="str">
        <f>IFERROR(__xludf.DUMMYFUNCTION("ifna(VALUE(REGEXEXTRACT(E190,""[0-9.]+[,]+[0-9]+"")))"),"")</f>
        <v/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233"/>
      <c r="K191" s="187"/>
      <c r="L191" s="270" t="str">
        <f>IFERROR(__xludf.DUMMYFUNCTION("IF(
  AND(D191=""Saída"", J191=""Sangria""),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74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 t="str">
        <f>IFERROR(__xludf.DUMMYFUNCTION("ifna(VALUE(REGEXEXTRACT(E191,""[0-9.]+[,]+[0-9]+"")))"),"")</f>
        <v/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2"/>
      <c r="C192" s="13"/>
      <c r="D192" s="179"/>
      <c r="E192" s="180"/>
      <c r="F192" s="188"/>
      <c r="G192" s="179"/>
      <c r="H192" s="190"/>
      <c r="I192" s="190"/>
      <c r="J192" s="187"/>
      <c r="K192" s="187"/>
      <c r="L192" s="270" t="str">
        <f>IFERROR(__xludf.DUMMYFUNCTION("IF(
  AND(D192=""Saída"", J192=""Sangria""),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2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 t="str">
        <f>IFERROR(__xludf.DUMMYFUNCTION("ifna(VALUE(REGEXEXTRACT(E192,""[0-9.]+[,]+[0-9]+"")))"),"")</f>
        <v/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270" t="str">
        <f>IFERROR(__xludf.DUMMYFUNCTION("IF(
  AND(D193=""Saída"", J193=""Sangria""),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74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 t="str">
        <f>IFERROR(__xludf.DUMMYFUNCTION("ifna(VALUE(REGEXEXTRACT(E193,""[0-9.]+[,]+[0-9]+"")))"),"")</f>
        <v/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270" t="str">
        <f>IFERROR(__xludf.DUMMYFUNCTION("IF(
  AND(D194=""Saída"", J194=""Sangria""),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2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85" t="str">
        <f>IFERROR(__xludf.DUMMYFUNCTION("ifna(VALUE(REGEXEXTRACT(E194,""[0-9.]+[,]+[0-9]+"")))"),"")</f>
        <v/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2"/>
      <c r="C195" s="13"/>
      <c r="D195" s="179"/>
      <c r="E195" s="180"/>
      <c r="F195" s="188"/>
      <c r="G195" s="179"/>
      <c r="H195" s="190"/>
      <c r="I195" s="190"/>
      <c r="J195" s="187"/>
      <c r="K195" s="187"/>
      <c r="L195" s="270" t="str">
        <f>IFERROR(__xludf.DUMMYFUNCTION("IF(
  AND(D195=""Saída"", J195=""Sangria""),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74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 t="str">
        <f>IFERROR(__xludf.DUMMYFUNCTION("ifna(VALUE(REGEXEXTRACT(E195,""[0-9.]+[,]+[0-9]+"")))"),"")</f>
        <v/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K196" s="187"/>
      <c r="L196" s="270" t="str">
        <f>IFERROR(__xludf.DUMMYFUNCTION("IF(
  AND(D196=""Saída"", J196=""Sangria""),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2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 t="str">
        <f>IFERROR(__xludf.DUMMYFUNCTION("ifna(VALUE(REGEXEXTRACT(E196,""[0-9.]+[,]+[0-9]+"")))"),"")</f>
        <v/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270" t="str">
        <f>IFERROR(__xludf.DUMMYFUNCTION("IF(
  AND(D197=""Saída"", J197=""Sangria""),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74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 t="str">
        <f>IFERROR(__xludf.DUMMYFUNCTION("ifna(VALUE(REGEXEXTRACT(E197,""[0-9.]+[,]+[0-9]+"")))"),"")</f>
        <v/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270" t="str">
        <f>IFERROR(__xludf.DUMMYFUNCTION("IF(
  AND(D198=""Saída"", J198=""Sangria""),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2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 t="str">
        <f>IFERROR(__xludf.DUMMYFUNCTION("ifna(VALUE(REGEXEXTRACT(E198,""[0-9.]+[,]+[0-9]+"")))"),"")</f>
        <v/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270" t="str">
        <f>IFERROR(__xludf.DUMMYFUNCTION("IF(
  AND(D199=""Saída"", J199=""Sangria""),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74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 t="str">
        <f>IFERROR(__xludf.DUMMYFUNCTION("ifna(VALUE(REGEXEXTRACT(E199,""[0-9.]+[,]+[0-9]+"")))"),"")</f>
        <v/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2"/>
      <c r="C200" s="13"/>
      <c r="D200" s="179"/>
      <c r="E200" s="180"/>
      <c r="F200" s="181"/>
      <c r="G200" s="179"/>
      <c r="H200" s="190"/>
      <c r="I200" s="190"/>
      <c r="J200" s="187"/>
      <c r="K200" s="187"/>
      <c r="L200" s="270" t="str">
        <f>IFERROR(__xludf.DUMMYFUNCTION("IF(
  AND(D200=""Saída"", J200=""Sangria""),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2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 t="str">
        <f>IFERROR(__xludf.DUMMYFUNCTION("ifna(VALUE(REGEXEXTRACT(E200,""[0-9.]+[,]+[0-9]+"")))"),"")</f>
        <v/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270" t="str">
        <f>IFERROR(__xludf.DUMMYFUNCTION("IF(
  AND(D201=""Saída"", J201=""Sangria""),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74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 t="str">
        <f>IFERROR(__xludf.DUMMYFUNCTION("ifna(VALUE(REGEXEXTRACT(E201,""[0-9.]+[,]+[0-9]+"")))"),"")</f>
        <v/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270" t="str">
        <f>IFERROR(__xludf.DUMMYFUNCTION("IF(
  AND(D202=""Saída"", J202=""Sangria""),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2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 t="str">
        <f>IFERROR(__xludf.DUMMYFUNCTION("ifna(VALUE(REGEXEXTRACT(E202,""[0-9.]+[,]+[0-9]+"")))"),"")</f>
        <v/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270" t="str">
        <f>IFERROR(__xludf.DUMMYFUNCTION("IF(
  AND(D203=""Saída"", J203=""Sangria""),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74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 t="str">
        <f>IFERROR(__xludf.DUMMYFUNCTION("ifna(VALUE(REGEXEXTRACT(E203,""[0-9.]+[,]+[0-9]+"")))"),"")</f>
        <v/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270" t="str">
        <f>IFERROR(__xludf.DUMMYFUNCTION("IF(
  AND(D204=""Saída"", J204=""Sangria""),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2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 t="str">
        <f>IFERROR(__xludf.DUMMYFUNCTION("ifna(VALUE(REGEXEXTRACT(E204,""[0-9.]+[,]+[0-9]+"")))"),"")</f>
        <v/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2"/>
      <c r="C205" s="13"/>
      <c r="D205" s="179"/>
      <c r="E205" s="180"/>
      <c r="F205" s="188"/>
      <c r="G205" s="179"/>
      <c r="H205" s="190"/>
      <c r="I205" s="190"/>
      <c r="J205" s="187"/>
      <c r="K205" s="187"/>
      <c r="L205" s="270" t="str">
        <f>IFERROR(__xludf.DUMMYFUNCTION("IF(
  AND(D205=""Saída"", J205=""Sangria""),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74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 t="str">
        <f>IFERROR(__xludf.DUMMYFUNCTION("ifna(VALUE(REGEXEXTRACT(E205,""[0-9.]+[,]+[0-9]+"")))"),"")</f>
        <v/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2"/>
      <c r="C206" s="13"/>
      <c r="D206" s="179"/>
      <c r="E206" s="180"/>
      <c r="F206" s="181"/>
      <c r="G206" s="179"/>
      <c r="H206" s="190"/>
      <c r="I206" s="190"/>
      <c r="J206" s="187"/>
      <c r="K206" s="187"/>
      <c r="L206" s="270" t="str">
        <f>IFERROR(__xludf.DUMMYFUNCTION("IF(
  AND(D206=""Saída"", J206=""Sangria""),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2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 t="str">
        <f>IFERROR(__xludf.DUMMYFUNCTION("ifna(VALUE(REGEXEXTRACT(E206,""[0-9.]+[,]+[0-9]+"")))"),"")</f>
        <v/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270" t="str">
        <f>IFERROR(__xludf.DUMMYFUNCTION("IF(
  AND(D207=""Saída"", J207=""Sangria""),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74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270" t="str">
        <f>IFERROR(__xludf.DUMMYFUNCTION("IF(
  AND(D208=""Saída"", J208=""Sangria""),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2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270" t="str">
        <f>IFERROR(__xludf.DUMMYFUNCTION("IF(
  AND(D209=""Saída"", J209=""Sangria""),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74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270" t="str">
        <f>IFERROR(__xludf.DUMMYFUNCTION("IF(
  AND(D210=""Saída"", J210=""Sangria""),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2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270" t="str">
        <f>IFERROR(__xludf.DUMMYFUNCTION("IF(
  AND(D211=""Saída"", J211=""Sangria""),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74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270" t="str">
        <f>IFERROR(__xludf.DUMMYFUNCTION("IF(
  AND(D212=""Saída"", J212=""Sangria""),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2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270" t="str">
        <f>IFERROR(__xludf.DUMMYFUNCTION("IF(
  AND(D213=""Saída"", J213=""Sangria""),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74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270" t="str">
        <f>IFERROR(__xludf.DUMMYFUNCTION("IF(
  AND(D214=""Saída"", J214=""Sangria""),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2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270" t="str">
        <f>IFERROR(__xludf.DUMMYFUNCTION("IF(
  AND(D215=""Saída"", J215=""Sangria""),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74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270" t="str">
        <f>IFERROR(__xludf.DUMMYFUNCTION("IF(
  AND(D216=""Saída"", J216=""Sangria""),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2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270" t="str">
        <f>IFERROR(__xludf.DUMMYFUNCTION("IF(
  AND(D217=""Saída"", J217=""Sangria""),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74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270" t="str">
        <f>IFERROR(__xludf.DUMMYFUNCTION("IF(
  AND(D218=""Saída"", J218=""Sangria""),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2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270" t="str">
        <f>IFERROR(__xludf.DUMMYFUNCTION("IF(
  AND(D219=""Saída"", J219=""Sangria""),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74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270" t="str">
        <f>IFERROR(__xludf.DUMMYFUNCTION("IF(
  AND(D220=""Saída"", J220=""Sangria""),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2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270" t="str">
        <f>IFERROR(__xludf.DUMMYFUNCTION("IF(
  AND(D221=""Saída"", J221=""Sangria""),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74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270" t="str">
        <f>IFERROR(__xludf.DUMMYFUNCTION("IF(
  AND(D222=""Saída"", J222=""Sangria""),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2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270" t="str">
        <f>IFERROR(__xludf.DUMMYFUNCTION("IF(
  AND(D223=""Saída"", J223=""Sangria""),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74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270" t="str">
        <f>IFERROR(__xludf.DUMMYFUNCTION("IF(
  AND(D224=""Saída"", J224=""Sangria""),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2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270" t="str">
        <f>IFERROR(__xludf.DUMMYFUNCTION("IF(
  AND(D225=""Saída"", J225=""Sangria""),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74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270" t="str">
        <f>IFERROR(__xludf.DUMMYFUNCTION("IF(
  AND(D226=""Saída"", J226=""Sangria""),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2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270" t="str">
        <f>IFERROR(__xludf.DUMMYFUNCTION("IF(
  AND(D227=""Saída"", J227=""Sangria""),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74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270" t="str">
        <f>IFERROR(__xludf.DUMMYFUNCTION("IF(
  AND(D228=""Saída"", J228=""Sangria""),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2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270" t="str">
        <f>IFERROR(__xludf.DUMMYFUNCTION("IF(
  AND(D229=""Saída"", J229=""Sangria""),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74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270" t="str">
        <f>IFERROR(__xludf.DUMMYFUNCTION("IF(
  AND(D230=""Saída"", J230=""Sangria""),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2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270" t="str">
        <f>IFERROR(__xludf.DUMMYFUNCTION("IF(
  AND(D231=""Saída"", J231=""Sangria""),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74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270" t="str">
        <f>IFERROR(__xludf.DUMMYFUNCTION("IF(
  AND(D232=""Saída"", J232=""Sangria""),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2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270" t="str">
        <f>IFERROR(__xludf.DUMMYFUNCTION("IF(
  AND(D233=""Saída"", J233=""Sangria""),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74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270" t="str">
        <f>IFERROR(__xludf.DUMMYFUNCTION("IF(
  AND(D234=""Saída"", J234=""Sangria""),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2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270" t="str">
        <f>IFERROR(__xludf.DUMMYFUNCTION("IF(
  AND(D235=""Saída"", J235=""Sangria""),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74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270" t="str">
        <f>IFERROR(__xludf.DUMMYFUNCTION("IF(
  AND(D236=""Saída"", J236=""Sangria""),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2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270" t="str">
        <f>IFERROR(__xludf.DUMMYFUNCTION("IF(
  AND(D237=""Saída"", J237=""Sangria""),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74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270" t="str">
        <f>IFERROR(__xludf.DUMMYFUNCTION("IF(
  AND(D238=""Saída"", J238=""Sangria""),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2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270" t="str">
        <f>IFERROR(__xludf.DUMMYFUNCTION("IF(
  AND(D239=""Saída"", J239=""Sangria""),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74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270" t="str">
        <f>IFERROR(__xludf.DUMMYFUNCTION("IF(
  AND(D240=""Saída"", J240=""Sangria""),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2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270" t="str">
        <f>IFERROR(__xludf.DUMMYFUNCTION("IF(
  AND(D241=""Saída"", J241=""Sangria""),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74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270" t="str">
        <f>IFERROR(__xludf.DUMMYFUNCTION("IF(
  AND(D242=""Saída"", J242=""Sangria""),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2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270" t="str">
        <f>IFERROR(__xludf.DUMMYFUNCTION("IF(
  AND(D243=""Saída"", J243=""Sangria""),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74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270" t="str">
        <f>IFERROR(__xludf.DUMMYFUNCTION("IF(
  AND(D244=""Saída"", J244=""Sangria""),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2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270" t="str">
        <f>IFERROR(__xludf.DUMMYFUNCTION("IF(
  AND(D245=""Saída"", J245=""Sangria""),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74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270" t="str">
        <f>IFERROR(__xludf.DUMMYFUNCTION("IF(
  AND(D246=""Saída"", J246=""Sangria""),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2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270" t="str">
        <f>IFERROR(__xludf.DUMMYFUNCTION("IF(
  AND(D247=""Saída"", J247=""Sangria""),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74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270" t="str">
        <f>IFERROR(__xludf.DUMMYFUNCTION("IF(
  AND(D248=""Saída"", J248=""Sangria""),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2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270" t="str">
        <f>IFERROR(__xludf.DUMMYFUNCTION("IF(
  AND(D249=""Saída"", J249=""Sangria""),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74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270" t="str">
        <f>IFERROR(__xludf.DUMMYFUNCTION("IF(
  AND(D250=""Saída"", J250=""Sangria""),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2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270" t="str">
        <f>IFERROR(__xludf.DUMMYFUNCTION("IF(
  AND(D251=""Saída"", J251=""Sangria""),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74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270" t="str">
        <f>IFERROR(__xludf.DUMMYFUNCTION("IF(
  AND(D252=""Saída"", J252=""Sangria""),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2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270" t="str">
        <f>IFERROR(__xludf.DUMMYFUNCTION("IF(
  AND(D253=""Saída"", J253=""Sangria""),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74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270" t="str">
        <f>IFERROR(__xludf.DUMMYFUNCTION("IF(
  AND(D254=""Saída"", J254=""Sangria""),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2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270" t="str">
        <f>IFERROR(__xludf.DUMMYFUNCTION("IF(
  AND(D255=""Saída"", J255=""Sangria""),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74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270" t="str">
        <f>IFERROR(__xludf.DUMMYFUNCTION("IF(
  AND(D256=""Saída"", J256=""Sangria""),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2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270" t="str">
        <f>IFERROR(__xludf.DUMMYFUNCTION("IF(
  AND(D257=""Saída"", J257=""Sangria""),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74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270" t="str">
        <f>IFERROR(__xludf.DUMMYFUNCTION("IF(
  AND(D258=""Saída"", J258=""Sangria""),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2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270" t="str">
        <f>IFERROR(__xludf.DUMMYFUNCTION("IF(
  AND(D259=""Saída"", J259=""Sangria""),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74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270" t="str">
        <f>IFERROR(__xludf.DUMMYFUNCTION("IF(
  AND(D260=""Saída"", J260=""Sangria""),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2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270" t="str">
        <f>IFERROR(__xludf.DUMMYFUNCTION("IF(
  AND(D261=""Saída"", J261=""Sangria""),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74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270" t="str">
        <f>IFERROR(__xludf.DUMMYFUNCTION("IF(
  AND(D262=""Saída"", J262=""Sangria""),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2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270" t="str">
        <f>IFERROR(__xludf.DUMMYFUNCTION("IF(
  AND(D263=""Saída"", J263=""Sangria""),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74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270" t="str">
        <f>IFERROR(__xludf.DUMMYFUNCTION("IF(
  AND(D264=""Saída"", J264=""Sangria""),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2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270" t="str">
        <f>IFERROR(__xludf.DUMMYFUNCTION("IF(
  AND(D265=""Saída"", J265=""Sangria""),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74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270" t="str">
        <f>IFERROR(__xludf.DUMMYFUNCTION("IF(
  AND(D266=""Saída"", J266=""Sangria""),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2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270" t="str">
        <f>IFERROR(__xludf.DUMMYFUNCTION("IF(
  AND(D267=""Saída"", J267=""Sangria""),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74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270" t="str">
        <f>IFERROR(__xludf.DUMMYFUNCTION("IF(
  AND(D268=""Saída"", J268=""Sangria""),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2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270" t="str">
        <f>IFERROR(__xludf.DUMMYFUNCTION("IF(
  AND(D269=""Saída"", J269=""Sangria""),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74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270" t="str">
        <f>IFERROR(__xludf.DUMMYFUNCTION("IF(
  AND(D270=""Saída"", J270=""Sangria""),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2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270" t="str">
        <f>IFERROR(__xludf.DUMMYFUNCTION("IF(
  AND(D271=""Saída"", J271=""Sangria""),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74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270" t="str">
        <f>IFERROR(__xludf.DUMMYFUNCTION("IF(
  AND(D272=""Saída"", J272=""Sangria""),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2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270" t="str">
        <f>IFERROR(__xludf.DUMMYFUNCTION("IF(
  AND(D273=""Saída"", J273=""Sangria""),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74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270" t="str">
        <f>IFERROR(__xludf.DUMMYFUNCTION("IF(
  AND(D274=""Saída"", J274=""Sangria""),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2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270" t="str">
        <f>IFERROR(__xludf.DUMMYFUNCTION("IF(
  AND(D275=""Saída"", J275=""Sangria""),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74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270" t="str">
        <f>IFERROR(__xludf.DUMMYFUNCTION("IF(
  AND(D276=""Saída"", J276=""Sangria""),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2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270" t="str">
        <f>IFERROR(__xludf.DUMMYFUNCTION("IF(
  AND(D277=""Saída"", J277=""Sangria""),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74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270" t="str">
        <f>IFERROR(__xludf.DUMMYFUNCTION("IF(
  AND(D278=""Saída"", J278=""Sangria""),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2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270" t="str">
        <f>IFERROR(__xludf.DUMMYFUNCTION("IF(
  AND(D279=""Saída"", J279=""Sangria""),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74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270" t="str">
        <f>IFERROR(__xludf.DUMMYFUNCTION("IF(
  AND(D280=""Saída"", J280=""Sangria""),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2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270" t="str">
        <f>IFERROR(__xludf.DUMMYFUNCTION("IF(
  AND(D281=""Saída"", J281=""Sangria""),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74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270" t="str">
        <f>IFERROR(__xludf.DUMMYFUNCTION("IF(
  AND(D282=""Saída"", J282=""Sangria""),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2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270" t="str">
        <f>IFERROR(__xludf.DUMMYFUNCTION("IF(
  AND(D283=""Saída"", J283=""Sangria""),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74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270" t="str">
        <f>IFERROR(__xludf.DUMMYFUNCTION("IF(
  AND(D284=""Saída"", J284=""Sangria""),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2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270" t="str">
        <f>IFERROR(__xludf.DUMMYFUNCTION("IF(
  AND(D285=""Saída"", J285=""Sangria""),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74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270" t="str">
        <f>IFERROR(__xludf.DUMMYFUNCTION("IF(
  AND(D286=""Saída"", J286=""Sangria""),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2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270" t="str">
        <f>IFERROR(__xludf.DUMMYFUNCTION("IF(
  AND(D287=""Saída"", J287=""Sangria""),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74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270" t="str">
        <f>IFERROR(__xludf.DUMMYFUNCTION("IF(
  AND(D288=""Saída"", J288=""Sangria""),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2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270" t="str">
        <f>IFERROR(__xludf.DUMMYFUNCTION("IF(
  AND(D289=""Saída"", J289=""Sangria""),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74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270" t="str">
        <f>IFERROR(__xludf.DUMMYFUNCTION("IF(
  AND(D290=""Saída"", J290=""Sangria""),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2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270" t="str">
        <f>IFERROR(__xludf.DUMMYFUNCTION("IF(
  AND(D291=""Saída"", J291=""Sangria""),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74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270" t="str">
        <f>IFERROR(__xludf.DUMMYFUNCTION("IF(
  AND(D292=""Saída"", J292=""Sangria""),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2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270" t="str">
        <f>IFERROR(__xludf.DUMMYFUNCTION("IF(
  AND(D293=""Saída"", J293=""Sangria""),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74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270" t="str">
        <f>IFERROR(__xludf.DUMMYFUNCTION("IF(
  AND(D294=""Saída"", J294=""Sangria""),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2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270" t="str">
        <f>IFERROR(__xludf.DUMMYFUNCTION("IF(
  AND(D295=""Saída"", J295=""Sangria""),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74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270" t="str">
        <f>IFERROR(__xludf.DUMMYFUNCTION("IF(
  AND(D296=""Saída"", J296=""Sangria""),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2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270" t="str">
        <f>IFERROR(__xludf.DUMMYFUNCTION("IF(
  AND(D297=""Saída"", J297=""Sangria""),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74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270" t="str">
        <f>IFERROR(__xludf.DUMMYFUNCTION("IF(
  AND(D298=""Saída"", J298=""Sangria""),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2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270" t="str">
        <f>IFERROR(__xludf.DUMMYFUNCTION("IF(
  AND(D299=""Saída"", J299=""Sangria""),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74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270" t="str">
        <f>IFERROR(__xludf.DUMMYFUNCTION("IF(
  AND(D300=""Saída"", J300=""Sangria""),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2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270" t="str">
        <f>IFERROR(__xludf.DUMMYFUNCTION("IF(
  AND(D301=""Saída"", J301=""Sangria""),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74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270" t="str">
        <f>IFERROR(__xludf.DUMMYFUNCTION("IF(
  AND(D302=""Saída"", J302=""Sangria""),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2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270" t="str">
        <f>IFERROR(__xludf.DUMMYFUNCTION("IF(
  AND(D303=""Saída"", J303=""Sangria""),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74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270" t="str">
        <f>IFERROR(__xludf.DUMMYFUNCTION("IF(
  AND(D304=""Saída"", J304=""Sangria""),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2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270" t="str">
        <f>IFERROR(__xludf.DUMMYFUNCTION("IF(
  AND(D305=""Saída"", J305=""Sangria""),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74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270" t="str">
        <f>IFERROR(__xludf.DUMMYFUNCTION("IF(
  AND(D306=""Saída"", J306=""Sangria""),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2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270" t="str">
        <f>IFERROR(__xludf.DUMMYFUNCTION("IF(
  AND(D307=""Saída"", J307=""Sangria""),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74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270" t="str">
        <f>IFERROR(__xludf.DUMMYFUNCTION("IF(
  AND(D308=""Saída"", J308=""Sangria""),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2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270" t="str">
        <f>IFERROR(__xludf.DUMMYFUNCTION("IF(
  AND(D309=""Saída"", J309=""Sangria""),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74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270" t="str">
        <f>IFERROR(__xludf.DUMMYFUNCTION("IF(
  AND(D310=""Saída"", J310=""Sangria""),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2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270" t="str">
        <f>IFERROR(__xludf.DUMMYFUNCTION("IF(
  AND(D311=""Saída"", J311=""Sangria""),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74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270" t="str">
        <f>IFERROR(__xludf.DUMMYFUNCTION("IF(
  AND(D312=""Saída"", J312=""Sangria""),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2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270" t="str">
        <f>IFERROR(__xludf.DUMMYFUNCTION("IF(
  AND(D313=""Saída"", J313=""Sangria""),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74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270" t="str">
        <f>IFERROR(__xludf.DUMMYFUNCTION("IF(
  AND(D314=""Saída"", J314=""Sangria""),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2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270" t="str">
        <f>IFERROR(__xludf.DUMMYFUNCTION("IF(
  AND(D315=""Saída"", J315=""Sangria""),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74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270" t="str">
        <f>IFERROR(__xludf.DUMMYFUNCTION("IF(
  AND(D316=""Saída"", J316=""Sangria""),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2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270" t="str">
        <f>IFERROR(__xludf.DUMMYFUNCTION("IF(
  AND(D317=""Saída"", J317=""Sangria""),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74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270" t="str">
        <f>IFERROR(__xludf.DUMMYFUNCTION("IF(
  AND(D318=""Saída"", J318=""Sangria""),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2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270" t="str">
        <f>IFERROR(__xludf.DUMMYFUNCTION("IF(
  AND(D319=""Saída"", J319=""Sangria""),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74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270" t="str">
        <f>IFERROR(__xludf.DUMMYFUNCTION("IF(
  AND(D320=""Saída"", J320=""Sangria""),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2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270" t="str">
        <f>IFERROR(__xludf.DUMMYFUNCTION("IF(
  AND(D321=""Saída"", J321=""Sangria""),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74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270" t="str">
        <f>IFERROR(__xludf.DUMMYFUNCTION("IF(
  AND(D322=""Saída"", J322=""Sangria""),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2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270" t="str">
        <f>IFERROR(__xludf.DUMMYFUNCTION("IF(
  AND(D323=""Saída"", J323=""Sangria""),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74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270" t="str">
        <f>IFERROR(__xludf.DUMMYFUNCTION("IF(
  AND(D324=""Saída"", J324=""Sangria""),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2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270" t="str">
        <f>IFERROR(__xludf.DUMMYFUNCTION("IF(
  AND(D325=""Saída"", J325=""Sangria""),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74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270" t="str">
        <f>IFERROR(__xludf.DUMMYFUNCTION("IF(
  AND(D326=""Saída"", J326=""Sangria""),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2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270" t="str">
        <f>IFERROR(__xludf.DUMMYFUNCTION("IF(
  AND(D327=""Saída"", J327=""Sangria""),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74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270" t="str">
        <f>IFERROR(__xludf.DUMMYFUNCTION("IF(
  AND(D328=""Saída"", J328=""Sangria""),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2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270" t="str">
        <f>IFERROR(__xludf.DUMMYFUNCTION("IF(
  AND(D329=""Saída"", J329=""Sangria""),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74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270" t="str">
        <f>IFERROR(__xludf.DUMMYFUNCTION("IF(
  AND(D330=""Saída"", J330=""Sangria""),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2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270" t="str">
        <f>IFERROR(__xludf.DUMMYFUNCTION("IF(
  AND(D331=""Saída"", J331=""Sangria""),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74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270" t="str">
        <f>IFERROR(__xludf.DUMMYFUNCTION("IF(
  AND(D332=""Saída"", J332=""Sangria""),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2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270" t="str">
        <f>IFERROR(__xludf.DUMMYFUNCTION("IF(
  AND(D333=""Saída"", J333=""Sangria""),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74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270" t="str">
        <f>IFERROR(__xludf.DUMMYFUNCTION("IF(
  AND(D334=""Saída"", J334=""Sangria""),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2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270" t="str">
        <f>IFERROR(__xludf.DUMMYFUNCTION("IF(
  AND(D335=""Saída"", J335=""Sangria""),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74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270" t="str">
        <f>IFERROR(__xludf.DUMMYFUNCTION("IF(
  AND(D336=""Saída"", J336=""Sangria""),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2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270" t="str">
        <f>IFERROR(__xludf.DUMMYFUNCTION("IF(
  AND(D337=""Saída"", J337=""Sangria""),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74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270" t="str">
        <f>IFERROR(__xludf.DUMMYFUNCTION("IF(
  AND(D338=""Saída"", J338=""Sangria""),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2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270" t="str">
        <f>IFERROR(__xludf.DUMMYFUNCTION("IF(
  AND(D339=""Saída"", J339=""Sangria""),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74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270" t="str">
        <f>IFERROR(__xludf.DUMMYFUNCTION("IF(
  AND(D340=""Saída"", J340=""Sangria""),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2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270" t="str">
        <f>IFERROR(__xludf.DUMMYFUNCTION("IF(
  AND(D341=""Saída"", J341=""Sangria""),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74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270" t="str">
        <f>IFERROR(__xludf.DUMMYFUNCTION("IF(
  AND(D342=""Saída"", J342=""Sangria""),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2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270" t="str">
        <f>IFERROR(__xludf.DUMMYFUNCTION("IF(
  AND(D343=""Saída"", J343=""Sangria""),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74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270" t="str">
        <f>IFERROR(__xludf.DUMMYFUNCTION("IF(
  AND(D344=""Saída"", J344=""Sangria""),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2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270" t="str">
        <f>IFERROR(__xludf.DUMMYFUNCTION("IF(
  AND(D345=""Saída"", J345=""Sangria""),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74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270" t="str">
        <f>IFERROR(__xludf.DUMMYFUNCTION("IF(
  AND(D346=""Saída"", J346=""Sangria""),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2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270" t="str">
        <f>IFERROR(__xludf.DUMMYFUNCTION("IF(
  AND(D347=""Saída"", J347=""Sangria""),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74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270" t="str">
        <f>IFERROR(__xludf.DUMMYFUNCTION("IF(
  AND(D348=""Saída"", J348=""Sangria""),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2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270" t="str">
        <f>IFERROR(__xludf.DUMMYFUNCTION("IF(
  AND(D349=""Saída"", J349=""Sangria""),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74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270" t="str">
        <f>IFERROR(__xludf.DUMMYFUNCTION("IF(
  AND(D350=""Saída"", J350=""Sangria""),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2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270" t="str">
        <f>IFERROR(__xludf.DUMMYFUNCTION("IF(
  AND(D351=""Saída"", J351=""Sangria""),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74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270" t="str">
        <f>IFERROR(__xludf.DUMMYFUNCTION("IF(
  AND(D352=""Saída"", J352=""Sangria""),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2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270" t="str">
        <f>IFERROR(__xludf.DUMMYFUNCTION("IF(
  AND(D353=""Saída"", J353=""Sangria""),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74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270" t="str">
        <f>IFERROR(__xludf.DUMMYFUNCTION("IF(
  AND(D354=""Saída"", J354=""Sangria""),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2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270" t="str">
        <f>IFERROR(__xludf.DUMMYFUNCTION("IF(
  AND(D355=""Saída"", J355=""Sangria""),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74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270" t="str">
        <f>IFERROR(__xludf.DUMMYFUNCTION("IF(
  AND(D356=""Saída"", J356=""Sangria""),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2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270" t="str">
        <f>IFERROR(__xludf.DUMMYFUNCTION("IF(
  AND(D357=""Saída"", J357=""Sangria""),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74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270" t="str">
        <f>IFERROR(__xludf.DUMMYFUNCTION("IF(
  AND(D358=""Saída"", J358=""Sangria""),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2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270" t="str">
        <f>IFERROR(__xludf.DUMMYFUNCTION("IF(
  AND(D359=""Saída"", J359=""Sangria""),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74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270" t="str">
        <f>IFERROR(__xludf.DUMMYFUNCTION("IF(
  AND(D360=""Saída"", J360=""Sangria""),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2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270" t="str">
        <f>IFERROR(__xludf.DUMMYFUNCTION("IF(
  AND(D361=""Saída"", J361=""Sangria""),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74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270" t="str">
        <f>IFERROR(__xludf.DUMMYFUNCTION("IF(
  AND(D362=""Saída"", J362=""Sangria""),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2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270" t="str">
        <f>IFERROR(__xludf.DUMMYFUNCTION("IF(
  AND(D363=""Saída"", J363=""Sangria""),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74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270" t="str">
        <f>IFERROR(__xludf.DUMMYFUNCTION("IF(
  AND(D364=""Saída"", J364=""Sangria""),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2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270" t="str">
        <f>IFERROR(__xludf.DUMMYFUNCTION("IF(
  AND(D365=""Saída"", J365=""Sangria""),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74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270" t="str">
        <f>IFERROR(__xludf.DUMMYFUNCTION("IF(
  AND(D366=""Saída"", J366=""Sangria""),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2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270" t="str">
        <f>IFERROR(__xludf.DUMMYFUNCTION("IF(
  AND(D367=""Saída"", J367=""Sangria""),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74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270" t="str">
        <f>IFERROR(__xludf.DUMMYFUNCTION("IF(
  AND(D368=""Saída"", J368=""Sangria""),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2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270" t="str">
        <f>IFERROR(__xludf.DUMMYFUNCTION("IF(
  AND(D369=""Saída"", J369=""Sangria""),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74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270" t="str">
        <f>IFERROR(__xludf.DUMMYFUNCTION("IF(
  AND(D370=""Saída"", J370=""Sangria""),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2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270" t="str">
        <f>IFERROR(__xludf.DUMMYFUNCTION("IF(
  AND(D371=""Saída"", J371=""Sangria""),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74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270" t="str">
        <f>IFERROR(__xludf.DUMMYFUNCTION("IF(
  AND(D372=""Saída"", J372=""Sangria""),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2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270" t="str">
        <f>IFERROR(__xludf.DUMMYFUNCTION("IF(
  AND(D373=""Saída"", J373=""Sangria""),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74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270" t="str">
        <f>IFERROR(__xludf.DUMMYFUNCTION("IF(
  AND(D374=""Saída"", J374=""Sangria""),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2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270" t="str">
        <f>IFERROR(__xludf.DUMMYFUNCTION("IF(
  AND(D375=""Saída"", J375=""Sangria""),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74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270" t="str">
        <f>IFERROR(__xludf.DUMMYFUNCTION("IF(
  AND(D376=""Saída"", J376=""Sangria""),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2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270" t="str">
        <f>IFERROR(__xludf.DUMMYFUNCTION("IF(
  AND(D377=""Saída"", J377=""Sangria""),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74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270" t="str">
        <f>IFERROR(__xludf.DUMMYFUNCTION("IF(
  AND(D378=""Saída"", J378=""Sangria""),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2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270" t="str">
        <f>IFERROR(__xludf.DUMMYFUNCTION("IF(
  AND(D379=""Saída"", J379=""Sangria""),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74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270" t="str">
        <f>IFERROR(__xludf.DUMMYFUNCTION("IF(
  AND(D380=""Saída"", J380=""Sangria""),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2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270" t="str">
        <f>IFERROR(__xludf.DUMMYFUNCTION("IF(
  AND(D381=""Saída"", J381=""Sangria""),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74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270" t="str">
        <f>IFERROR(__xludf.DUMMYFUNCTION("IF(
  AND(D382=""Saída"", J382=""Sangria""),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2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270" t="str">
        <f>IFERROR(__xludf.DUMMYFUNCTION("IF(
  AND(D383=""Saída"", J383=""Sangria""),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74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270" t="str">
        <f>IFERROR(__xludf.DUMMYFUNCTION("IF(
  AND(D384=""Saída"", J384=""Sangria""),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2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270" t="str">
        <f>IFERROR(__xludf.DUMMYFUNCTION("IF(
  AND(D385=""Saída"", J385=""Sangria""),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74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270" t="str">
        <f>IFERROR(__xludf.DUMMYFUNCTION("IF(
  AND(D386=""Saída"", J386=""Sangria""),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2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270" t="str">
        <f>IFERROR(__xludf.DUMMYFUNCTION("IF(
  AND(D387=""Saída"", J387=""Sangria""),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74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270" t="str">
        <f>IFERROR(__xludf.DUMMYFUNCTION("IF(
  AND(D388=""Saída"", J388=""Sangria""),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2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270" t="str">
        <f>IFERROR(__xludf.DUMMYFUNCTION("IF(
  AND(D389=""Saída"", J389=""Sangria""),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74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270" t="str">
        <f>IFERROR(__xludf.DUMMYFUNCTION("IF(
  AND(D390=""Saída"", J390=""Sangria""),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2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270" t="str">
        <f>IFERROR(__xludf.DUMMYFUNCTION("IF(
  AND(D391=""Saída"", J391=""Sangria""),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74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270" t="str">
        <f>IFERROR(__xludf.DUMMYFUNCTION("IF(
  AND(D392=""Saída"", J392=""Sangria""),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2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270" t="str">
        <f>IFERROR(__xludf.DUMMYFUNCTION("IF(
  AND(D393=""Saída"", J393=""Sangria""),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74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270" t="str">
        <f>IFERROR(__xludf.DUMMYFUNCTION("IF(
  AND(D394=""Saída"", J394=""Sangria""),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2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270" t="str">
        <f>IFERROR(__xludf.DUMMYFUNCTION("IF(
  AND(D395=""Saída"", J395=""Sangria""),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74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270" t="str">
        <f>IFERROR(__xludf.DUMMYFUNCTION("IF(
  AND(D396=""Saída"", J396=""Sangria""),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2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270" t="str">
        <f>IFERROR(__xludf.DUMMYFUNCTION("IF(
  AND(D397=""Saída"", J397=""Sangria""),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74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270" t="str">
        <f>IFERROR(__xludf.DUMMYFUNCTION("IF(
  AND(D398=""Saída"", J398=""Sangria""),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2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270" t="str">
        <f>IFERROR(__xludf.DUMMYFUNCTION("IF(
  AND(D399=""Saída"", J399=""Sangria""),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74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270" t="str">
        <f>IFERROR(__xludf.DUMMYFUNCTION("IF(
  AND(D400=""Saída"", J400=""Sangria""),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2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270" t="str">
        <f>IFERROR(__xludf.DUMMYFUNCTION("IF(
  AND(D401=""Saída"", J401=""Sangria""),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74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270" t="str">
        <f>IFERROR(__xludf.DUMMYFUNCTION("IF(
  AND(D402=""Saída"", J402=""Sangria""),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2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270" t="str">
        <f>IFERROR(__xludf.DUMMYFUNCTION("IF(
  AND(D403=""Saída"", J403=""Sangria""),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74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270" t="str">
        <f>IFERROR(__xludf.DUMMYFUNCTION("IF(
  AND(D404=""Saída"", J404=""Sangria""),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2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270" t="str">
        <f>IFERROR(__xludf.DUMMYFUNCTION("IF(
  AND(D405=""Saída"", J405=""Sangria""),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74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270" t="str">
        <f>IFERROR(__xludf.DUMMYFUNCTION("IF(
  AND(D406=""Saída"", J406=""Sangria""),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2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270" t="str">
        <f>IFERROR(__xludf.DUMMYFUNCTION("IF(
  AND(D407=""Saída"", J407=""Sangria""),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74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270" t="str">
        <f>IFERROR(__xludf.DUMMYFUNCTION("IF(
  AND(D408=""Saída"", J408=""Sangria""),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2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270" t="str">
        <f>IFERROR(__xludf.DUMMYFUNCTION("IF(
  AND(D409=""Saída"", J409=""Sangria""),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74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270" t="str">
        <f>IFERROR(__xludf.DUMMYFUNCTION("IF(
  AND(D410=""Saída"", J410=""Sangria""),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2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270" t="str">
        <f>IFERROR(__xludf.DUMMYFUNCTION("IF(
  AND(D411=""Saída"", J411=""Sangria""),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74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270" t="str">
        <f>IFERROR(__xludf.DUMMYFUNCTION("IF(
  AND(D412=""Saída"", J412=""Sangria""),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2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270" t="str">
        <f>IFERROR(__xludf.DUMMYFUNCTION("IF(
  AND(D413=""Saída"", J413=""Sangria""),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74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270" t="str">
        <f>IFERROR(__xludf.DUMMYFUNCTION("IF(
  AND(D414=""Saída"", J414=""Sangria""),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2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270" t="str">
        <f>IFERROR(__xludf.DUMMYFUNCTION("IF(
  AND(D415=""Saída"", J415=""Sangria""),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74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270" t="str">
        <f>IFERROR(__xludf.DUMMYFUNCTION("IF(
  AND(D416=""Saída"", J416=""Sangria""),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2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270" t="str">
        <f>IFERROR(__xludf.DUMMYFUNCTION("IF(
  AND(D417=""Saída"", J417=""Sangria""),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74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270" t="str">
        <f>IFERROR(__xludf.DUMMYFUNCTION("IF(
  AND(D418=""Saída"", J418=""Sangria""),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2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270" t="str">
        <f>IFERROR(__xludf.DUMMYFUNCTION("IF(
  AND(D419=""Saída"", J419=""Sangria""),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74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270" t="str">
        <f>IFERROR(__xludf.DUMMYFUNCTION("IF(
  AND(D420=""Saída"", J420=""Sangria""),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2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270" t="str">
        <f>IFERROR(__xludf.DUMMYFUNCTION("IF(
  AND(D421=""Saída"", J421=""Sangria""),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74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270" t="str">
        <f>IFERROR(__xludf.DUMMYFUNCTION("IF(
  AND(D422=""Saída"", J422=""Sangria""),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2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270" t="str">
        <f>IFERROR(__xludf.DUMMYFUNCTION("IF(
  AND(D423=""Saída"", J423=""Sangria""),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74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270" t="str">
        <f>IFERROR(__xludf.DUMMYFUNCTION("IF(
  AND(D424=""Saída"", J424=""Sangria""),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2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270" t="str">
        <f>IFERROR(__xludf.DUMMYFUNCTION("IF(
  AND(D425=""Saída"", J425=""Sangria""),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74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270" t="str">
        <f>IFERROR(__xludf.DUMMYFUNCTION("IF(
  AND(D426=""Saída"", J426=""Sangria""),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2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270" t="str">
        <f>IFERROR(__xludf.DUMMYFUNCTION("IF(
  AND(D427=""Saída"", J427=""Sangria""),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74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270" t="str">
        <f>IFERROR(__xludf.DUMMYFUNCTION("IF(
  AND(D428=""Saída"", J428=""Sangria""),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2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270" t="str">
        <f>IFERROR(__xludf.DUMMYFUNCTION("IF(
  AND(D429=""Saída"", J429=""Sangria""),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74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270" t="str">
        <f>IFERROR(__xludf.DUMMYFUNCTION("IF(
  AND(D430=""Saída"", J430=""Sangria""),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2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270" t="str">
        <f>IFERROR(__xludf.DUMMYFUNCTION("IF(
  AND(D431=""Saída"", J431=""Sangria""),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74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270" t="str">
        <f>IFERROR(__xludf.DUMMYFUNCTION("IF(
  AND(D432=""Saída"", J432=""Sangria""),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2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270" t="str">
        <f>IFERROR(__xludf.DUMMYFUNCTION("IF(
  AND(D433=""Saída"", J433=""Sangria""),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74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270" t="str">
        <f>IFERROR(__xludf.DUMMYFUNCTION("IF(
  AND(D434=""Saída"", J434=""Sangria""),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2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270" t="str">
        <f>IFERROR(__xludf.DUMMYFUNCTION("IF(
  AND(D435=""Saída"", J435=""Sangria""),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74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270" t="str">
        <f>IFERROR(__xludf.DUMMYFUNCTION("IF(
  AND(D436=""Saída"", J436=""Sangria""),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2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270" t="str">
        <f>IFERROR(__xludf.DUMMYFUNCTION("IF(
  AND(D437=""Saída"", J437=""Sangria""),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74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270" t="str">
        <f>IFERROR(__xludf.DUMMYFUNCTION("IF(
  AND(D438=""Saída"", J438=""Sangria""),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2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270" t="str">
        <f>IFERROR(__xludf.DUMMYFUNCTION("IF(
  AND(D439=""Saída"", J439=""Sangria""),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74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270" t="str">
        <f>IFERROR(__xludf.DUMMYFUNCTION("IF(
  AND(D440=""Saída"", J440=""Sangria""),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2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270" t="str">
        <f>IFERROR(__xludf.DUMMYFUNCTION("IF(
  AND(D441=""Saída"", J441=""Sangria""),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74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270" t="str">
        <f>IFERROR(__xludf.DUMMYFUNCTION("IF(
  AND(D442=""Saída"", J442=""Sangria""),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2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270" t="str">
        <f>IFERROR(__xludf.DUMMYFUNCTION("IF(
  AND(D443=""Saída"", J443=""Sangria""),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74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270" t="str">
        <f>IFERROR(__xludf.DUMMYFUNCTION("IF(
  AND(D444=""Saída"", J444=""Sangria""),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2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270" t="str">
        <f>IFERROR(__xludf.DUMMYFUNCTION("IF(
  AND(D445=""Saída"", J445=""Sangria""),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74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270" t="str">
        <f>IFERROR(__xludf.DUMMYFUNCTION("IF(
  AND(D446=""Saída"", J446=""Sangria""),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2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270" t="str">
        <f>IFERROR(__xludf.DUMMYFUNCTION("IF(
  AND(D447=""Saída"", J447=""Sangria""),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74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270" t="str">
        <f>IFERROR(__xludf.DUMMYFUNCTION("IF(
  AND(D448=""Saída"", J448=""Sangria""),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2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270" t="str">
        <f>IFERROR(__xludf.DUMMYFUNCTION("IF(
  AND(D449=""Saída"", J449=""Sangria""),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74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270" t="str">
        <f>IFERROR(__xludf.DUMMYFUNCTION("IF(
  AND(D450=""Saída"", J450=""Sangria""),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2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270" t="str">
        <f>IFERROR(__xludf.DUMMYFUNCTION("IF(
  AND(D451=""Saída"", J451=""Sangria""),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74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270" t="str">
        <f>IFERROR(__xludf.DUMMYFUNCTION("IF(
  AND(D452=""Saída"", J452=""Sangria""),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2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270" t="str">
        <f>IFERROR(__xludf.DUMMYFUNCTION("IF(
  AND(D453=""Saída"", J453=""Sangria""),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74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270" t="str">
        <f>IFERROR(__xludf.DUMMYFUNCTION("IF(
  AND(D454=""Saída"", J454=""Sangria""),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2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270" t="str">
        <f>IFERROR(__xludf.DUMMYFUNCTION("IF(
  AND(D455=""Saída"", J455=""Sangria""),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74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270" t="str">
        <f>IFERROR(__xludf.DUMMYFUNCTION("IF(
  AND(D456=""Saída"", J456=""Sangria""),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2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270" t="str">
        <f>IFERROR(__xludf.DUMMYFUNCTION("IF(
  AND(D457=""Saída"", J457=""Sangria""),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74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270" t="str">
        <f>IFERROR(__xludf.DUMMYFUNCTION("IF(
  AND(D458=""Saída"", J458=""Sangria""),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2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270" t="str">
        <f>IFERROR(__xludf.DUMMYFUNCTION("IF(
  AND(D459=""Saída"", J459=""Sangria""),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74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270" t="str">
        <f>IFERROR(__xludf.DUMMYFUNCTION("IF(
  AND(D460=""Saída"", J460=""Sangria""),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2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270" t="str">
        <f>IFERROR(__xludf.DUMMYFUNCTION("IF(
  AND(D461=""Saída"", J461=""Sangria""),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74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270" t="str">
        <f>IFERROR(__xludf.DUMMYFUNCTION("IF(
  AND(D462=""Saída"", J462=""Sangria""),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2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270" t="str">
        <f>IFERROR(__xludf.DUMMYFUNCTION("IF(
  AND(D463=""Saída"", J463=""Sangria""),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74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270" t="str">
        <f>IFERROR(__xludf.DUMMYFUNCTION("IF(
  AND(D464=""Saída"", J464=""Sangria""),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2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270" t="str">
        <f>IFERROR(__xludf.DUMMYFUNCTION("IF(
  AND(D465=""Saída"", J465=""Sangria""),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74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270" t="str">
        <f>IFERROR(__xludf.DUMMYFUNCTION("IF(
  AND(D466=""Saída"", J466=""Sangria""),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2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270" t="str">
        <f>IFERROR(__xludf.DUMMYFUNCTION("IF(
  AND(D467=""Saída"", J467=""Sangria""),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74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270" t="str">
        <f>IFERROR(__xludf.DUMMYFUNCTION("IF(
  AND(D468=""Saída"", J468=""Sangria""),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2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270" t="str">
        <f>IFERROR(__xludf.DUMMYFUNCTION("IF(
  AND(D469=""Saída"", J469=""Sangria""),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74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270" t="str">
        <f>IFERROR(__xludf.DUMMYFUNCTION("IF(
  AND(D470=""Saída"", J470=""Sangria""),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2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270" t="str">
        <f>IFERROR(__xludf.DUMMYFUNCTION("IF(
  AND(D471=""Saída"", J471=""Sangria""),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74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270" t="str">
        <f>IFERROR(__xludf.DUMMYFUNCTION("IF(
  AND(D472=""Saída"", J472=""Sangria""),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2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270" t="str">
        <f>IFERROR(__xludf.DUMMYFUNCTION("IF(
  AND(D473=""Saída"", J473=""Sangria""),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74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270" t="str">
        <f>IFERROR(__xludf.DUMMYFUNCTION("IF(
  AND(D474=""Saída"", J474=""Sangria""),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2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270" t="str">
        <f>IFERROR(__xludf.DUMMYFUNCTION("IF(
  AND(D475=""Saída"", J475=""Sangria""),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74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270" t="str">
        <f>IFERROR(__xludf.DUMMYFUNCTION("IF(
  AND(D476=""Saída"", J476=""Sangria""),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2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270" t="str">
        <f>IFERROR(__xludf.DUMMYFUNCTION("IF(
  AND(D477=""Saída"", J477=""Sangria""),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74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270" t="str">
        <f>IFERROR(__xludf.DUMMYFUNCTION("IF(
  AND(D478=""Saída"", J478=""Sangria""),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2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270" t="str">
        <f>IFERROR(__xludf.DUMMYFUNCTION("IF(
  AND(D479=""Saída"", J479=""Sangria""),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74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270" t="str">
        <f>IFERROR(__xludf.DUMMYFUNCTION("IF(
  AND(D480=""Saída"", J480=""Sangria""),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2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270" t="str">
        <f>IFERROR(__xludf.DUMMYFUNCTION("IF(
  AND(D481=""Saída"", J481=""Sangria""),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74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270" t="str">
        <f>IFERROR(__xludf.DUMMYFUNCTION("IF(
  AND(D482=""Saída"", J482=""Sangria""),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2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270" t="str">
        <f>IFERROR(__xludf.DUMMYFUNCTION("IF(
  AND(D483=""Saída"", J483=""Sangria""),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74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270" t="str">
        <f>IFERROR(__xludf.DUMMYFUNCTION("IF(
  AND(D484=""Saída"", J484=""Sangria""),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2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270" t="str">
        <f>IFERROR(__xludf.DUMMYFUNCTION("IF(
  AND(D485=""Saída"", J485=""Sangria""),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74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270" t="str">
        <f>IFERROR(__xludf.DUMMYFUNCTION("IF(
  AND(D486=""Saída"", J486=""Sangria""),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2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270" t="str">
        <f>IFERROR(__xludf.DUMMYFUNCTION("IF(
  AND(D487=""Saída"", J487=""Sangria""),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74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270" t="str">
        <f>IFERROR(__xludf.DUMMYFUNCTION("IF(
  AND(D488=""Saída"", J488=""Sangria""),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2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270" t="str">
        <f>IFERROR(__xludf.DUMMYFUNCTION("IF(
  AND(D489=""Saída"", J489=""Sangria""),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74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270" t="str">
        <f>IFERROR(__xludf.DUMMYFUNCTION("IF(
  AND(D490=""Saída"", J490=""Sangria""),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2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270" t="str">
        <f>IFERROR(__xludf.DUMMYFUNCTION("IF(
  AND(D491=""Saída"", J491=""Sangria""),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74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270" t="str">
        <f>IFERROR(__xludf.DUMMYFUNCTION("IF(
  AND(D492=""Saída"", J492=""Sangria""),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2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270" t="str">
        <f>IFERROR(__xludf.DUMMYFUNCTION("IF(
  AND(D493=""Saída"", J493=""Sangria""),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74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270" t="str">
        <f>IFERROR(__xludf.DUMMYFUNCTION("IF(
  AND(D494=""Saída"", J494=""Sangria""),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2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270" t="str">
        <f>IFERROR(__xludf.DUMMYFUNCTION("IF(
  AND(D495=""Saída"", J495=""Sangria""),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74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270" t="str">
        <f>IFERROR(__xludf.DUMMYFUNCTION("IF(
  AND(D496=""Saída"", J496=""Sangria""),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2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270" t="str">
        <f>IFERROR(__xludf.DUMMYFUNCTION("IF(
  AND(D497=""Saída"", J497=""Sangria""),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74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270" t="str">
        <f>IFERROR(__xludf.DUMMYFUNCTION("IF(
  AND(D498=""Saída"", J498=""Sangria""),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2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270" t="str">
        <f>IFERROR(__xludf.DUMMYFUNCTION("IF(
  AND(D499=""Saída"", J499=""Sangria""),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74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270" t="str">
        <f>IFERROR(__xludf.DUMMYFUNCTION("IF(
  AND(D500=""Saída"", J500=""Sangria""),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2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270" t="str">
        <f>IFERROR(__xludf.DUMMYFUNCTION("IF(
  AND(D501=""Saída"", J501=""Sangria""),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74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270" t="str">
        <f>IFERROR(__xludf.DUMMYFUNCTION("IF(
  AND(D502=""Saída"", J502=""Sangria""),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2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270" t="str">
        <f>IFERROR(__xludf.DUMMYFUNCTION("IF(
  AND(D503=""Saída"", J503=""Sangria""),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74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270" t="str">
        <f>IFERROR(__xludf.DUMMYFUNCTION("IF(
  AND(D504=""Saída"", J504=""Sangria""),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2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5"/>
      <c r="B505" s="320"/>
      <c r="C505" s="255"/>
      <c r="D505" s="190"/>
      <c r="E505" s="257"/>
      <c r="F505" s="190"/>
      <c r="G505" s="258"/>
      <c r="H505" s="190"/>
      <c r="I505" s="190"/>
      <c r="J505" s="189"/>
      <c r="K505" s="189"/>
      <c r="L505" s="270" t="str">
        <f>IFERROR(__xludf.DUMMYFUNCTION("IF(
  AND(D505=""Saída"", J505=""Sangria""),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74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5"/>
      <c r="B506" s="320"/>
      <c r="C506" s="255"/>
      <c r="D506" s="190"/>
      <c r="E506" s="257"/>
      <c r="F506" s="190"/>
      <c r="G506" s="258"/>
      <c r="H506" s="190"/>
      <c r="I506" s="190"/>
      <c r="J506" s="189"/>
      <c r="K506" s="189"/>
      <c r="L506" s="270" t="str">
        <f>IFERROR(__xludf.DUMMYFUNCTION("IF(
  AND(D506=""Saída"", J506=""Sangria""),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2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5"/>
      <c r="B507" s="320"/>
      <c r="C507" s="255"/>
      <c r="D507" s="190"/>
      <c r="E507" s="257"/>
      <c r="F507" s="190"/>
      <c r="G507" s="258"/>
      <c r="H507" s="190"/>
      <c r="I507" s="190"/>
      <c r="J507" s="189"/>
      <c r="K507" s="189"/>
      <c r="L507" s="270" t="str">
        <f>IFERROR(__xludf.DUMMYFUNCTION("IF(
  AND(D507=""Saída"", J507=""Sangria""),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74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7:R37"/>
    <mergeCell ref="O59:T60"/>
    <mergeCell ref="S61:T61"/>
    <mergeCell ref="O106:V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52:U152"/>
    <mergeCell ref="S153:U153"/>
    <mergeCell ref="S154:U154"/>
    <mergeCell ref="S155:U155"/>
    <mergeCell ref="S156:U156"/>
    <mergeCell ref="S157:U157"/>
    <mergeCell ref="S158:U158"/>
    <mergeCell ref="S145:U145"/>
    <mergeCell ref="S146:U146"/>
    <mergeCell ref="S147:U147"/>
    <mergeCell ref="S148:U148"/>
    <mergeCell ref="S149:U149"/>
    <mergeCell ref="S150:U150"/>
    <mergeCell ref="S151:U151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7:W37"/>
  </mergeCells>
  <conditionalFormatting sqref="E29:E190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W4 L11 D20 O20:W20 O38:W38 U58:W58">
    <cfRule type="cellIs" dxfId="6" priority="10" operator="greaterThanOrEqual">
      <formula>500</formula>
    </cfRule>
  </conditionalFormatting>
  <conditionalFormatting sqref="L4:W4 L11 D20 O20:W20 O38:W38 U58:W58">
    <cfRule type="cellIs" dxfId="7" priority="11" operator="between">
      <formula>400</formula>
      <formula>500</formula>
    </cfRule>
  </conditionalFormatting>
  <conditionalFormatting sqref="E29:E507">
    <cfRule type="containsText" dxfId="9" priority="12" operator="containsText" text="R$">
      <formula>NOT(ISERROR(SEARCH(("R$"),(E29))))</formula>
    </cfRule>
  </conditionalFormatting>
  <conditionalFormatting sqref="B29:K507">
    <cfRule type="expression" dxfId="5" priority="13">
      <formula>and($J$29:$J$504="Sangria",$D$29:$D$504="Saída")</formula>
    </cfRule>
  </conditionalFormatting>
  <conditionalFormatting sqref="K29:K507">
    <cfRule type="expression" dxfId="10" priority="14">
      <formula>or($J$29:$J$218="Compra Moedas",$J$29:$J$218="Cortesias",$J$29:$J$218="Troco")</formula>
    </cfRule>
  </conditionalFormatting>
  <conditionalFormatting sqref="K29:K507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7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1">
      <formula>and($C$29:$C$218="",or($D$29:$D$218="Entrada",$D$29:$D$218="Saída"))</formula>
    </cfRule>
  </conditionalFormatting>
  <conditionalFormatting sqref="I29:I507">
    <cfRule type="expression" dxfId="8" priority="22">
      <formula>and(K29 = "",or(J29="Consumo",J29="Adiantamento"))</formula>
    </cfRule>
  </conditionalFormatting>
  <conditionalFormatting sqref="M29:M507">
    <cfRule type="cellIs" dxfId="8" priority="23" operator="equal">
      <formula>"Não Encontrada"</formula>
    </cfRule>
  </conditionalFormatting>
  <conditionalFormatting sqref="L29:L507">
    <cfRule type="cellIs" dxfId="8" priority="24" operator="equal">
      <formula>"Caixa Sangria"</formula>
    </cfRule>
  </conditionalFormatting>
  <dataValidations>
    <dataValidation type="list" allowBlank="1" showErrorMessage="1" sqref="K29:K507">
      <formula1>'DEZEMBRO 2025'!$B$4:$B$16</formula1>
    </dataValidation>
    <dataValidation type="list" allowBlank="1" showErrorMessage="1" sqref="J29:J190 J192:J195 J197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3.25"/>
    <col customWidth="1" min="15" max="15" width="10.13"/>
    <col customWidth="1" min="16" max="16" width="12.0"/>
    <col customWidth="1" min="17" max="17" width="12.75"/>
    <col customWidth="1" min="18" max="18" width="14.63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26"/>
      <c r="O2" s="30" t="s">
        <v>1840</v>
      </c>
      <c r="P2" s="28"/>
      <c r="Q2" s="28"/>
      <c r="R2" s="28"/>
      <c r="S2" s="28"/>
      <c r="T2" s="28"/>
      <c r="U2" s="28"/>
      <c r="V2" s="28"/>
      <c r="W2" s="29"/>
    </row>
    <row r="3">
      <c r="A3" s="31" t="s">
        <v>1847</v>
      </c>
      <c r="B3" s="32"/>
      <c r="C3" s="33" t="str">
        <f>B4</f>
        <v>Marcelo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>Helena Cardoso</v>
      </c>
      <c r="J3" s="32"/>
      <c r="K3" s="34" t="str">
        <f>B8</f>
        <v>Gabriel Azevedo</v>
      </c>
      <c r="L3" s="35"/>
      <c r="M3" s="36"/>
      <c r="N3" s="36"/>
      <c r="O3" s="37" t="str">
        <f>B4</f>
        <v>Marcelo</v>
      </c>
      <c r="P3" s="28"/>
      <c r="Q3" s="28"/>
      <c r="R3" s="29"/>
      <c r="S3" s="38"/>
      <c r="T3" s="39" t="str">
        <f>B5</f>
        <v>Mariane</v>
      </c>
      <c r="U3" s="28"/>
      <c r="V3" s="28"/>
      <c r="W3" s="29"/>
    </row>
    <row r="4" ht="15.75" customHeight="1">
      <c r="A4" s="40" t="s">
        <v>132</v>
      </c>
      <c r="B4" s="41" t="s">
        <v>6576</v>
      </c>
      <c r="C4" s="42" t="s">
        <v>1900</v>
      </c>
      <c r="D4" s="43">
        <f>SUMIFS(N29:N504,J29:J504,C4,K29:K504,C3)+SUMIF(Q62:Q104,A4,R62:R104)+D9</f>
        <v>0</v>
      </c>
      <c r="E4" s="44" t="s">
        <v>1900</v>
      </c>
      <c r="F4" s="43">
        <f>SUMIFS(N29:N504,J29:J504,E4,K29:K504,E3)+SUMIF(Q62:Q104,A5,R62:R104)+F9</f>
        <v>0</v>
      </c>
      <c r="G4" s="44" t="s">
        <v>1900</v>
      </c>
      <c r="H4" s="43">
        <f>SUMIFS(N29:N504,J29:J504,C4,K29:K504,G3)+SUMIF(Q62:Q104,A6,R62:R104)+H9</f>
        <v>0</v>
      </c>
      <c r="I4" s="44" t="s">
        <v>1900</v>
      </c>
      <c r="J4" s="43">
        <f>SUMIFS(N29:N504,J29:J504,C4,K29:K504,I3)+SUMIF(Q62:Q104,A7,R62:R104)+J9</f>
        <v>200</v>
      </c>
      <c r="K4" s="44" t="s">
        <v>1900</v>
      </c>
      <c r="L4" s="45">
        <f>SUMIFS(N29:N504,J29:J504,C4,K29:K504,K3)+SUMIF(Q62:Q104,A8,R62:R104)+L9</f>
        <v>200</v>
      </c>
      <c r="M4" s="26"/>
      <c r="N4" s="26"/>
      <c r="O4" s="46" t="str">
        <f>IFERROR(__xludf.DUMMYFUNCTION("query(C28:L507,""select Col1,Col3,Col8,Col9 where (Col8 = 'Adiantamento' or Col8 = 'Consumo') and Col9 = '""&amp;B4&amp;""'"",1)"),"Data")</f>
        <v>Data</v>
      </c>
      <c r="P4" s="47" t="str">
        <f>IFERROR(__xludf.DUMMYFUNCTION("""COMPUTED_VALUE"""),"Valor ")</f>
        <v>Valor </v>
      </c>
      <c r="Q4" s="47" t="str">
        <f>IFERROR(__xludf.DUMMYFUNCTION("""COMPUTED_VALUE"""),"Tipo")</f>
        <v>Tipo</v>
      </c>
      <c r="R4" s="48" t="str">
        <f>IFERROR(__xludf.DUMMYFUNCTION("""COMPUTED_VALUE"""),"Funcionário")</f>
        <v>Funcionário</v>
      </c>
      <c r="S4" s="49"/>
      <c r="T4" s="50" t="str">
        <f>IFERROR(__xludf.DUMMYFUNCTION("query(C28:L507,""select Col1,Col3,Col8,Col9 where (Col8 = 'Adiantamento' or Col8 = 'Consumo') and Col9 = '""&amp;B5&amp;""'"",1)"),"Data")</f>
        <v>Data</v>
      </c>
      <c r="U4" s="50" t="str">
        <f>IFERROR(__xludf.DUMMYFUNCTION("""COMPUTED_VALUE"""),"Valor ")</f>
        <v>Valor </v>
      </c>
      <c r="V4" s="50" t="str">
        <f>IFERROR(__xludf.DUMMYFUNCTION("""COMPUTED_VALUE"""),"Tipo")</f>
        <v>Tipo</v>
      </c>
      <c r="W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SUMIFS(N29:N504,J29:J504,C5,K29:K504,C3)</f>
        <v>53.84</v>
      </c>
      <c r="E5" s="44" t="s">
        <v>2019</v>
      </c>
      <c r="F5" s="43">
        <f>SUMIFS(N29:N504,J29:J504,C5,K29:K504,E3)</f>
        <v>59.82</v>
      </c>
      <c r="G5" s="44" t="s">
        <v>2019</v>
      </c>
      <c r="H5" s="43">
        <f>SUMIFS(N29:N504,J29:J504,C5,K29:K504,G3)</f>
        <v>255.22</v>
      </c>
      <c r="I5" s="44" t="s">
        <v>2019</v>
      </c>
      <c r="J5" s="43">
        <f>SUMIFS(N29:N504,J29:J504,C5,K29:K504,I3)</f>
        <v>182.53</v>
      </c>
      <c r="K5" s="44" t="s">
        <v>2019</v>
      </c>
      <c r="L5" s="45">
        <f>SUMIFS(N29:N504,J29:J504,C5,K29:K504,K3)</f>
        <v>267.18</v>
      </c>
      <c r="M5" s="26"/>
      <c r="N5" s="26"/>
      <c r="O5" s="52">
        <f>IFERROR(__xludf.DUMMYFUNCTION("""COMPUTED_VALUE"""),46032.93518518518)</f>
        <v>46032.93519</v>
      </c>
      <c r="P5" s="53" t="str">
        <f>IFERROR(__xludf.DUMMYFUNCTION("""COMPUTED_VALUE"""),"R$ 53,84")</f>
        <v>R$ 53,84</v>
      </c>
      <c r="Q5" s="53" t="str">
        <f>IFERROR(__xludf.DUMMYFUNCTION("""COMPUTED_VALUE"""),"Consumo")</f>
        <v>Consumo</v>
      </c>
      <c r="R5" s="54" t="str">
        <f>IFERROR(__xludf.DUMMYFUNCTION("""COMPUTED_VALUE"""),"Marcelo")</f>
        <v>Marcelo</v>
      </c>
      <c r="S5" s="55"/>
      <c r="T5" s="238">
        <f>IFERROR(__xludf.DUMMYFUNCTION("""COMPUTED_VALUE"""),46032.93574074074)</f>
        <v>46032.93574</v>
      </c>
      <c r="U5" s="53" t="str">
        <f>IFERROR(__xludf.DUMMYFUNCTION("""COMPUTED_VALUE"""),"R$ 59,82")</f>
        <v>R$ 59,82</v>
      </c>
      <c r="V5" s="53" t="str">
        <f>IFERROR(__xludf.DUMMYFUNCTION("""COMPUTED_VALUE"""),"Consumo")</f>
        <v>Consumo</v>
      </c>
      <c r="W5" s="54" t="str">
        <f>IFERROR(__xludf.DUMMYFUNCTION("""COMPUTED_VALUE"""),"Mariane")</f>
        <v>Mariane</v>
      </c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43.072</v>
      </c>
      <c r="E6" s="44" t="s">
        <v>2079</v>
      </c>
      <c r="F6" s="43">
        <f>F5*0.8</f>
        <v>47.856</v>
      </c>
      <c r="G6" s="44" t="s">
        <v>2079</v>
      </c>
      <c r="H6" s="43">
        <f>H5*0.8</f>
        <v>204.176</v>
      </c>
      <c r="I6" s="44" t="s">
        <v>2079</v>
      </c>
      <c r="J6" s="43">
        <f>J5*0.8</f>
        <v>146.024</v>
      </c>
      <c r="K6" s="57" t="s">
        <v>2079</v>
      </c>
      <c r="L6" s="45">
        <f>L5*0.8</f>
        <v>213.744</v>
      </c>
      <c r="M6" s="26"/>
      <c r="N6" s="26"/>
      <c r="O6" s="52"/>
      <c r="P6" s="53"/>
      <c r="Q6" s="53"/>
      <c r="R6" s="54"/>
      <c r="S6" s="55"/>
      <c r="T6" s="53"/>
      <c r="U6" s="53"/>
      <c r="V6" s="53"/>
      <c r="W6" s="54"/>
    </row>
    <row r="7" ht="14.25" customHeight="1">
      <c r="A7" s="40" t="s">
        <v>754</v>
      </c>
      <c r="B7" s="41" t="s">
        <v>2117</v>
      </c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62"/>
      <c r="O7" s="52"/>
      <c r="P7" s="53"/>
      <c r="Q7" s="53"/>
      <c r="R7" s="54"/>
      <c r="S7" s="55"/>
      <c r="T7" s="53"/>
      <c r="U7" s="53"/>
      <c r="V7" s="53"/>
      <c r="W7" s="54"/>
    </row>
    <row r="8" ht="14.25" customHeight="1">
      <c r="A8" s="16" t="s">
        <v>6077</v>
      </c>
      <c r="B8" s="41" t="s">
        <v>6745</v>
      </c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69"/>
      <c r="O8" s="52"/>
      <c r="P8" s="53"/>
      <c r="Q8" s="53"/>
      <c r="R8" s="54"/>
      <c r="S8" s="55"/>
      <c r="T8" s="53"/>
      <c r="U8" s="53"/>
      <c r="V8" s="53"/>
      <c r="W8" s="54"/>
    </row>
    <row r="9">
      <c r="A9" s="40" t="s">
        <v>6086</v>
      </c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69"/>
      <c r="O9" s="52"/>
      <c r="P9" s="53"/>
      <c r="Q9" s="53"/>
      <c r="R9" s="54"/>
      <c r="S9" s="55"/>
      <c r="T9" s="53"/>
      <c r="U9" s="53"/>
      <c r="V9" s="53"/>
      <c r="W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25"/>
      <c r="O10" s="52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1900</v>
      </c>
      <c r="D11" s="85">
        <f>SUMIFS(N29:N514,J29:J514,C11,K29:K514,C10)+SUMIF(Q62:Q104,A9,R62:R104)+D16</f>
        <v>0</v>
      </c>
      <c r="E11" s="86" t="s">
        <v>1900</v>
      </c>
      <c r="F11" s="85">
        <f>SUMIFS(N29:N514,J29:J514,E11,K29:K514,E10)+SUMIF(Q62:Q104,A10,R62:R104)+F16</f>
        <v>0</v>
      </c>
      <c r="G11" s="86" t="s">
        <v>1900</v>
      </c>
      <c r="H11" s="85">
        <f>SUMIFS(N29:N514,J29:J514,C11,K29:K514,G10)+SUMIF(Q62:Q104,A11,R62:R104)+H16</f>
        <v>0</v>
      </c>
      <c r="I11" s="86" t="s">
        <v>1900</v>
      </c>
      <c r="J11" s="85">
        <f>SUMIFS(N29:N514,J29:J514,C11,K29:K514,I10)+SUMIF(Q62:Q104,A11,R62:R104)+J16</f>
        <v>0</v>
      </c>
      <c r="K11" s="86" t="s">
        <v>1900</v>
      </c>
      <c r="L11" s="87">
        <f>SUMIFS(N29:N514,J29:J514,C11,K29:K514,K10)+SUMIF(Q62:Q104,A13,R62:R104)+L16</f>
        <v>0</v>
      </c>
      <c r="M11" s="25"/>
      <c r="N11" s="25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2019</v>
      </c>
      <c r="D12" s="85">
        <f>SUMIFS(N36:N514,J36:J514,C12,K36:K514,C10)</f>
        <v>0</v>
      </c>
      <c r="E12" s="86" t="s">
        <v>2019</v>
      </c>
      <c r="F12" s="85">
        <f>SUMIFS(N29:N514,J29:J514,C12,K29:K514,E10)</f>
        <v>0</v>
      </c>
      <c r="G12" s="86" t="s">
        <v>2019</v>
      </c>
      <c r="H12" s="85">
        <f>SUMIFS(N36:N514,J36:J514,C12,K36:K514,G10)</f>
        <v>0</v>
      </c>
      <c r="I12" s="86" t="s">
        <v>2019</v>
      </c>
      <c r="J12" s="85">
        <f>SUMIFS(N29:N514,J29:J514,C12,K29:K514,I10)</f>
        <v>0</v>
      </c>
      <c r="K12" s="86" t="s">
        <v>2019</v>
      </c>
      <c r="L12" s="87">
        <f>SUMIFS(N29:N514,J29:J514,C12,K29:K514,K10)</f>
        <v>0</v>
      </c>
      <c r="M12" s="25"/>
      <c r="N12" s="25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25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25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25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25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25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25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4"/>
      <c r="B19" s="24"/>
      <c r="C19" s="112"/>
      <c r="D19" s="113"/>
      <c r="E19" s="112"/>
      <c r="F19" s="114"/>
      <c r="G19" s="266" t="s">
        <v>6509</v>
      </c>
      <c r="H19" s="116">
        <f>SUMIF(L29:L499,G19,N29:N499)</f>
        <v>0</v>
      </c>
      <c r="I19" s="117" t="s">
        <v>2436</v>
      </c>
      <c r="J19" s="118" t="s">
        <v>2438</v>
      </c>
      <c r="K19" s="119" t="s">
        <v>2440</v>
      </c>
      <c r="L19" s="113"/>
      <c r="M19" s="25"/>
      <c r="N19" s="25"/>
      <c r="O19" s="123" t="str">
        <f>B6</f>
        <v>Isabeli Grassmann</v>
      </c>
      <c r="P19" s="106"/>
      <c r="Q19" s="106"/>
      <c r="R19" s="124"/>
      <c r="S19" s="122"/>
      <c r="T19" s="123" t="str">
        <f>B7</f>
        <v>Helena Cardoso</v>
      </c>
      <c r="U19" s="106"/>
      <c r="V19" s="106"/>
      <c r="W19" s="124"/>
    </row>
    <row r="20">
      <c r="A20" s="125"/>
      <c r="B20" s="125"/>
      <c r="C20" s="126" t="s">
        <v>1900</v>
      </c>
      <c r="D20" s="127">
        <f>SUMIFS(N29:N504,J29:J504,C20,K29:K504,C19)+SUMIF(Q68:Q104,A9,R68:R104)+D25</f>
        <v>0</v>
      </c>
      <c r="E20" s="126" t="s">
        <v>1900</v>
      </c>
      <c r="F20" s="128">
        <f>SUMIFS(N29:N504,J29:J504,C20,K29:K504,E19)+SUMIF(Q68:Q104,A10,R68:R104)+F25</f>
        <v>0</v>
      </c>
      <c r="G20" s="129" t="s">
        <v>2473</v>
      </c>
      <c r="H20" s="130">
        <v>8450.0</v>
      </c>
      <c r="I20" s="131">
        <f>SUMIF(J29:J504,I19,N29:N504)</f>
        <v>943.77</v>
      </c>
      <c r="J20" s="132">
        <f>SUMIF(J29:J504,J19,N29:N504)</f>
        <v>611.7</v>
      </c>
      <c r="K20" s="133" t="s">
        <v>2491</v>
      </c>
      <c r="L20" s="134"/>
      <c r="M20" s="25"/>
      <c r="N20" s="25"/>
      <c r="O20" s="50" t="str">
        <f>IFERROR(__xludf.DUMMYFUNCTION("query(C28:L507,""select Col1,Col3,Col8,Col9 where (Col8 = 'Adiantamento' or Col8 = 'Consumo') and Col9 = '""&amp;B6&amp;""'"",1)"),"Data")</f>
        <v>Data</v>
      </c>
      <c r="P20" s="50" t="str">
        <f>IFERROR(__xludf.DUMMYFUNCTION("""COMPUTED_VALUE"""),"Valor ")</f>
        <v>Valor </v>
      </c>
      <c r="Q20" s="50" t="str">
        <f>IFERROR(__xludf.DUMMYFUNCTION("""COMPUTED_VALUE"""),"Tipo")</f>
        <v>Tipo</v>
      </c>
      <c r="R20" s="51" t="str">
        <f>IFERROR(__xludf.DUMMYFUNCTION("""COMPUTED_VALUE"""),"Funcionário")</f>
        <v>Funcionário</v>
      </c>
      <c r="S20" s="49"/>
      <c r="T20" s="50" t="str">
        <f>IFERROR(__xludf.DUMMYFUNCTION("query(C28:L507,""select Col1,Col3,Col8,Col9 where (Col8 = 'Adiantamento' or Col8 = 'Consumo') and Col9 = '""&amp;B7&amp;""'"",1)"),"Data")</f>
        <v>Data</v>
      </c>
      <c r="U20" s="50" t="str">
        <f>IFERROR(__xludf.DUMMYFUNCTION("""COMPUTED_VALUE"""),"Valor ")</f>
        <v>Valor </v>
      </c>
      <c r="V20" s="50" t="str">
        <f>IFERROR(__xludf.DUMMYFUNCTION("""COMPUTED_VALUE"""),"Tipo")</f>
        <v>Tipo</v>
      </c>
      <c r="W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SUMIFS(N29:N504,J29:J504,C21,K29:K504,C19)</f>
        <v>0</v>
      </c>
      <c r="E21" s="126" t="s">
        <v>2019</v>
      </c>
      <c r="F21" s="128">
        <f>SUMIFS(N29:N504,J29:J504,E21,K29:K504,E19)</f>
        <v>0</v>
      </c>
      <c r="G21" s="86" t="s">
        <v>2522</v>
      </c>
      <c r="H21" s="127">
        <f>SUMIFS(N29:N504,D29:D504,"Saída",J29:J504,"Sangria")</f>
        <v>44970</v>
      </c>
      <c r="I21" s="138"/>
      <c r="J21" s="139"/>
      <c r="K21" s="133" t="s">
        <v>2530</v>
      </c>
      <c r="L21" s="134"/>
      <c r="M21" s="25"/>
      <c r="N21" s="25"/>
      <c r="O21" s="238">
        <f>IFERROR(__xludf.DUMMYFUNCTION("""COMPUTED_VALUE"""),46017.5253125)</f>
        <v>46017.52531</v>
      </c>
      <c r="P21" s="53" t="str">
        <f>IFERROR(__xludf.DUMMYFUNCTION("""COMPUTED_VALUE"""),"R$ 5,00")</f>
        <v>R$ 5,00</v>
      </c>
      <c r="Q21" s="53" t="str">
        <f>IFERROR(__xludf.DUMMYFUNCTION("""COMPUTED_VALUE"""),"Consumo")</f>
        <v>Consumo</v>
      </c>
      <c r="R21" s="54" t="str">
        <f>IFERROR(__xludf.DUMMYFUNCTION("""COMPUTED_VALUE"""),"Isabeli Grassmann")</f>
        <v>Isabeli Grassmann</v>
      </c>
      <c r="S21" s="55"/>
      <c r="T21" s="238">
        <f>IFERROR(__xludf.DUMMYFUNCTION("""COMPUTED_VALUE"""),46017.52459490741)</f>
        <v>46017.52459</v>
      </c>
      <c r="U21" s="53" t="str">
        <f>IFERROR(__xludf.DUMMYFUNCTION("""COMPUTED_VALUE"""),"R$ 5,00")</f>
        <v>R$ 5,00</v>
      </c>
      <c r="V21" s="53" t="str">
        <f>IFERROR(__xludf.DUMMYFUNCTION("""COMPUTED_VALUE"""),"Consumo")</f>
        <v>Consumo</v>
      </c>
      <c r="W21" s="54" t="str">
        <f>IFERROR(__xludf.DUMMYFUNCTION("""COMPUTED_VALUE"""),"Helena Cardoso")</f>
        <v>Helena Cardoso</v>
      </c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SUMIFS(N29:N504,D29:D504,"Entrada",J29:J504,"Sangria")</f>
        <v>2100</v>
      </c>
      <c r="I22" s="144" t="s">
        <v>2556</v>
      </c>
      <c r="J22" s="145"/>
      <c r="K22" s="133" t="s">
        <v>2559</v>
      </c>
      <c r="L22" s="134"/>
      <c r="M22" s="25"/>
      <c r="N22" s="25"/>
      <c r="O22" s="238">
        <f>IFERROR(__xludf.DUMMYFUNCTION("""COMPUTED_VALUE"""),46021.78894675926)</f>
        <v>46021.78895</v>
      </c>
      <c r="P22" s="53" t="str">
        <f>IFERROR(__xludf.DUMMYFUNCTION("""COMPUTED_VALUE"""),"R$ 3,00")</f>
        <v>R$ 3,00</v>
      </c>
      <c r="Q22" s="53" t="str">
        <f>IFERROR(__xludf.DUMMYFUNCTION("""COMPUTED_VALUE"""),"Consumo")</f>
        <v>Consumo</v>
      </c>
      <c r="R22" s="54" t="str">
        <f>IFERROR(__xludf.DUMMYFUNCTION("""COMPUTED_VALUE"""),"Isabeli Grassmann")</f>
        <v>Isabeli Grassmann</v>
      </c>
      <c r="S22" s="55"/>
      <c r="T22" s="238">
        <f>IFERROR(__xludf.DUMMYFUNCTION("""COMPUTED_VALUE"""),46018.94596064815)</f>
        <v>46018.94596</v>
      </c>
      <c r="U22" s="53" t="str">
        <f>IFERROR(__xludf.DUMMYFUNCTION("""COMPUTED_VALUE"""),"R$ 27,30")</f>
        <v>R$ 27,30</v>
      </c>
      <c r="V22" s="53" t="str">
        <f>IFERROR(__xludf.DUMMYFUNCTION("""COMPUTED_VALUE"""),"Consumo")</f>
        <v>Consumo</v>
      </c>
      <c r="W22" s="54" t="str">
        <f>IFERROR(__xludf.DUMMYFUNCTION("""COMPUTED_VALUE"""),"Helena Cardoso")</f>
        <v>Helena Cardoso</v>
      </c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SUMIF(J29:J504,I22,N29:N504)</f>
        <v>0</v>
      </c>
      <c r="J23" s="152"/>
      <c r="K23" s="133" t="s">
        <v>2578</v>
      </c>
      <c r="L23" s="134"/>
      <c r="M23" s="25"/>
      <c r="N23" s="25"/>
      <c r="O23" s="238">
        <f>IFERROR(__xludf.DUMMYFUNCTION("""COMPUTED_VALUE"""),46021.94753472222)</f>
        <v>46021.94753</v>
      </c>
      <c r="P23" s="53" t="str">
        <f>IFERROR(__xludf.DUMMYFUNCTION("""COMPUTED_VALUE"""),"R$ 5,00")</f>
        <v>R$ 5,00</v>
      </c>
      <c r="Q23" s="53" t="str">
        <f>IFERROR(__xludf.DUMMYFUNCTION("""COMPUTED_VALUE"""),"Consumo")</f>
        <v>Consumo</v>
      </c>
      <c r="R23" s="54" t="str">
        <f>IFERROR(__xludf.DUMMYFUNCTION("""COMPUTED_VALUE"""),"Isabeli Grassmann")</f>
        <v>Isabeli Grassmann</v>
      </c>
      <c r="S23" s="55"/>
      <c r="T23" s="238">
        <f>IFERROR(__xludf.DUMMYFUNCTION("""COMPUTED_VALUE"""),46024.958391203705)</f>
        <v>46024.95839</v>
      </c>
      <c r="U23" s="53" t="str">
        <f>IFERROR(__xludf.DUMMYFUNCTION("""COMPUTED_VALUE"""),"R$ 5,00")</f>
        <v>R$ 5,00</v>
      </c>
      <c r="V23" s="53" t="str">
        <f>IFERROR(__xludf.DUMMYFUNCTION("""COMPUTED_VALUE"""),"Consumo")</f>
        <v>Consumo</v>
      </c>
      <c r="W23" s="54" t="str">
        <f>IFERROR(__xludf.DUMMYFUNCTION("""COMPUTED_VALUE"""),"Helena Cardoso")</f>
        <v>Helena Cardoso</v>
      </c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SUMIF(L29:L504,G24,N29:N504)</f>
        <v>2100</v>
      </c>
      <c r="I24" s="157" t="s">
        <v>2593</v>
      </c>
      <c r="J24" s="150"/>
      <c r="K24" s="133" t="s">
        <v>2594</v>
      </c>
      <c r="L24" s="134"/>
      <c r="M24" s="25"/>
      <c r="N24" s="25"/>
      <c r="O24" s="238">
        <f>IFERROR(__xludf.DUMMYFUNCTION("""COMPUTED_VALUE"""),46024.95888888889)</f>
        <v>46024.95889</v>
      </c>
      <c r="P24" s="53" t="str">
        <f>IFERROR(__xludf.DUMMYFUNCTION("""COMPUTED_VALUE"""),"R$ 20,25")</f>
        <v>R$ 20,25</v>
      </c>
      <c r="Q24" s="53" t="str">
        <f>IFERROR(__xludf.DUMMYFUNCTION("""COMPUTED_VALUE"""),"Consumo")</f>
        <v>Consumo</v>
      </c>
      <c r="R24" s="54" t="str">
        <f>IFERROR(__xludf.DUMMYFUNCTION("""COMPUTED_VALUE"""),"Isabeli Grassmann")</f>
        <v>Isabeli Grassmann</v>
      </c>
      <c r="S24" s="55"/>
      <c r="T24" s="238">
        <f>IFERROR(__xludf.DUMMYFUNCTION("""COMPUTED_VALUE"""),46026.915613425925)</f>
        <v>46026.91561</v>
      </c>
      <c r="U24" s="53" t="str">
        <f>IFERROR(__xludf.DUMMYFUNCTION("""COMPUTED_VALUE"""),"R$ 17,11")</f>
        <v>R$ 17,11</v>
      </c>
      <c r="V24" s="53" t="str">
        <f>IFERROR(__xludf.DUMMYFUNCTION("""COMPUTED_VALUE"""),"Consumo")</f>
        <v>Consumo</v>
      </c>
      <c r="W24" s="54" t="str">
        <f>IFERROR(__xludf.DUMMYFUNCTION("""COMPUTED_VALUE"""),"Helena Cardoso")</f>
        <v>Helena Cardoso</v>
      </c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SUMIF(L29:L504,G25,N29:N504)</f>
        <v>0</v>
      </c>
      <c r="I25" s="151">
        <f>SUMIF(J29:J504,I24,N29:N504)</f>
        <v>0</v>
      </c>
      <c r="J25" s="152"/>
      <c r="K25" s="162"/>
      <c r="L25" s="163"/>
      <c r="M25" s="26"/>
      <c r="N25" s="26"/>
      <c r="O25" s="238">
        <f>IFERROR(__xludf.DUMMYFUNCTION("""COMPUTED_VALUE"""),46028.51027777778)</f>
        <v>46028.51028</v>
      </c>
      <c r="P25" s="53" t="str">
        <f>IFERROR(__xludf.DUMMYFUNCTION("""COMPUTED_VALUE"""),"R$ 8,00")</f>
        <v>R$ 8,00</v>
      </c>
      <c r="Q25" s="53" t="str">
        <f>IFERROR(__xludf.DUMMYFUNCTION("""COMPUTED_VALUE"""),"Consumo")</f>
        <v>Consumo</v>
      </c>
      <c r="R25" s="54" t="str">
        <f>IFERROR(__xludf.DUMMYFUNCTION("""COMPUTED_VALUE"""),"Isabeli Grassmann")</f>
        <v>Isabeli Grassmann</v>
      </c>
      <c r="S25" s="55"/>
      <c r="T25" s="238">
        <f>IFERROR(__xludf.DUMMYFUNCTION("""COMPUTED_VALUE"""),46028.50990740741)</f>
        <v>46028.50991</v>
      </c>
      <c r="U25" s="53" t="str">
        <f>IFERROR(__xludf.DUMMYFUNCTION("""COMPUTED_VALUE"""),"R$ 41,39")</f>
        <v>R$ 41,39</v>
      </c>
      <c r="V25" s="53" t="str">
        <f>IFERROR(__xludf.DUMMYFUNCTION("""COMPUTED_VALUE"""),"Consumo")</f>
        <v>Consumo</v>
      </c>
      <c r="W25" s="54" t="str">
        <f>IFERROR(__xludf.DUMMYFUNCTION("""COMPUTED_VALUE"""),"Helena Cardoso")</f>
        <v>Helena Cardoso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238">
        <f>IFERROR(__xludf.DUMMYFUNCTION("""COMPUTED_VALUE"""),46028.972037037034)</f>
        <v>46028.97204</v>
      </c>
      <c r="P26" s="79" t="str">
        <f>IFERROR(__xludf.DUMMYFUNCTION("""COMPUTED_VALUE"""),"R$ 3,00")</f>
        <v>R$ 3,00</v>
      </c>
      <c r="Q26" s="79" t="str">
        <f>IFERROR(__xludf.DUMMYFUNCTION("""COMPUTED_VALUE"""),"Consumo")</f>
        <v>Consumo</v>
      </c>
      <c r="R26" s="80" t="str">
        <f>IFERROR(__xludf.DUMMYFUNCTION("""COMPUTED_VALUE"""),"Isabeli Grassmann")</f>
        <v>Isabeli Grassmann</v>
      </c>
      <c r="S26" s="81"/>
      <c r="T26" s="238">
        <f>IFERROR(__xludf.DUMMYFUNCTION("""COMPUTED_VALUE"""),46031.80320601852)</f>
        <v>46031.80321</v>
      </c>
      <c r="U26" s="79" t="str">
        <f>IFERROR(__xludf.DUMMYFUNCTION("""COMPUTED_VALUE"""),"R$ 21,48")</f>
        <v>R$ 21,48</v>
      </c>
      <c r="V26" s="79" t="str">
        <f>IFERROR(__xludf.DUMMYFUNCTION("""COMPUTED_VALUE"""),"Consumo")</f>
        <v>Consumo</v>
      </c>
      <c r="W26" s="80" t="str">
        <f>IFERROR(__xludf.DUMMYFUNCTION("""COMPUTED_VALUE"""),"Helena Cardoso")</f>
        <v>Helena Cardoso</v>
      </c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04"/>
      <c r="N27" s="167"/>
      <c r="O27" s="267">
        <f>IFERROR(__xludf.DUMMYFUNCTION("""COMPUTED_VALUE"""),46029.75625)</f>
        <v>46029.75625</v>
      </c>
      <c r="P27" s="89" t="str">
        <f>IFERROR(__xludf.DUMMYFUNCTION("""COMPUTED_VALUE"""),"R$ 3,00")</f>
        <v>R$ 3,00</v>
      </c>
      <c r="Q27" s="89" t="str">
        <f>IFERROR(__xludf.DUMMYFUNCTION("""COMPUTED_VALUE"""),"Consumo")</f>
        <v>Consumo</v>
      </c>
      <c r="R27" s="90" t="str">
        <f>IFERROR(__xludf.DUMMYFUNCTION("""COMPUTED_VALUE"""),"Isabeli Grassmann")</f>
        <v>Isabeli Grassmann</v>
      </c>
      <c r="S27" s="91"/>
      <c r="T27" s="267">
        <f>IFERROR(__xludf.DUMMYFUNCTION("""COMPUTED_VALUE"""),46032.933958333335)</f>
        <v>46032.93396</v>
      </c>
      <c r="U27" s="89" t="str">
        <f>IFERROR(__xludf.DUMMYFUNCTION("""COMPUTED_VALUE"""),"R$ 5,00")</f>
        <v>R$ 5,00</v>
      </c>
      <c r="V27" s="89" t="str">
        <f>IFERROR(__xludf.DUMMYFUNCTION("""COMPUTED_VALUE"""),"Consumo")</f>
        <v>Consumo</v>
      </c>
      <c r="W27" s="90" t="str">
        <f>IFERROR(__xludf.DUMMYFUNCTION("""COMPUTED_VALUE"""),"Helena Cardoso")</f>
        <v>Helena Cardoso</v>
      </c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268" t="s">
        <v>2647</v>
      </c>
      <c r="M28" s="269" t="s">
        <v>8</v>
      </c>
      <c r="N28" s="167"/>
      <c r="O28" s="267">
        <f>IFERROR(__xludf.DUMMYFUNCTION("""COMPUTED_VALUE"""),46031.9462037037)</f>
        <v>46031.9462</v>
      </c>
      <c r="P28" s="89" t="str">
        <f>IFERROR(__xludf.DUMMYFUNCTION("""COMPUTED_VALUE"""),"R$ 3,00")</f>
        <v>R$ 3,00</v>
      </c>
      <c r="Q28" s="89" t="str">
        <f>IFERROR(__xludf.DUMMYFUNCTION("""COMPUTED_VALUE"""),"Consumo")</f>
        <v>Consumo</v>
      </c>
      <c r="R28" s="90" t="str">
        <f>IFERROR(__xludf.DUMMYFUNCTION("""COMPUTED_VALUE"""),"Isabeli Grassmann")</f>
        <v>Isabeli Grassmann</v>
      </c>
      <c r="S28" s="91"/>
      <c r="T28" s="267">
        <f>IFERROR(__xludf.DUMMYFUNCTION("""COMPUTED_VALUE"""),46038.96462962963)</f>
        <v>46038.96463</v>
      </c>
      <c r="U28" s="89" t="str">
        <f>IFERROR(__xludf.DUMMYFUNCTION("""COMPUTED_VALUE"""),"R$ 200,00")</f>
        <v>R$ 200,00</v>
      </c>
      <c r="V28" s="89" t="str">
        <f>IFERROR(__xludf.DUMMYFUNCTION("""COMPUTED_VALUE"""),"Adiantamento")</f>
        <v>Adiantamento</v>
      </c>
      <c r="W28" s="90" t="str">
        <f>IFERROR(__xludf.DUMMYFUNCTION("""COMPUTED_VALUE"""),"Helena Cardoso")</f>
        <v>Helena Cardoso</v>
      </c>
    </row>
    <row r="29" ht="14.25" customHeight="1">
      <c r="A29" s="178"/>
      <c r="B29" s="12">
        <v>1881892.0</v>
      </c>
      <c r="C29" s="13">
        <v>46014.66133101852</v>
      </c>
      <c r="D29" s="179" t="s">
        <v>152</v>
      </c>
      <c r="E29" s="180" t="s">
        <v>6831</v>
      </c>
      <c r="F29" s="188"/>
      <c r="G29" s="179" t="s">
        <v>158</v>
      </c>
      <c r="H29" s="182"/>
      <c r="I29" s="182"/>
      <c r="J29" s="183" t="s">
        <v>2669</v>
      </c>
      <c r="K29" s="183"/>
      <c r="L29" s="270" t="str">
        <f>IFERROR(__xludf.DUMMYFUNCTION("IF(
  AND(D29=""Saída"", J29=""Sangria""),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IFERROR(__xludf.DUMMYFUNCTION("ifna(VALUE(REGEXEXTRACT(E29,""[0-9.]+[,]+[0-9]+"")))"),36.9)</f>
        <v>36.9</v>
      </c>
      <c r="O29" s="267">
        <f>IFERROR(__xludf.DUMMYFUNCTION("""COMPUTED_VALUE"""),46034.95443287037)</f>
        <v>46034.95443</v>
      </c>
      <c r="P29" s="89" t="str">
        <f>IFERROR(__xludf.DUMMYFUNCTION("""COMPUTED_VALUE"""),"R$ 43,68")</f>
        <v>R$ 43,68</v>
      </c>
      <c r="Q29" s="89" t="str">
        <f>IFERROR(__xludf.DUMMYFUNCTION("""COMPUTED_VALUE"""),"Consumo")</f>
        <v>Consumo</v>
      </c>
      <c r="R29" s="90" t="str">
        <f>IFERROR(__xludf.DUMMYFUNCTION("""COMPUTED_VALUE"""),"Isabeli Grassmann")</f>
        <v>Isabeli Grassmann</v>
      </c>
      <c r="S29" s="91"/>
      <c r="T29" s="267">
        <f>IFERROR(__xludf.DUMMYFUNCTION("""COMPUTED_VALUE"""),46041.95842592593)</f>
        <v>46041.95843</v>
      </c>
      <c r="U29" s="89" t="str">
        <f>IFERROR(__xludf.DUMMYFUNCTION("""COMPUTED_VALUE"""),"R$ 17,86")</f>
        <v>R$ 17,86</v>
      </c>
      <c r="V29" s="89" t="str">
        <f>IFERROR(__xludf.DUMMYFUNCTION("""COMPUTED_VALUE"""),"Consumo")</f>
        <v>Consumo</v>
      </c>
      <c r="W29" s="90" t="str">
        <f>IFERROR(__xludf.DUMMYFUNCTION("""COMPUTED_VALUE"""),"Helena Cardoso")</f>
        <v>Helena Cardoso</v>
      </c>
    </row>
    <row r="30" ht="14.25" customHeight="1">
      <c r="A30" s="178"/>
      <c r="B30" s="314"/>
      <c r="C30" s="315"/>
      <c r="D30" s="316"/>
      <c r="E30" s="317"/>
      <c r="F30" s="316"/>
      <c r="G30" s="316"/>
      <c r="H30" s="186"/>
      <c r="I30" s="186"/>
      <c r="J30" s="187"/>
      <c r="K30" s="187"/>
      <c r="L30" s="270" t="str">
        <f>IFERROR(__xludf.DUMMYFUNCTION("IF(
  AND(D30=""Saída"", J30=""Sangria""),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2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85" t="str">
        <f>IFERROR(__xludf.DUMMYFUNCTION("ifna(VALUE(REGEXEXTRACT(E30,""[0-9.]+[,]+[0-9]+"")))"),"")</f>
        <v/>
      </c>
      <c r="O30" s="267">
        <f>IFERROR(__xludf.DUMMYFUNCTION("""COMPUTED_VALUE"""),46035.97798611112)</f>
        <v>46035.97799</v>
      </c>
      <c r="P30" s="89" t="str">
        <f>IFERROR(__xludf.DUMMYFUNCTION("""COMPUTED_VALUE"""),"R$ 50,19")</f>
        <v>R$ 50,19</v>
      </c>
      <c r="Q30" s="89" t="str">
        <f>IFERROR(__xludf.DUMMYFUNCTION("""COMPUTED_VALUE"""),"Consumo")</f>
        <v>Consumo</v>
      </c>
      <c r="R30" s="90" t="str">
        <f>IFERROR(__xludf.DUMMYFUNCTION("""COMPUTED_VALUE"""),"Isabeli Grassmann")</f>
        <v>Isabeli Grassmann</v>
      </c>
      <c r="S30" s="91"/>
      <c r="T30" s="267">
        <f>IFERROR(__xludf.DUMMYFUNCTION("""COMPUTED_VALUE"""),46044.95046296297)</f>
        <v>46044.95046</v>
      </c>
      <c r="U30" s="89" t="str">
        <f>IFERROR(__xludf.DUMMYFUNCTION("""COMPUTED_VALUE"""),"R$ 42,39")</f>
        <v>R$ 42,39</v>
      </c>
      <c r="V30" s="89" t="str">
        <f>IFERROR(__xludf.DUMMYFUNCTION("""COMPUTED_VALUE"""),"Consumo")</f>
        <v>Consumo</v>
      </c>
      <c r="W30" s="90" t="str">
        <f>IFERROR(__xludf.DUMMYFUNCTION("""COMPUTED_VALUE"""),"Helena Cardoso")</f>
        <v>Helena Cardoso</v>
      </c>
    </row>
    <row r="31" ht="14.25" customHeight="1">
      <c r="A31" s="178"/>
      <c r="B31" s="12">
        <v>1885804.0</v>
      </c>
      <c r="C31" s="13">
        <v>46017.52459490741</v>
      </c>
      <c r="D31" s="179" t="s">
        <v>81</v>
      </c>
      <c r="E31" s="180" t="s">
        <v>659</v>
      </c>
      <c r="F31" s="181"/>
      <c r="G31" s="179" t="s">
        <v>5810</v>
      </c>
      <c r="H31" s="186"/>
      <c r="I31" s="186"/>
      <c r="J31" s="187" t="s">
        <v>2019</v>
      </c>
      <c r="K31" s="187" t="s">
        <v>2117</v>
      </c>
      <c r="L31" s="270" t="str">
        <f>IFERROR(__xludf.DUMMYFUNCTION("IF(
  AND(D31=""Saída"", J31=""Sangria""),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3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IFERROR(__xludf.DUMMYFUNCTION("ifna(VALUE(REGEXEXTRACT(E31,""[0-9.]+[,]+[0-9]+"")))"),5.0)</f>
        <v>5</v>
      </c>
      <c r="O31" s="267">
        <f>IFERROR(__xludf.DUMMYFUNCTION("""COMPUTED_VALUE"""),46036.93107638889)</f>
        <v>46036.93108</v>
      </c>
      <c r="P31" s="89" t="str">
        <f>IFERROR(__xludf.DUMMYFUNCTION("""COMPUTED_VALUE"""),"R$ 3,00")</f>
        <v>R$ 3,00</v>
      </c>
      <c r="Q31" s="89" t="str">
        <f>IFERROR(__xludf.DUMMYFUNCTION("""COMPUTED_VALUE"""),"Consumo")</f>
        <v>Consumo</v>
      </c>
      <c r="R31" s="90" t="str">
        <f>IFERROR(__xludf.DUMMYFUNCTION("""COMPUTED_VALUE"""),"Isabeli Grassmann")</f>
        <v>Isabeli Grassmann</v>
      </c>
      <c r="S31" s="91"/>
      <c r="T31" s="89"/>
      <c r="U31" s="89"/>
      <c r="V31" s="89"/>
      <c r="W31" s="90"/>
    </row>
    <row r="32" ht="14.25" customHeight="1">
      <c r="A32" s="178"/>
      <c r="B32" s="12">
        <v>1885806.0</v>
      </c>
      <c r="C32" s="13">
        <v>46017.52494212963</v>
      </c>
      <c r="D32" s="179" t="s">
        <v>81</v>
      </c>
      <c r="E32" s="180" t="s">
        <v>6837</v>
      </c>
      <c r="F32" s="181"/>
      <c r="G32" s="179" t="s">
        <v>6838</v>
      </c>
      <c r="H32" s="186"/>
      <c r="I32" s="186"/>
      <c r="J32" s="187" t="s">
        <v>2019</v>
      </c>
      <c r="K32" s="187" t="s">
        <v>6745</v>
      </c>
      <c r="L32" s="270" t="str">
        <f>IFERROR(__xludf.DUMMYFUNCTION("IF(
  AND(D32=""Saída"", J32=""Sangria""),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2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IFERROR(__xludf.DUMMYFUNCTION("ifna(VALUE(REGEXEXTRACT(E32,""[0-9.]+[,]+[0-9]+"")))"),22.01)</f>
        <v>22.01</v>
      </c>
      <c r="O32" s="267">
        <f>IFERROR(__xludf.DUMMYFUNCTION("""COMPUTED_VALUE"""),46037.9905787037)</f>
        <v>46037.99058</v>
      </c>
      <c r="P32" s="89" t="str">
        <f>IFERROR(__xludf.DUMMYFUNCTION("""COMPUTED_VALUE"""),"R$ 21,61")</f>
        <v>R$ 21,61</v>
      </c>
      <c r="Q32" s="89" t="str">
        <f>IFERROR(__xludf.DUMMYFUNCTION("""COMPUTED_VALUE"""),"Consumo")</f>
        <v>Consumo</v>
      </c>
      <c r="R32" s="90" t="str">
        <f>IFERROR(__xludf.DUMMYFUNCTION("""COMPUTED_VALUE"""),"Isabeli Grassmann")</f>
        <v>Isabeli Grassmann</v>
      </c>
      <c r="S32" s="91"/>
      <c r="T32" s="89"/>
      <c r="U32" s="89"/>
      <c r="V32" s="89"/>
      <c r="W32" s="90"/>
    </row>
    <row r="33" ht="14.25" customHeight="1">
      <c r="A33" s="178"/>
      <c r="B33" s="12">
        <v>1885807.0</v>
      </c>
      <c r="C33" s="13">
        <v>46017.5253125</v>
      </c>
      <c r="D33" s="179" t="s">
        <v>81</v>
      </c>
      <c r="E33" s="180" t="s">
        <v>659</v>
      </c>
      <c r="F33" s="181"/>
      <c r="G33" s="179" t="s">
        <v>568</v>
      </c>
      <c r="H33" s="186"/>
      <c r="I33" s="186"/>
      <c r="J33" s="187" t="s">
        <v>2019</v>
      </c>
      <c r="K33" s="187" t="s">
        <v>2078</v>
      </c>
      <c r="L33" s="270" t="str">
        <f>IFERROR(__xludf.DUMMYFUNCTION("IF(
  AND(D33=""Saída"", J33=""Sangria""),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4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IFERROR(__xludf.DUMMYFUNCTION("ifna(VALUE(REGEXEXTRACT(E33,""[0-9.]+[,]+[0-9]+"")))"),5.0)</f>
        <v>5</v>
      </c>
      <c r="O33" s="267">
        <f>IFERROR(__xludf.DUMMYFUNCTION("""COMPUTED_VALUE"""),46041.95815972222)</f>
        <v>46041.95816</v>
      </c>
      <c r="P33" s="89" t="str">
        <f>IFERROR(__xludf.DUMMYFUNCTION("""COMPUTED_VALUE"""),"R$ 3,00")</f>
        <v>R$ 3,00</v>
      </c>
      <c r="Q33" s="89" t="str">
        <f>IFERROR(__xludf.DUMMYFUNCTION("""COMPUTED_VALUE"""),"Consumo")</f>
        <v>Consumo</v>
      </c>
      <c r="R33" s="90" t="str">
        <f>IFERROR(__xludf.DUMMYFUNCTION("""COMPUTED_VALUE"""),"Isabeli Grassmann")</f>
        <v>Isabeli Grassmann</v>
      </c>
      <c r="S33" s="91"/>
      <c r="T33" s="89"/>
      <c r="U33" s="89"/>
      <c r="V33" s="89"/>
      <c r="W33" s="90"/>
    </row>
    <row r="34" ht="14.25" customHeight="1">
      <c r="A34" s="178"/>
      <c r="B34" s="12">
        <v>1885809.0</v>
      </c>
      <c r="C34" s="13">
        <v>46017.52579861111</v>
      </c>
      <c r="D34" s="179" t="s">
        <v>81</v>
      </c>
      <c r="E34" s="180" t="s">
        <v>6841</v>
      </c>
      <c r="F34" s="181"/>
      <c r="G34" s="179" t="s">
        <v>6842</v>
      </c>
      <c r="H34" s="186"/>
      <c r="I34" s="186"/>
      <c r="J34" s="187" t="s">
        <v>2019</v>
      </c>
      <c r="K34" s="187" t="s">
        <v>6746</v>
      </c>
      <c r="L34" s="270" t="str">
        <f>IFERROR(__xludf.DUMMYFUNCTION("IF(
  AND(D34=""Saída"", J34=""Sangria""),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2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85">
        <f>IFERROR(__xludf.DUMMYFUNCTION("ifna(VALUE(REGEXEXTRACT(E34,""[0-9.]+[,]+[0-9]+"")))"),31.93)</f>
        <v>31.93</v>
      </c>
      <c r="O34" s="267">
        <f>IFERROR(__xludf.DUMMYFUNCTION("""COMPUTED_VALUE"""),46042.924305555556)</f>
        <v>46042.92431</v>
      </c>
      <c r="P34" s="109" t="str">
        <f>IFERROR(__xludf.DUMMYFUNCTION("""COMPUTED_VALUE"""),"R$ 83,49")</f>
        <v>R$ 83,49</v>
      </c>
      <c r="Q34" s="109" t="str">
        <f>IFERROR(__xludf.DUMMYFUNCTION("""COMPUTED_VALUE"""),"Consumo")</f>
        <v>Consumo</v>
      </c>
      <c r="R34" s="111" t="str">
        <f>IFERROR(__xludf.DUMMYFUNCTION("""COMPUTED_VALUE"""),"Isabeli Grassmann")</f>
        <v>Isabeli Grassmann</v>
      </c>
      <c r="S34" s="110"/>
      <c r="T34" s="109"/>
      <c r="U34" s="109"/>
      <c r="V34" s="109"/>
      <c r="W34" s="111"/>
    </row>
    <row r="35" ht="18.75" customHeight="1">
      <c r="A35" s="178"/>
      <c r="B35" s="12">
        <v>1885817.0</v>
      </c>
      <c r="C35" s="13">
        <v>46017.530127314814</v>
      </c>
      <c r="D35" s="179" t="s">
        <v>81</v>
      </c>
      <c r="E35" s="180" t="s">
        <v>446</v>
      </c>
      <c r="F35" s="181"/>
      <c r="G35" s="179" t="s">
        <v>128</v>
      </c>
      <c r="H35" s="186"/>
      <c r="I35" s="186"/>
      <c r="J35" s="187" t="s">
        <v>2735</v>
      </c>
      <c r="K35" s="187" t="s">
        <v>6576</v>
      </c>
      <c r="L35" s="270" t="str">
        <f>IFERROR(__xludf.DUMMYFUNCTION("IF(
  AND(D35=""Saída"", J35=""Sangria""),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"),"Confirmada")</f>
        <v>Confirmada</v>
      </c>
      <c r="M35" s="274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IFERROR(__xludf.DUMMYFUNCTION("ifna(VALUE(REGEXEXTRACT(E35,""[0-9.]+[,]+[0-9]+"")))"),700.0)</f>
        <v>700</v>
      </c>
      <c r="O35" s="275"/>
      <c r="P35" s="25"/>
      <c r="Q35" s="25"/>
      <c r="R35" s="25"/>
      <c r="S35" s="110"/>
      <c r="T35" s="25"/>
      <c r="U35" s="25"/>
      <c r="V35" s="25"/>
      <c r="W35" s="25"/>
    </row>
    <row r="36" ht="14.25" customHeight="1">
      <c r="A36" s="178"/>
      <c r="B36" s="12">
        <v>1885821.0</v>
      </c>
      <c r="C36" s="13">
        <v>46017.53158564815</v>
      </c>
      <c r="D36" s="179" t="s">
        <v>81</v>
      </c>
      <c r="E36" s="180" t="s">
        <v>5289</v>
      </c>
      <c r="F36" s="181"/>
      <c r="G36" s="179" t="s">
        <v>6851</v>
      </c>
      <c r="H36" s="186"/>
      <c r="I36" s="186"/>
      <c r="J36" s="187"/>
      <c r="K36" s="187"/>
      <c r="L36" s="270" t="str">
        <f>IFERROR(__xludf.DUMMYFUNCTION("IF(
  AND(D36=""Saída"", J36=""Sangria""),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2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IFERROR(__xludf.DUMMYFUNCTION("ifna(VALUE(REGEXEXTRACT(E36,""[0-9.]+[,]+[0-9]+"")))"),0.01)</f>
        <v>0.01</v>
      </c>
      <c r="O36" s="25"/>
      <c r="P36" s="25"/>
      <c r="Q36" s="25"/>
      <c r="R36" s="25"/>
      <c r="S36" s="110"/>
      <c r="T36" s="25"/>
      <c r="U36" s="25"/>
      <c r="V36" s="25"/>
      <c r="W36" s="25"/>
    </row>
    <row r="37" ht="14.25" customHeight="1">
      <c r="A37" s="178"/>
      <c r="B37" s="12">
        <v>1886637.0</v>
      </c>
      <c r="C37" s="13">
        <v>46017.728171296294</v>
      </c>
      <c r="D37" s="179" t="s">
        <v>81</v>
      </c>
      <c r="E37" s="180" t="s">
        <v>6852</v>
      </c>
      <c r="F37" s="181"/>
      <c r="G37" s="179" t="s">
        <v>4041</v>
      </c>
      <c r="H37" s="186"/>
      <c r="I37" s="186"/>
      <c r="J37" s="187" t="s">
        <v>3151</v>
      </c>
      <c r="K37" s="187"/>
      <c r="L37" s="270" t="str">
        <f>IFERROR(__xludf.DUMMYFUNCTION("IF(
  AND(D37=""Saída"", J37=""Sangria""),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74" t="str">
        <f>IFERROR(__xludf.DUMMYFUNCTION("IF(J37=""Compra de Mercadorias"",
   IF(
      COUNTIF(ARRAYFORMULA(TRIM(CLEAN(TO_TEXT(Notas!BS:BS)))), TRIM(CLEAN(TO_TEXT(B37)))) &gt; 0,
      ""Encontrada"",
      ""Não Encontrada""
   ),
"""")"),"Não Encontrada")</f>
        <v>Não Encontrada</v>
      </c>
      <c r="N37" s="185">
        <f>IFERROR(__xludf.DUMMYFUNCTION("ifna(VALUE(REGEXEXTRACT(E37,""[0-9.]+[,]+[0-9]+"")))"),226.15)</f>
        <v>226.15</v>
      </c>
      <c r="O37" s="193" t="str">
        <f>B8</f>
        <v>Gabriel Azevedo</v>
      </c>
      <c r="P37" s="106"/>
      <c r="Q37" s="106"/>
      <c r="R37" s="106"/>
      <c r="S37" s="110"/>
      <c r="T37" s="123" t="str">
        <f>B9</f>
        <v/>
      </c>
      <c r="U37" s="106"/>
      <c r="V37" s="106"/>
      <c r="W37" s="124"/>
    </row>
    <row r="38" ht="14.25" customHeight="1">
      <c r="A38" s="178"/>
      <c r="B38" s="12">
        <v>1886855.0</v>
      </c>
      <c r="C38" s="13">
        <v>46017.76241898148</v>
      </c>
      <c r="D38" s="179" t="s">
        <v>81</v>
      </c>
      <c r="E38" s="180" t="s">
        <v>6853</v>
      </c>
      <c r="F38" s="181"/>
      <c r="G38" s="179" t="s">
        <v>6854</v>
      </c>
      <c r="H38" s="186"/>
      <c r="I38" s="186"/>
      <c r="J38" s="187" t="s">
        <v>2436</v>
      </c>
      <c r="K38" s="187"/>
      <c r="L38" s="270" t="str">
        <f>IFERROR(__xludf.DUMMYFUNCTION("IF(
  AND(D38=""Saída"", J38=""Sangria""),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2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IFERROR(__xludf.DUMMYFUNCTION("ifna(VALUE(REGEXEXTRACT(E38,""[0-9.]+[,]+[0-9]+"")))"),260.0)</f>
        <v>260</v>
      </c>
      <c r="O38" s="46" t="str">
        <f>IFERROR(__xludf.DUMMYFUNCTION("query(C28:L507,""select Col1,Col3,Col8,Col9 where (Col8 = 'Adiantamento' or Col8 = 'Consumo') and Col9 = '""&amp;B8&amp;""'"",1)"),"Data")</f>
        <v>Data</v>
      </c>
      <c r="P38" s="47" t="str">
        <f>IFERROR(__xludf.DUMMYFUNCTION("""COMPUTED_VALUE"""),"Valor ")</f>
        <v>Valor </v>
      </c>
      <c r="Q38" s="47" t="str">
        <f>IFERROR(__xludf.DUMMYFUNCTION("""COMPUTED_VALUE"""),"Tipo")</f>
        <v>Tipo</v>
      </c>
      <c r="R38" s="47" t="str">
        <f>IFERROR(__xludf.DUMMYFUNCTION("""COMPUTED_VALUE"""),"Funcionário")</f>
        <v>Funcionário</v>
      </c>
      <c r="S38" s="49"/>
      <c r="T38" s="50" t="str">
        <f>IFERROR(__xludf.DUMMYFUNCTION("query(C28:L507,""select Col1,Col3,Col8,Col9 where (Col8 = 'Adiantamento' or Col8 = 'Consumo') and Col9 = '""&amp;B9&amp;""'"",1)"),"Data")</f>
        <v>Data</v>
      </c>
      <c r="U38" s="50" t="str">
        <f>IFERROR(__xludf.DUMMYFUNCTION("""COMPUTED_VALUE"""),"Valor ")</f>
        <v>Valor </v>
      </c>
      <c r="V38" s="50" t="str">
        <f>IFERROR(__xludf.DUMMYFUNCTION("""COMPUTED_VALUE"""),"Tipo")</f>
        <v>Tipo</v>
      </c>
      <c r="W38" s="51" t="str">
        <f>IFERROR(__xludf.DUMMYFUNCTION("""COMPUTED_VALUE"""),"Funcionário")</f>
        <v>Funcionário</v>
      </c>
    </row>
    <row r="39" ht="21.75" customHeight="1">
      <c r="A39" s="178"/>
      <c r="B39" s="12">
        <v>1886857.0</v>
      </c>
      <c r="C39" s="13">
        <v>46017.76256944444</v>
      </c>
      <c r="D39" s="179" t="s">
        <v>152</v>
      </c>
      <c r="E39" s="180" t="s">
        <v>713</v>
      </c>
      <c r="F39" s="181"/>
      <c r="G39" s="179" t="s">
        <v>267</v>
      </c>
      <c r="H39" s="186"/>
      <c r="I39" s="186"/>
      <c r="J39" s="187" t="s">
        <v>2669</v>
      </c>
      <c r="K39" s="187"/>
      <c r="L39" s="270" t="str">
        <f>IFERROR(__xludf.DUMMYFUNCTION("IF(
  AND(D39=""Saída"", J39=""Sangria""),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74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IFERROR(__xludf.DUMMYFUNCTION("ifna(VALUE(REGEXEXTRACT(E39,""[0-9.]+[,]+[0-9]+"")))"),50.0)</f>
        <v>50</v>
      </c>
      <c r="O39" s="52">
        <f>IFERROR(__xludf.DUMMYFUNCTION("""COMPUTED_VALUE"""),46017.52494212963)</f>
        <v>46017.52494</v>
      </c>
      <c r="P39" s="53" t="str">
        <f>IFERROR(__xludf.DUMMYFUNCTION("""COMPUTED_VALUE"""),"R$ 22,01")</f>
        <v>R$ 22,01</v>
      </c>
      <c r="Q39" s="53" t="str">
        <f>IFERROR(__xludf.DUMMYFUNCTION("""COMPUTED_VALUE"""),"Consumo")</f>
        <v>Consumo</v>
      </c>
      <c r="R39" s="53" t="str">
        <f>IFERROR(__xludf.DUMMYFUNCTION("""COMPUTED_VALUE"""),"Gabriel Azevedo")</f>
        <v>Gabriel Azevedo</v>
      </c>
      <c r="S39" s="55"/>
      <c r="T39" s="53"/>
      <c r="U39" s="53"/>
      <c r="V39" s="53"/>
      <c r="W39" s="54"/>
    </row>
    <row r="40" ht="14.25" customHeight="1">
      <c r="A40" s="178"/>
      <c r="B40" s="12">
        <v>1886944.0</v>
      </c>
      <c r="C40" s="13">
        <v>46017.77615740741</v>
      </c>
      <c r="D40" s="179" t="s">
        <v>81</v>
      </c>
      <c r="E40" s="180" t="s">
        <v>4106</v>
      </c>
      <c r="F40" s="188"/>
      <c r="G40" s="179" t="s">
        <v>381</v>
      </c>
      <c r="H40" s="186"/>
      <c r="I40" s="186"/>
      <c r="J40" s="187" t="s">
        <v>2735</v>
      </c>
      <c r="K40" s="187" t="s">
        <v>6576</v>
      </c>
      <c r="L40" s="270" t="str">
        <f>IFERROR(__xludf.DUMMYFUNCTION("IF(
  AND(D40=""Saída"", J40=""Sangria""),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"),"Confirmada")</f>
        <v>Confirmada</v>
      </c>
      <c r="M40" s="272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85">
        <f>IFERROR(__xludf.DUMMYFUNCTION("ifna(VALUE(REGEXEXTRACT(E40,""[0-9.]+[,]+[0-9]+"")))"),750.0)</f>
        <v>750</v>
      </c>
      <c r="O40" s="52">
        <f>IFERROR(__xludf.DUMMYFUNCTION("""COMPUTED_VALUE"""),46017.913877314815)</f>
        <v>46017.91388</v>
      </c>
      <c r="P40" s="53" t="str">
        <f>IFERROR(__xludf.DUMMYFUNCTION("""COMPUTED_VALUE"""),"R$ 16,59")</f>
        <v>R$ 16,59</v>
      </c>
      <c r="Q40" s="53" t="str">
        <f>IFERROR(__xludf.DUMMYFUNCTION("""COMPUTED_VALUE"""),"Consumo")</f>
        <v>Consumo</v>
      </c>
      <c r="R40" s="53" t="str">
        <f>IFERROR(__xludf.DUMMYFUNCTION("""COMPUTED_VALUE"""),"Gabriel Azevedo")</f>
        <v>Gabriel Azevedo</v>
      </c>
      <c r="S40" s="55"/>
      <c r="T40" s="53"/>
      <c r="U40" s="53"/>
      <c r="V40" s="53"/>
      <c r="W40" s="54"/>
    </row>
    <row r="41" ht="14.25" customHeight="1">
      <c r="A41" s="178"/>
      <c r="B41" s="12">
        <v>1887635.0</v>
      </c>
      <c r="C41" s="13">
        <v>46017.913877314815</v>
      </c>
      <c r="D41" s="179" t="s">
        <v>81</v>
      </c>
      <c r="E41" s="180" t="s">
        <v>6859</v>
      </c>
      <c r="F41" s="181"/>
      <c r="G41" s="179" t="s">
        <v>6779</v>
      </c>
      <c r="H41" s="186"/>
      <c r="I41" s="186"/>
      <c r="J41" s="187" t="s">
        <v>2019</v>
      </c>
      <c r="K41" s="187" t="s">
        <v>6745</v>
      </c>
      <c r="L41" s="270" t="str">
        <f>IFERROR(__xludf.DUMMYFUNCTION("IF(
  AND(D41=""Saída"", J41=""Sangria""),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74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IFERROR(__xludf.DUMMYFUNCTION("ifna(VALUE(REGEXEXTRACT(E41,""[0-9.]+[,]+[0-9]+"")))"),16.59)</f>
        <v>16.59</v>
      </c>
      <c r="O41" s="52">
        <f>IFERROR(__xludf.DUMMYFUNCTION("""COMPUTED_VALUE"""),46021.69289351851)</f>
        <v>46021.69289</v>
      </c>
      <c r="P41" s="53" t="str">
        <f>IFERROR(__xludf.DUMMYFUNCTION("""COMPUTED_VALUE"""),"R$ 23,52")</f>
        <v>R$ 23,52</v>
      </c>
      <c r="Q41" s="53" t="str">
        <f>IFERROR(__xludf.DUMMYFUNCTION("""COMPUTED_VALUE"""),"Consumo")</f>
        <v>Consumo</v>
      </c>
      <c r="R41" s="53" t="str">
        <f>IFERROR(__xludf.DUMMYFUNCTION("""COMPUTED_VALUE"""),"Gabriel Azevedo")</f>
        <v>Gabriel Azevedo</v>
      </c>
      <c r="S41" s="55"/>
      <c r="T41" s="53"/>
      <c r="U41" s="53"/>
      <c r="V41" s="53"/>
      <c r="W41" s="54"/>
    </row>
    <row r="42" ht="14.25" customHeight="1">
      <c r="A42" s="178"/>
      <c r="B42" s="12">
        <v>1888271.0</v>
      </c>
      <c r="C42" s="13">
        <v>46017.99951388889</v>
      </c>
      <c r="D42" s="179" t="s">
        <v>81</v>
      </c>
      <c r="E42" s="180" t="s">
        <v>146</v>
      </c>
      <c r="F42" s="181"/>
      <c r="G42" s="179" t="s">
        <v>381</v>
      </c>
      <c r="H42" s="186"/>
      <c r="I42" s="186"/>
      <c r="J42" s="187" t="s">
        <v>2735</v>
      </c>
      <c r="K42" s="187" t="s">
        <v>6576</v>
      </c>
      <c r="L42" s="270" t="str">
        <f>IFERROR(__xludf.DUMMYFUNCTION("IF(
  AND(D42=""Saída"", J42=""Sangria""),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"),"Confirmada")</f>
        <v>Confirmada</v>
      </c>
      <c r="M42" s="276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IFERROR(__xludf.DUMMYFUNCTION("ifna(VALUE(REGEXEXTRACT(E42,""[0-9.]+[,]+[0-9]+"")))"),400.0)</f>
        <v>400</v>
      </c>
      <c r="O42" s="52">
        <f>IFERROR(__xludf.DUMMYFUNCTION("""COMPUTED_VALUE"""),46024.95929398148)</f>
        <v>46024.95929</v>
      </c>
      <c r="P42" s="53" t="str">
        <f>IFERROR(__xludf.DUMMYFUNCTION("""COMPUTED_VALUE"""),"R$ 14,81")</f>
        <v>R$ 14,81</v>
      </c>
      <c r="Q42" s="53" t="str">
        <f>IFERROR(__xludf.DUMMYFUNCTION("""COMPUTED_VALUE"""),"Consumo")</f>
        <v>Consumo</v>
      </c>
      <c r="R42" s="53" t="str">
        <f>IFERROR(__xludf.DUMMYFUNCTION("""COMPUTED_VALUE"""),"Gabriel Azevedo")</f>
        <v>Gabriel Azevedo</v>
      </c>
      <c r="S42" s="55"/>
      <c r="T42" s="53"/>
      <c r="U42" s="53"/>
      <c r="V42" s="53"/>
      <c r="W42" s="54"/>
    </row>
    <row r="43" ht="14.25" customHeight="1">
      <c r="A43" s="178"/>
      <c r="B43" s="12">
        <v>1888276.0</v>
      </c>
      <c r="C43" s="13">
        <v>46018.00108796296</v>
      </c>
      <c r="D43" s="179" t="s">
        <v>81</v>
      </c>
      <c r="E43" s="180" t="s">
        <v>590</v>
      </c>
      <c r="F43" s="181"/>
      <c r="G43" s="179" t="s">
        <v>381</v>
      </c>
      <c r="H43" s="189"/>
      <c r="I43" s="189"/>
      <c r="J43" s="187" t="s">
        <v>2735</v>
      </c>
      <c r="K43" s="187" t="s">
        <v>6576</v>
      </c>
      <c r="L43" s="270" t="str">
        <f>IFERROR(__xludf.DUMMYFUNCTION("IF(
  AND(D43=""Saída"", J43=""Sangria""),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"),"Confirmada")</f>
        <v>Confirmada</v>
      </c>
      <c r="M43" s="274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IFERROR(__xludf.DUMMYFUNCTION("ifna(VALUE(REGEXEXTRACT(E43,""[0-9.]+[,]+[0-9]+"")))"),350.0)</f>
        <v>350</v>
      </c>
      <c r="O43" s="52">
        <f>IFERROR(__xludf.DUMMYFUNCTION("""COMPUTED_VALUE"""),46028.508888888886)</f>
        <v>46028.50889</v>
      </c>
      <c r="P43" s="53" t="str">
        <f>IFERROR(__xludf.DUMMYFUNCTION("""COMPUTED_VALUE"""),"R$ 18,46")</f>
        <v>R$ 18,46</v>
      </c>
      <c r="Q43" s="53" t="str">
        <f>IFERROR(__xludf.DUMMYFUNCTION("""COMPUTED_VALUE"""),"Consumo")</f>
        <v>Consumo</v>
      </c>
      <c r="R43" s="53" t="str">
        <f>IFERROR(__xludf.DUMMYFUNCTION("""COMPUTED_VALUE"""),"Gabriel Azevedo")</f>
        <v>Gabriel Azevedo</v>
      </c>
      <c r="S43" s="55"/>
      <c r="T43" s="53"/>
      <c r="U43" s="53"/>
      <c r="V43" s="53"/>
      <c r="W43" s="54"/>
    </row>
    <row r="44" ht="14.25" customHeight="1">
      <c r="A44" s="178"/>
      <c r="B44" s="12">
        <v>1888286.0</v>
      </c>
      <c r="C44" s="13">
        <v>46018.008738425924</v>
      </c>
      <c r="D44" s="179" t="s">
        <v>81</v>
      </c>
      <c r="E44" s="180" t="s">
        <v>184</v>
      </c>
      <c r="F44" s="181"/>
      <c r="G44" s="179" t="s">
        <v>381</v>
      </c>
      <c r="H44" s="189"/>
      <c r="I44" s="189"/>
      <c r="J44" s="187" t="s">
        <v>2735</v>
      </c>
      <c r="K44" s="187" t="s">
        <v>6576</v>
      </c>
      <c r="L44" s="270" t="str">
        <f>IFERROR(__xludf.DUMMYFUNCTION("IF(
  AND(D44=""Saída"", J44=""Sangria""),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"),"Confirmada")</f>
        <v>Confirmada</v>
      </c>
      <c r="M44" s="272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IFERROR(__xludf.DUMMYFUNCTION("ifna(VALUE(REGEXEXTRACT(E44,""[0-9.]+[,]+[0-9]+"")))"),450.0)</f>
        <v>450</v>
      </c>
      <c r="O44" s="52">
        <f>IFERROR(__xludf.DUMMYFUNCTION("""COMPUTED_VALUE"""),46028.784687499996)</f>
        <v>46028.78469</v>
      </c>
      <c r="P44" s="79" t="str">
        <f>IFERROR(__xludf.DUMMYFUNCTION("""COMPUTED_VALUE"""),"R$ 11,44")</f>
        <v>R$ 11,44</v>
      </c>
      <c r="Q44" s="79" t="str">
        <f>IFERROR(__xludf.DUMMYFUNCTION("""COMPUTED_VALUE"""),"Consumo")</f>
        <v>Consumo</v>
      </c>
      <c r="R44" s="79" t="str">
        <f>IFERROR(__xludf.DUMMYFUNCTION("""COMPUTED_VALUE"""),"Gabriel Azevedo")</f>
        <v>Gabriel Azevedo</v>
      </c>
      <c r="S44" s="81"/>
      <c r="T44" s="79"/>
      <c r="U44" s="79"/>
      <c r="V44" s="79"/>
      <c r="W44" s="80"/>
    </row>
    <row r="45" ht="14.25" customHeight="1">
      <c r="A45" s="178"/>
      <c r="B45" s="12">
        <v>1889605.0</v>
      </c>
      <c r="C45" s="13">
        <v>46018.78896990741</v>
      </c>
      <c r="D45" s="179" t="s">
        <v>81</v>
      </c>
      <c r="E45" s="180" t="s">
        <v>3905</v>
      </c>
      <c r="F45" s="181"/>
      <c r="G45" s="179" t="s">
        <v>6762</v>
      </c>
      <c r="H45" s="190"/>
      <c r="I45" s="190"/>
      <c r="J45" s="187" t="s">
        <v>2735</v>
      </c>
      <c r="K45" s="187" t="s">
        <v>2018</v>
      </c>
      <c r="L45" s="270" t="str">
        <f>IFERROR(__xludf.DUMMYFUNCTION("IF(
  AND(D45=""Saída"", J45=""Sangria""),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"),"Confirmada")</f>
        <v>Confirmada</v>
      </c>
      <c r="M45" s="274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IFERROR(__xludf.DUMMYFUNCTION("ifna(VALUE(REGEXEXTRACT(E45,""[0-9.]+[,]+[0-9]+"")))"),1050.0)</f>
        <v>1050</v>
      </c>
      <c r="O45" s="318">
        <f>IFERROR(__xludf.DUMMYFUNCTION("""COMPUTED_VALUE"""),46029.69519675926)</f>
        <v>46029.6952</v>
      </c>
      <c r="P45" s="89" t="str">
        <f>IFERROR(__xludf.DUMMYFUNCTION("""COMPUTED_VALUE"""),"R$ 25,86")</f>
        <v>R$ 25,86</v>
      </c>
      <c r="Q45" s="89" t="str">
        <f>IFERROR(__xludf.DUMMYFUNCTION("""COMPUTED_VALUE"""),"Consumo")</f>
        <v>Consumo</v>
      </c>
      <c r="R45" s="89" t="str">
        <f>IFERROR(__xludf.DUMMYFUNCTION("""COMPUTED_VALUE"""),"Gabriel Azevedo")</f>
        <v>Gabriel Azevedo</v>
      </c>
      <c r="S45" s="91"/>
      <c r="T45" s="89"/>
      <c r="U45" s="89"/>
      <c r="V45" s="89"/>
      <c r="W45" s="90"/>
    </row>
    <row r="46" ht="18.75" customHeight="1">
      <c r="A46" s="178"/>
      <c r="B46" s="12">
        <v>1890796.0</v>
      </c>
      <c r="C46" s="13">
        <v>46018.94596064815</v>
      </c>
      <c r="D46" s="179" t="s">
        <v>81</v>
      </c>
      <c r="E46" s="180" t="s">
        <v>6860</v>
      </c>
      <c r="F46" s="181"/>
      <c r="G46" s="179" t="s">
        <v>5861</v>
      </c>
      <c r="H46" s="190"/>
      <c r="I46" s="190"/>
      <c r="J46" s="187" t="s">
        <v>2019</v>
      </c>
      <c r="K46" s="187" t="s">
        <v>2117</v>
      </c>
      <c r="L46" s="270" t="str">
        <f>IFERROR(__xludf.DUMMYFUNCTION("IF(
  AND(D46=""Saída"", J46=""Sangria""),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2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85">
        <f>IFERROR(__xludf.DUMMYFUNCTION("ifna(VALUE(REGEXEXTRACT(E46,""[0-9.]+[,]+[0-9]+"")))"),27.3)</f>
        <v>27.3</v>
      </c>
      <c r="O46" s="318">
        <f>IFERROR(__xludf.DUMMYFUNCTION("""COMPUTED_VALUE"""),46031.803564814814)</f>
        <v>46031.80356</v>
      </c>
      <c r="P46" s="89" t="str">
        <f>IFERROR(__xludf.DUMMYFUNCTION("""COMPUTED_VALUE"""),"R$ 13,08")</f>
        <v>R$ 13,08</v>
      </c>
      <c r="Q46" s="89" t="str">
        <f>IFERROR(__xludf.DUMMYFUNCTION("""COMPUTED_VALUE"""),"Consumo")</f>
        <v>Consumo</v>
      </c>
      <c r="R46" s="89" t="str">
        <f>IFERROR(__xludf.DUMMYFUNCTION("""COMPUTED_VALUE"""),"Gabriel Azevedo")</f>
        <v>Gabriel Azevedo</v>
      </c>
      <c r="S46" s="91"/>
      <c r="T46" s="89"/>
      <c r="U46" s="89"/>
      <c r="V46" s="89"/>
      <c r="W46" s="90"/>
    </row>
    <row r="47" ht="14.25" customHeight="1">
      <c r="A47" s="178"/>
      <c r="B47" s="12">
        <v>1890851.0</v>
      </c>
      <c r="C47" s="13">
        <v>46018.94967592593</v>
      </c>
      <c r="D47" s="179" t="s">
        <v>81</v>
      </c>
      <c r="E47" s="180" t="s">
        <v>6861</v>
      </c>
      <c r="F47" s="181"/>
      <c r="G47" s="179" t="s">
        <v>6864</v>
      </c>
      <c r="H47" s="190"/>
      <c r="I47" s="190"/>
      <c r="J47" s="187" t="s">
        <v>3151</v>
      </c>
      <c r="K47" s="187"/>
      <c r="L47" s="270" t="str">
        <f>IFERROR(__xludf.DUMMYFUNCTION("IF(
  AND(D47=""Saída"", J47=""Sangria""),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74" t="str">
        <f>IFERROR(__xludf.DUMMYFUNCTION("IF(J47=""Compra de Mercadorias"",
   IF(
      COUNTIF(ARRAYFORMULA(TRIM(CLEAN(TO_TEXT(Notas!BS:BS)))), TRIM(CLEAN(TO_TEXT(B47)))) &gt; 0,
      ""Encontrada"",
      ""Não Encontrada""
   ),
"""")"),"Não Encontrada")</f>
        <v>Não Encontrada</v>
      </c>
      <c r="N47" s="185">
        <f>IFERROR(__xludf.DUMMYFUNCTION("ifna(VALUE(REGEXEXTRACT(E47,""[0-9.]+[,]+[0-9]+"")))"),53.97)</f>
        <v>53.97</v>
      </c>
      <c r="O47" s="318">
        <f>IFERROR(__xludf.DUMMYFUNCTION("""COMPUTED_VALUE"""),46032.93474537037)</f>
        <v>46032.93475</v>
      </c>
      <c r="P47" s="89" t="str">
        <f>IFERROR(__xludf.DUMMYFUNCTION("""COMPUTED_VALUE"""),"R$ 27,27")</f>
        <v>R$ 27,27</v>
      </c>
      <c r="Q47" s="89" t="str">
        <f>IFERROR(__xludf.DUMMYFUNCTION("""COMPUTED_VALUE"""),"Consumo")</f>
        <v>Consumo</v>
      </c>
      <c r="R47" s="89" t="str">
        <f>IFERROR(__xludf.DUMMYFUNCTION("""COMPUTED_VALUE"""),"Gabriel Azevedo")</f>
        <v>Gabriel Azevedo</v>
      </c>
      <c r="S47" s="91"/>
      <c r="T47" s="89"/>
      <c r="U47" s="89"/>
      <c r="V47" s="89"/>
      <c r="W47" s="90"/>
    </row>
    <row r="48">
      <c r="A48" s="178"/>
      <c r="B48" s="12">
        <v>1890874.0</v>
      </c>
      <c r="C48" s="13">
        <v>46018.951203703706</v>
      </c>
      <c r="D48" s="179" t="s">
        <v>81</v>
      </c>
      <c r="E48" s="180" t="s">
        <v>6866</v>
      </c>
      <c r="F48" s="181"/>
      <c r="G48" s="179" t="s">
        <v>6867</v>
      </c>
      <c r="H48" s="190"/>
      <c r="I48" s="190"/>
      <c r="J48" s="187" t="s">
        <v>3151</v>
      </c>
      <c r="K48" s="187"/>
      <c r="L48" s="270" t="str">
        <f>IFERROR(__xludf.DUMMYFUNCTION("IF(
  AND(D48=""Saída"", J48=""Sangria""),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2" t="str">
        <f>IFERROR(__xludf.DUMMYFUNCTION("IF(J48=""Compra de Mercadorias"",
   IF(
      COUNTIF(ARRAYFORMULA(TRIM(CLEAN(TO_TEXT(Notas!BS:BS)))), TRIM(CLEAN(TO_TEXT(B48)))) &gt; 0,
      ""Encontrada"",
      ""Não Encontrada""
   ),
"""")"),"Não Encontrada")</f>
        <v>Não Encontrada</v>
      </c>
      <c r="N48" s="185">
        <f>IFERROR(__xludf.DUMMYFUNCTION("ifna(VALUE(REGEXEXTRACT(E48,""[0-9.]+[,]+[0-9]+"")))"),51.94)</f>
        <v>51.94</v>
      </c>
      <c r="O48" s="318">
        <f>IFERROR(__xludf.DUMMYFUNCTION("""COMPUTED_VALUE"""),46034.69393518519)</f>
        <v>46034.69394</v>
      </c>
      <c r="P48" s="89" t="str">
        <f>IFERROR(__xludf.DUMMYFUNCTION("""COMPUTED_VALUE"""),"R$ 17,59")</f>
        <v>R$ 17,59</v>
      </c>
      <c r="Q48" s="89" t="str">
        <f>IFERROR(__xludf.DUMMYFUNCTION("""COMPUTED_VALUE"""),"Consumo")</f>
        <v>Consumo</v>
      </c>
      <c r="R48" s="89" t="str">
        <f>IFERROR(__xludf.DUMMYFUNCTION("""COMPUTED_VALUE"""),"Gabriel Azevedo")</f>
        <v>Gabriel Azevedo</v>
      </c>
      <c r="S48" s="91"/>
      <c r="T48" s="89"/>
      <c r="U48" s="89"/>
      <c r="V48" s="89"/>
      <c r="W48" s="90"/>
    </row>
    <row r="49" ht="14.25" customHeight="1">
      <c r="A49" s="178"/>
      <c r="B49" s="12">
        <v>1890885.0</v>
      </c>
      <c r="C49" s="13">
        <v>46018.9519212963</v>
      </c>
      <c r="D49" s="179" t="s">
        <v>81</v>
      </c>
      <c r="E49" s="180" t="s">
        <v>6870</v>
      </c>
      <c r="F49" s="181"/>
      <c r="G49" s="179" t="s">
        <v>6871</v>
      </c>
      <c r="H49" s="190"/>
      <c r="I49" s="190"/>
      <c r="J49" s="187" t="s">
        <v>3151</v>
      </c>
      <c r="K49" s="187"/>
      <c r="L49" s="270" t="str">
        <f>IFERROR(__xludf.DUMMYFUNCTION("IF(
  AND(D49=""Saída"", J49=""Sangria""),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74" t="str">
        <f>IFERROR(__xludf.DUMMYFUNCTION("IF(J49=""Compra de Mercadorias"",
   IF(
      COUNTIF(ARRAYFORMULA(TRIM(CLEAN(TO_TEXT(Notas!BS:BS)))), TRIM(CLEAN(TO_TEXT(B49)))) &gt; 0,
      ""Encontrada"",
      ""Não Encontrada""
   ),
"""")"),"Não Encontrada")</f>
        <v>Não Encontrada</v>
      </c>
      <c r="N49" s="185">
        <f>IFERROR(__xludf.DUMMYFUNCTION("ifna(VALUE(REGEXEXTRACT(E49,""[0-9.]+[,]+[0-9]+"")))"),81.95)</f>
        <v>81.95</v>
      </c>
      <c r="O49" s="319">
        <f>IFERROR(__xludf.DUMMYFUNCTION("""COMPUTED_VALUE"""),46035.977754629625)</f>
        <v>46035.97775</v>
      </c>
      <c r="P49" s="195" t="str">
        <f>IFERROR(__xludf.DUMMYFUNCTION("""COMPUTED_VALUE"""),"R$ 7,80")</f>
        <v>R$ 7,80</v>
      </c>
      <c r="Q49" s="196" t="str">
        <f>IFERROR(__xludf.DUMMYFUNCTION("""COMPUTED_VALUE"""),"Consumo")</f>
        <v>Consumo</v>
      </c>
      <c r="R49" s="197" t="str">
        <f>IFERROR(__xludf.DUMMYFUNCTION("""COMPUTED_VALUE"""),"Gabriel Azevedo")</f>
        <v>Gabriel Azevedo</v>
      </c>
      <c r="S49" s="91"/>
      <c r="T49" s="89"/>
      <c r="U49" s="89"/>
      <c r="V49" s="89"/>
      <c r="W49" s="90"/>
    </row>
    <row r="50" ht="14.25" customHeight="1">
      <c r="A50" s="178"/>
      <c r="B50" s="12">
        <v>1891007.0</v>
      </c>
      <c r="C50" s="13">
        <v>46018.964583333334</v>
      </c>
      <c r="D50" s="179" t="s">
        <v>81</v>
      </c>
      <c r="E50" s="180" t="s">
        <v>3486</v>
      </c>
      <c r="F50" s="188"/>
      <c r="G50" s="179" t="s">
        <v>381</v>
      </c>
      <c r="H50" s="190"/>
      <c r="I50" s="190"/>
      <c r="J50" s="187" t="s">
        <v>2735</v>
      </c>
      <c r="K50" s="187" t="s">
        <v>6576</v>
      </c>
      <c r="L50" s="270" t="str">
        <f>IFERROR(__xludf.DUMMYFUNCTION("IF(
  AND(D50=""Saída"", J50=""Sangria""),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"),"Confirmada")</f>
        <v>Confirmada</v>
      </c>
      <c r="M50" s="272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IFERROR(__xludf.DUMMYFUNCTION("ifna(VALUE(REGEXEXTRACT(E50,""[0-9.]+[,]+[0-9]+"")))"),500.0)</f>
        <v>500</v>
      </c>
      <c r="O50" s="318">
        <f>IFERROR(__xludf.DUMMYFUNCTION("""COMPUTED_VALUE"""),46036.93163194445)</f>
        <v>46036.93163</v>
      </c>
      <c r="P50" s="89" t="str">
        <f>IFERROR(__xludf.DUMMYFUNCTION("""COMPUTED_VALUE"""),"R$ 20,47")</f>
        <v>R$ 20,47</v>
      </c>
      <c r="Q50" s="89" t="str">
        <f>IFERROR(__xludf.DUMMYFUNCTION("""COMPUTED_VALUE"""),"Consumo")</f>
        <v>Consumo</v>
      </c>
      <c r="R50" s="89" t="str">
        <f>IFERROR(__xludf.DUMMYFUNCTION("""COMPUTED_VALUE"""),"Gabriel Azevedo")</f>
        <v>Gabriel Azevedo</v>
      </c>
      <c r="S50" s="91"/>
      <c r="T50" s="89"/>
      <c r="U50" s="89"/>
      <c r="V50" s="89"/>
      <c r="W50" s="90"/>
    </row>
    <row r="51" ht="19.5" customHeight="1">
      <c r="A51" s="178"/>
      <c r="B51" s="12">
        <v>1891154.0</v>
      </c>
      <c r="C51" s="13">
        <v>46018.98479166667</v>
      </c>
      <c r="D51" s="179" t="s">
        <v>152</v>
      </c>
      <c r="E51" s="180" t="s">
        <v>6861</v>
      </c>
      <c r="F51" s="181"/>
      <c r="G51" s="179" t="s">
        <v>6874</v>
      </c>
      <c r="H51" s="190"/>
      <c r="I51" s="190"/>
      <c r="J51" s="187"/>
      <c r="K51" s="187"/>
      <c r="L51" s="270" t="str">
        <f>IFERROR(__xludf.DUMMYFUNCTION("IF(
  AND(D51=""Saída"", J51=""Sangria""),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76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IFERROR(__xludf.DUMMYFUNCTION("ifna(VALUE(REGEXEXTRACT(E51,""[0-9.]+[,]+[0-9]+"")))"),53.97)</f>
        <v>53.97</v>
      </c>
      <c r="O51" s="318">
        <f>IFERROR(__xludf.DUMMYFUNCTION("""COMPUTED_VALUE"""),46040.90311342593)</f>
        <v>46040.90311</v>
      </c>
      <c r="P51" s="89" t="str">
        <f>IFERROR(__xludf.DUMMYFUNCTION("""COMPUTED_VALUE"""),"R$ 20,38")</f>
        <v>R$ 20,38</v>
      </c>
      <c r="Q51" s="89" t="str">
        <f>IFERROR(__xludf.DUMMYFUNCTION("""COMPUTED_VALUE"""),"Consumo")</f>
        <v>Consumo</v>
      </c>
      <c r="R51" s="89" t="str">
        <f>IFERROR(__xludf.DUMMYFUNCTION("""COMPUTED_VALUE"""),"Gabriel Azevedo")</f>
        <v>Gabriel Azevedo</v>
      </c>
      <c r="S51" s="91"/>
      <c r="T51" s="89"/>
      <c r="U51" s="89"/>
      <c r="V51" s="89"/>
      <c r="W51" s="90"/>
    </row>
    <row r="52" ht="14.25" customHeight="1">
      <c r="A52" s="178"/>
      <c r="B52" s="12">
        <v>1891865.0</v>
      </c>
      <c r="C52" s="13">
        <v>46019.67091435185</v>
      </c>
      <c r="D52" s="179" t="s">
        <v>152</v>
      </c>
      <c r="E52" s="180" t="s">
        <v>402</v>
      </c>
      <c r="F52" s="181"/>
      <c r="G52" s="179" t="s">
        <v>267</v>
      </c>
      <c r="H52" s="190"/>
      <c r="I52" s="190"/>
      <c r="J52" s="187" t="s">
        <v>2669</v>
      </c>
      <c r="K52" s="187"/>
      <c r="L52" s="270" t="str">
        <f>IFERROR(__xludf.DUMMYFUNCTION("IF(
  AND(D52=""Saída"", J52=""Sangria""),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3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IFERROR(__xludf.DUMMYFUNCTION("ifna(VALUE(REGEXEXTRACT(E52,""[0-9.]+[,]+[0-9]+"")))"),20.0)</f>
        <v>20</v>
      </c>
      <c r="O52" s="318">
        <f>IFERROR(__xludf.DUMMYFUNCTION("""COMPUTED_VALUE"""),46042.924664351856)</f>
        <v>46042.92466</v>
      </c>
      <c r="P52" s="109" t="str">
        <f>IFERROR(__xludf.DUMMYFUNCTION("""COMPUTED_VALUE"""),"R$ 27,90")</f>
        <v>R$ 27,90</v>
      </c>
      <c r="Q52" s="109" t="str">
        <f>IFERROR(__xludf.DUMMYFUNCTION("""COMPUTED_VALUE"""),"Consumo")</f>
        <v>Consumo</v>
      </c>
      <c r="R52" s="109" t="str">
        <f>IFERROR(__xludf.DUMMYFUNCTION("""COMPUTED_VALUE"""),"Gabriel Azevedo")</f>
        <v>Gabriel Azevedo</v>
      </c>
      <c r="S52" s="110"/>
      <c r="T52" s="109"/>
      <c r="U52" s="109"/>
      <c r="V52" s="109"/>
      <c r="W52" s="111"/>
    </row>
    <row r="53" ht="14.25" customHeight="1">
      <c r="A53" s="178"/>
      <c r="B53" s="12">
        <v>1891870.0</v>
      </c>
      <c r="C53" s="13">
        <v>46019.67287037037</v>
      </c>
      <c r="D53" s="179" t="s">
        <v>81</v>
      </c>
      <c r="E53" s="180" t="s">
        <v>6875</v>
      </c>
      <c r="F53" s="181"/>
      <c r="G53" s="179" t="s">
        <v>6876</v>
      </c>
      <c r="H53" s="190"/>
      <c r="I53" s="190"/>
      <c r="J53" s="187" t="s">
        <v>2438</v>
      </c>
      <c r="K53" s="187"/>
      <c r="L53" s="270" t="str">
        <f>IFERROR(__xludf.DUMMYFUNCTION("IF(
  AND(D53=""Saída"", J53=""Sangria""),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74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85">
        <f>IFERROR(__xludf.DUMMYFUNCTION("ifna(VALUE(REGEXEXTRACT(E53,""[0-9.]+[,]+[0-9]+"")))"),60.89)</f>
        <v>60.89</v>
      </c>
      <c r="S53" s="25"/>
    </row>
    <row r="54" ht="14.25" customHeight="1">
      <c r="A54" s="178"/>
      <c r="B54" s="12">
        <v>1892651.0</v>
      </c>
      <c r="C54" s="13">
        <v>46019.807916666665</v>
      </c>
      <c r="D54" s="179" t="s">
        <v>81</v>
      </c>
      <c r="E54" s="180" t="s">
        <v>220</v>
      </c>
      <c r="F54" s="181"/>
      <c r="G54" s="179" t="s">
        <v>128</v>
      </c>
      <c r="H54" s="190"/>
      <c r="I54" s="190"/>
      <c r="J54" s="187" t="s">
        <v>2735</v>
      </c>
      <c r="K54" s="187" t="s">
        <v>6576</v>
      </c>
      <c r="L54" s="270" t="str">
        <f>IFERROR(__xludf.DUMMYFUNCTION("IF(
  AND(D54=""Saída"", J54=""Sangria""),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"),"Confirmada")</f>
        <v>Confirmada</v>
      </c>
      <c r="M54" s="272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IFERROR(__xludf.DUMMYFUNCTION("ifna(VALUE(REGEXEXTRACT(E54,""[0-9.]+[,]+[0-9]+"")))"),1400.0)</f>
        <v>1400</v>
      </c>
      <c r="S54" s="25"/>
    </row>
    <row r="55" ht="14.25" customHeight="1">
      <c r="A55" s="178"/>
      <c r="B55" s="12">
        <v>1892654.0</v>
      </c>
      <c r="C55" s="13">
        <v>46019.80815972222</v>
      </c>
      <c r="D55" s="179" t="s">
        <v>152</v>
      </c>
      <c r="E55" s="180" t="s">
        <v>402</v>
      </c>
      <c r="F55" s="181"/>
      <c r="G55" s="179" t="s">
        <v>158</v>
      </c>
      <c r="H55" s="190"/>
      <c r="I55" s="190"/>
      <c r="J55" s="187" t="s">
        <v>2669</v>
      </c>
      <c r="K55" s="187"/>
      <c r="L55" s="270" t="str">
        <f>IFERROR(__xludf.DUMMYFUNCTION("IF(
  AND(D55=""Saída"", J55=""Sangria""),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73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IFERROR(__xludf.DUMMYFUNCTION("ifna(VALUE(REGEXEXTRACT(E55,""[0-9.]+[,]+[0-9]+"")))"),20.0)</f>
        <v>20</v>
      </c>
      <c r="S55" s="25"/>
    </row>
    <row r="56" ht="14.25" customHeight="1">
      <c r="A56" s="178"/>
      <c r="B56" s="12">
        <v>1894290.0</v>
      </c>
      <c r="C56" s="13">
        <v>46019.97258101852</v>
      </c>
      <c r="D56" s="179" t="s">
        <v>81</v>
      </c>
      <c r="E56" s="180" t="s">
        <v>6877</v>
      </c>
      <c r="F56" s="181"/>
      <c r="G56" s="179" t="s">
        <v>427</v>
      </c>
      <c r="H56" s="190"/>
      <c r="I56" s="190"/>
      <c r="J56" s="187" t="s">
        <v>1782</v>
      </c>
      <c r="K56" s="187"/>
      <c r="L56" s="270" t="str">
        <f>IFERROR(__xludf.DUMMYFUNCTION("IF(
  AND(D56=""Saída"", J56=""Sangria""),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2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IFERROR(__xludf.DUMMYFUNCTION("ifna(VALUE(REGEXEXTRACT(E56,""[0-9.]+[,]+[0-9]+"")))"),157.0)</f>
        <v>157</v>
      </c>
      <c r="S56" s="25"/>
    </row>
    <row r="57" ht="17.25" customHeight="1">
      <c r="A57" s="178"/>
      <c r="B57" s="12">
        <v>1894294.0</v>
      </c>
      <c r="C57" s="13">
        <v>46019.97280092593</v>
      </c>
      <c r="D57" s="179" t="s">
        <v>81</v>
      </c>
      <c r="E57" s="180" t="s">
        <v>3486</v>
      </c>
      <c r="F57" s="181"/>
      <c r="G57" s="179" t="s">
        <v>381</v>
      </c>
      <c r="H57" s="190"/>
      <c r="I57" s="190"/>
      <c r="J57" s="187" t="s">
        <v>2735</v>
      </c>
      <c r="K57" s="187" t="s">
        <v>6576</v>
      </c>
      <c r="L57" s="270" t="str">
        <f>IFERROR(__xludf.DUMMYFUNCTION("IF(
  AND(D57=""Saída"", J57=""Sangria""),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"),"Confirmada")</f>
        <v>Confirmada</v>
      </c>
      <c r="M57" s="274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IFERROR(__xludf.DUMMYFUNCTION("ifna(VALUE(REGEXEXTRACT(E57,""[0-9.]+[,]+[0-9]+"")))"),500.0)</f>
        <v>500</v>
      </c>
      <c r="O57" s="25"/>
      <c r="P57" s="25"/>
      <c r="Q57" s="25"/>
      <c r="R57" s="25"/>
      <c r="S57" s="25"/>
      <c r="T57" s="25"/>
      <c r="U57" s="122"/>
      <c r="V57" s="122"/>
      <c r="W57" s="277"/>
    </row>
    <row r="58" ht="14.25" customHeight="1">
      <c r="A58" s="178"/>
      <c r="B58" s="12">
        <v>1894350.0</v>
      </c>
      <c r="C58" s="13">
        <v>46019.97791666666</v>
      </c>
      <c r="D58" s="179" t="s">
        <v>81</v>
      </c>
      <c r="E58" s="180" t="s">
        <v>517</v>
      </c>
      <c r="F58" s="188"/>
      <c r="G58" s="179" t="s">
        <v>6878</v>
      </c>
      <c r="H58" s="190"/>
      <c r="I58" s="190"/>
      <c r="J58" s="187"/>
      <c r="K58" s="187"/>
      <c r="L58" s="270" t="str">
        <f>IFERROR(__xludf.DUMMYFUNCTION("IF(
  AND(D58=""Saída"", J58=""Sangria""),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2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IFERROR(__xludf.DUMMYFUNCTION("ifna(VALUE(REGEXEXTRACT(E58,""[0-9.]+[,]+[0-9]+"")))"),40.0)</f>
        <v>40</v>
      </c>
      <c r="O58" s="25"/>
      <c r="P58" s="25"/>
      <c r="Q58" s="25"/>
      <c r="R58" s="25"/>
      <c r="S58" s="25"/>
      <c r="T58" s="25"/>
      <c r="U58" s="278"/>
      <c r="V58" s="278"/>
      <c r="W58" s="279"/>
    </row>
    <row r="59" ht="14.25" customHeight="1">
      <c r="A59" s="178"/>
      <c r="B59" s="12">
        <v>1896175.0</v>
      </c>
      <c r="C59" s="13">
        <v>46020.89569444444</v>
      </c>
      <c r="D59" s="179" t="s">
        <v>81</v>
      </c>
      <c r="E59" s="180" t="s">
        <v>6879</v>
      </c>
      <c r="F59" s="181"/>
      <c r="G59" s="179" t="s">
        <v>6880</v>
      </c>
      <c r="H59" s="190"/>
      <c r="I59" s="190"/>
      <c r="J59" s="187" t="s">
        <v>2438</v>
      </c>
      <c r="K59" s="187"/>
      <c r="L59" s="270" t="str">
        <f>IFERROR(__xludf.DUMMYFUNCTION("IF(
  AND(D59=""Saída"", J59=""Sangria""),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73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IFERROR(__xludf.DUMMYFUNCTION("ifna(VALUE(REGEXEXTRACT(E59,""[0-9.]+[,]+[0-9]+"")))"),70.45)</f>
        <v>70.45</v>
      </c>
      <c r="O59" s="209" t="s">
        <v>3799</v>
      </c>
      <c r="P59" s="210"/>
      <c r="Q59" s="210"/>
      <c r="R59" s="210"/>
      <c r="S59" s="210"/>
      <c r="T59" s="59"/>
      <c r="U59" s="280"/>
      <c r="V59" s="280"/>
      <c r="W59" s="281"/>
    </row>
    <row r="60" ht="14.25" customHeight="1">
      <c r="A60" s="178"/>
      <c r="B60" s="12">
        <v>1896741.0</v>
      </c>
      <c r="C60" s="13">
        <v>46020.968460648146</v>
      </c>
      <c r="D60" s="179" t="s">
        <v>81</v>
      </c>
      <c r="E60" s="180" t="s">
        <v>943</v>
      </c>
      <c r="F60" s="181"/>
      <c r="G60" s="179" t="s">
        <v>381</v>
      </c>
      <c r="H60" s="190"/>
      <c r="I60" s="190"/>
      <c r="J60" s="187" t="s">
        <v>2735</v>
      </c>
      <c r="K60" s="187" t="s">
        <v>6576</v>
      </c>
      <c r="L60" s="270" t="str">
        <f>IFERROR(__xludf.DUMMYFUNCTION("IF(
  AND(D60=""Saída"", J60=""Sangria""),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"),"Confirmada")</f>
        <v>Confirmada</v>
      </c>
      <c r="M60" s="273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IFERROR(__xludf.DUMMYFUNCTION("ifna(VALUE(REGEXEXTRACT(E60,""[0-9.]+[,]+[0-9]+"")))"),800.0)</f>
        <v>800</v>
      </c>
      <c r="O60" s="211"/>
      <c r="T60" s="212"/>
      <c r="U60" s="280"/>
      <c r="V60" s="280"/>
      <c r="W60" s="281"/>
    </row>
    <row r="61" ht="14.25" customHeight="1">
      <c r="A61" s="178"/>
      <c r="B61" s="12">
        <v>1896753.0</v>
      </c>
      <c r="C61" s="13">
        <v>46020.969664351855</v>
      </c>
      <c r="D61" s="179" t="s">
        <v>81</v>
      </c>
      <c r="E61" s="180" t="s">
        <v>943</v>
      </c>
      <c r="F61" s="188"/>
      <c r="G61" s="179" t="s">
        <v>4071</v>
      </c>
      <c r="H61" s="190"/>
      <c r="I61" s="190"/>
      <c r="J61" s="187" t="s">
        <v>2735</v>
      </c>
      <c r="K61" s="187" t="s">
        <v>2018</v>
      </c>
      <c r="L61" s="270" t="str">
        <f>IFERROR(__xludf.DUMMYFUNCTION("IF(
  AND(D61=""Saída"", J61=""Sangria""),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"),"Confirmada")</f>
        <v>Confirmada</v>
      </c>
      <c r="M61" s="274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IFERROR(__xludf.DUMMYFUNCTION("ifna(VALUE(REGEXEXTRACT(E61,""[0-9.]+[,]+[0-9]+"")))"),800.0)</f>
        <v>800</v>
      </c>
      <c r="O61" s="213" t="s">
        <v>1</v>
      </c>
      <c r="P61" s="214" t="s">
        <v>2</v>
      </c>
      <c r="Q61" s="214" t="s">
        <v>3830</v>
      </c>
      <c r="R61" s="214" t="s">
        <v>46</v>
      </c>
      <c r="S61" s="215" t="s">
        <v>33</v>
      </c>
      <c r="T61" s="212"/>
      <c r="U61" s="280"/>
      <c r="V61" s="280"/>
      <c r="W61" s="281"/>
    </row>
    <row r="62" ht="14.25" customHeight="1">
      <c r="A62" s="178"/>
      <c r="B62" s="12">
        <v>1897320.0</v>
      </c>
      <c r="C62" s="13">
        <v>46021.62726851852</v>
      </c>
      <c r="D62" s="179" t="s">
        <v>81</v>
      </c>
      <c r="E62" s="180" t="s">
        <v>146</v>
      </c>
      <c r="F62" s="181"/>
      <c r="G62" s="179" t="s">
        <v>6762</v>
      </c>
      <c r="H62" s="190"/>
      <c r="I62" s="190"/>
      <c r="J62" s="187" t="s">
        <v>2735</v>
      </c>
      <c r="K62" s="187" t="s">
        <v>2018</v>
      </c>
      <c r="L62" s="270" t="str">
        <f>IFERROR(__xludf.DUMMYFUNCTION("IF(
  AND(D62=""Saída"", J62=""Sangria""),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"),"Confirmada")</f>
        <v>Confirmada</v>
      </c>
      <c r="M62" s="272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IFERROR(__xludf.DUMMYFUNCTION("ifna(VALUE(REGEXEXTRACT(E62,""[0-9.]+[,]+[0-9]+"")))"),400.0)</f>
        <v>400</v>
      </c>
      <c r="O62" s="216"/>
      <c r="P62" s="195">
        <v>46035.0</v>
      </c>
      <c r="Q62" s="196" t="s">
        <v>6077</v>
      </c>
      <c r="R62" s="196">
        <v>200.0</v>
      </c>
      <c r="S62" s="217"/>
      <c r="T62" s="218" t="str">
        <f t="shared" ref="T62:T82" si="1">IFERROR(VLOOKUP(Q62, $A$4:$B$11, 2, FALSE), "")</f>
        <v>Gabriel Azevedo</v>
      </c>
      <c r="U62" s="280"/>
      <c r="V62" s="280"/>
      <c r="W62" s="281"/>
    </row>
    <row r="63" ht="14.25" customHeight="1">
      <c r="A63" s="178"/>
      <c r="B63" s="12">
        <v>1897385.0</v>
      </c>
      <c r="C63" s="13">
        <v>46021.64770833333</v>
      </c>
      <c r="D63" s="179" t="s">
        <v>152</v>
      </c>
      <c r="E63" s="180" t="s">
        <v>6881</v>
      </c>
      <c r="F63" s="181"/>
      <c r="G63" s="179" t="s">
        <v>388</v>
      </c>
      <c r="H63" s="190"/>
      <c r="I63" s="190"/>
      <c r="J63" s="187" t="s">
        <v>2669</v>
      </c>
      <c r="K63" s="187"/>
      <c r="L63" s="270" t="str">
        <f>IFERROR(__xludf.DUMMYFUNCTION("IF(
  AND(D63=""Saída"", J63=""Sangria""),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74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IFERROR(__xludf.DUMMYFUNCTION("ifna(VALUE(REGEXEXTRACT(E63,""[0-9.]+[,]+[0-9]+"")))"),335.85)</f>
        <v>335.85</v>
      </c>
      <c r="O63" s="216"/>
      <c r="P63" s="195"/>
      <c r="Q63" s="196"/>
      <c r="R63" s="197"/>
      <c r="S63" s="219"/>
      <c r="T63" s="218" t="str">
        <f t="shared" si="1"/>
        <v/>
      </c>
      <c r="U63" s="280"/>
      <c r="V63" s="280"/>
      <c r="W63" s="281"/>
    </row>
    <row r="64" ht="14.25" customHeight="1">
      <c r="A64" s="178"/>
      <c r="B64" s="12">
        <v>1897386.0</v>
      </c>
      <c r="C64" s="13">
        <v>46021.64802083333</v>
      </c>
      <c r="D64" s="179" t="s">
        <v>152</v>
      </c>
      <c r="E64" s="180" t="s">
        <v>5289</v>
      </c>
      <c r="F64" s="181"/>
      <c r="G64" s="179" t="s">
        <v>6882</v>
      </c>
      <c r="H64" s="190"/>
      <c r="I64" s="190"/>
      <c r="J64" s="187"/>
      <c r="K64" s="187"/>
      <c r="L64" s="270" t="str">
        <f>IFERROR(__xludf.DUMMYFUNCTION("IF(
  AND(D64=""Saída"", J64=""Sangria""),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2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IFERROR(__xludf.DUMMYFUNCTION("ifna(VALUE(REGEXEXTRACT(E64,""[0-9.]+[,]+[0-9]+"")))"),0.01)</f>
        <v>0.01</v>
      </c>
      <c r="O64" s="216"/>
      <c r="P64" s="195"/>
      <c r="Q64" s="196"/>
      <c r="R64" s="197"/>
      <c r="S64" s="220"/>
      <c r="T64" s="218" t="str">
        <f t="shared" si="1"/>
        <v/>
      </c>
      <c r="U64" s="282"/>
      <c r="V64" s="282"/>
      <c r="W64" s="283"/>
    </row>
    <row r="65" ht="14.25" customHeight="1">
      <c r="A65" s="178"/>
      <c r="B65" s="12">
        <v>1897611.0</v>
      </c>
      <c r="C65" s="13">
        <v>46021.69289351852</v>
      </c>
      <c r="D65" s="179" t="s">
        <v>81</v>
      </c>
      <c r="E65" s="180" t="s">
        <v>5668</v>
      </c>
      <c r="F65" s="181"/>
      <c r="G65" s="179" t="s">
        <v>6779</v>
      </c>
      <c r="H65" s="190"/>
      <c r="I65" s="190"/>
      <c r="J65" s="187" t="s">
        <v>2019</v>
      </c>
      <c r="K65" s="187" t="s">
        <v>6745</v>
      </c>
      <c r="L65" s="270" t="str">
        <f>IFERROR(__xludf.DUMMYFUNCTION("IF(
  AND(D65=""Saída"", J65=""Sangria""),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74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IFERROR(__xludf.DUMMYFUNCTION("ifna(VALUE(REGEXEXTRACT(E65,""[0-9.]+[,]+[0-9]+"")))"),23.52)</f>
        <v>23.52</v>
      </c>
      <c r="O65" s="216"/>
      <c r="P65" s="195"/>
      <c r="Q65" s="196"/>
      <c r="R65" s="197"/>
      <c r="S65" s="221"/>
      <c r="T65" s="218" t="str">
        <f t="shared" si="1"/>
        <v/>
      </c>
      <c r="U65" s="284"/>
      <c r="V65" s="284"/>
      <c r="W65" s="285"/>
    </row>
    <row r="66" ht="14.25" customHeight="1">
      <c r="A66" s="178"/>
      <c r="B66" s="12">
        <v>1897642.0</v>
      </c>
      <c r="C66" s="13">
        <v>46021.69857638889</v>
      </c>
      <c r="D66" s="179" t="s">
        <v>81</v>
      </c>
      <c r="E66" s="180" t="s">
        <v>6883</v>
      </c>
      <c r="F66" s="181"/>
      <c r="G66" s="179" t="s">
        <v>6840</v>
      </c>
      <c r="H66" s="190"/>
      <c r="I66" s="190"/>
      <c r="J66" s="187" t="s">
        <v>2019</v>
      </c>
      <c r="K66" s="187" t="s">
        <v>6746</v>
      </c>
      <c r="L66" s="270" t="str">
        <f>IFERROR(__xludf.DUMMYFUNCTION("IF(
  AND(D66=""Saída"", J66=""Sangria""),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2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IFERROR(__xludf.DUMMYFUNCTION("ifna(VALUE(REGEXEXTRACT(E66,""[0-9.]+[,]+[0-9]+"")))"),22.52)</f>
        <v>22.52</v>
      </c>
      <c r="O66" s="216"/>
      <c r="P66" s="195"/>
      <c r="Q66" s="196"/>
      <c r="R66" s="197"/>
      <c r="S66" s="220"/>
      <c r="T66" s="218" t="str">
        <f t="shared" si="1"/>
        <v/>
      </c>
      <c r="U66" s="284"/>
      <c r="V66" s="284"/>
      <c r="W66" s="285"/>
    </row>
    <row r="67" ht="14.25" customHeight="1">
      <c r="A67" s="178"/>
      <c r="B67" s="12">
        <v>1898056.0</v>
      </c>
      <c r="C67" s="13">
        <v>46021.77954861111</v>
      </c>
      <c r="D67" s="179" t="s">
        <v>81</v>
      </c>
      <c r="E67" s="180" t="s">
        <v>6884</v>
      </c>
      <c r="F67" s="181"/>
      <c r="G67" s="179" t="s">
        <v>313</v>
      </c>
      <c r="H67" s="190"/>
      <c r="I67" s="190"/>
      <c r="J67" s="187" t="s">
        <v>3151</v>
      </c>
      <c r="K67" s="187"/>
      <c r="L67" s="270" t="str">
        <f>IFERROR(__xludf.DUMMYFUNCTION("IF(
  AND(D67=""Saída"", J67=""Sangria""),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73" t="str">
        <f>IFERROR(__xludf.DUMMYFUNCTION("IF(J67=""Compra de Mercadorias"",
   IF(
      COUNTIF(ARRAYFORMULA(TRIM(CLEAN(TO_TEXT(Notas!BS:BS)))), TRIM(CLEAN(TO_TEXT(B67)))) &gt; 0,
      ""Encontrada"",
      ""Não Encontrada""
   ),
"""")"),"Não Encontrada")</f>
        <v>Não Encontrada</v>
      </c>
      <c r="N67" s="185">
        <f>IFERROR(__xludf.DUMMYFUNCTION("ifna(VALUE(REGEXEXTRACT(E67,""[0-9.]+[,]+[0-9]+"")))"),232.3)</f>
        <v>232.3</v>
      </c>
      <c r="O67" s="222"/>
      <c r="P67" s="223"/>
      <c r="Q67" s="224"/>
      <c r="R67" s="225"/>
      <c r="S67" s="221"/>
      <c r="T67" s="218" t="str">
        <f t="shared" si="1"/>
        <v/>
      </c>
      <c r="U67" s="284"/>
      <c r="V67" s="284"/>
      <c r="W67" s="285"/>
    </row>
    <row r="68">
      <c r="A68" s="178"/>
      <c r="B68" s="12">
        <v>1898063.0</v>
      </c>
      <c r="C68" s="13">
        <v>46021.780543981484</v>
      </c>
      <c r="D68" s="179" t="s">
        <v>81</v>
      </c>
      <c r="E68" s="180" t="s">
        <v>4812</v>
      </c>
      <c r="F68" s="181"/>
      <c r="G68" s="179" t="s">
        <v>6885</v>
      </c>
      <c r="H68" s="190"/>
      <c r="I68" s="190"/>
      <c r="J68" s="187" t="s">
        <v>3151</v>
      </c>
      <c r="K68" s="187"/>
      <c r="L68" s="270" t="str">
        <f>IFERROR(__xludf.DUMMYFUNCTION("IF(
  AND(D68=""Saída"", J68=""Sangria""),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2" t="str">
        <f>IFERROR(__xludf.DUMMYFUNCTION("IF(J68=""Compra de Mercadorias"",
   IF(
      COUNTIF(ARRAYFORMULA(TRIM(CLEAN(TO_TEXT(Notas!BS:BS)))), TRIM(CLEAN(TO_TEXT(B68)))) &gt; 0,
      ""Encontrada"",
      ""Não Encontrada""
   ),
"""")"),"Não Encontrada")</f>
        <v>Não Encontrada</v>
      </c>
      <c r="N68" s="185">
        <f>IFERROR(__xludf.DUMMYFUNCTION("ifna(VALUE(REGEXEXTRACT(E68,""[0-9.]+[,]+[0-9]+"")))"),13.98)</f>
        <v>13.98</v>
      </c>
      <c r="O68" s="226"/>
      <c r="P68" s="227"/>
      <c r="Q68" s="220"/>
      <c r="R68" s="228" t="str">
        <f t="shared" ref="R68:R104" si="2">IFERROR(VLOOKUP(Q68, $B$4:$C$18, 2, FALSE), "")</f>
        <v/>
      </c>
      <c r="S68" s="220" t="str">
        <f t="shared" ref="S68:S104" si="3">IFERROR(VLOOKUP(Q68, $A$4:$B$18, 2, FALSE), "")</f>
        <v/>
      </c>
      <c r="T68" s="218" t="str">
        <f t="shared" si="1"/>
        <v/>
      </c>
      <c r="U68" s="284"/>
      <c r="V68" s="284"/>
      <c r="W68" s="285"/>
    </row>
    <row r="69" ht="14.25" customHeight="1">
      <c r="A69" s="178"/>
      <c r="B69" s="12">
        <v>1898073.0</v>
      </c>
      <c r="C69" s="13">
        <v>46021.78255787037</v>
      </c>
      <c r="D69" s="179" t="s">
        <v>81</v>
      </c>
      <c r="E69" s="180" t="s">
        <v>6886</v>
      </c>
      <c r="F69" s="181"/>
      <c r="G69" s="179" t="s">
        <v>6887</v>
      </c>
      <c r="H69" s="190"/>
      <c r="I69" s="190"/>
      <c r="J69" s="187" t="s">
        <v>3151</v>
      </c>
      <c r="K69" s="187"/>
      <c r="L69" s="270" t="str">
        <f>IFERROR(__xludf.DUMMYFUNCTION("IF(
  AND(D69=""Saída"", J69=""Sangria""),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74" t="str">
        <f>IFERROR(__xludf.DUMMYFUNCTION("IF(J69=""Compra de Mercadorias"",
   IF(
      COUNTIF(ARRAYFORMULA(TRIM(CLEAN(TO_TEXT(Notas!BS:BS)))), TRIM(CLEAN(TO_TEXT(B69)))) &gt; 0,
      ""Encontrada"",
      ""Não Encontrada""
   ),
"""")"),"Não Encontrada")</f>
        <v>Não Encontrada</v>
      </c>
      <c r="N69" s="185">
        <f>IFERROR(__xludf.DUMMYFUNCTION("ifna(VALUE(REGEXEXTRACT(E69,""[0-9.]+[,]+[0-9]+"")))"),45.97)</f>
        <v>45.97</v>
      </c>
      <c r="O69" s="229"/>
      <c r="P69" s="230"/>
      <c r="Q69" s="221"/>
      <c r="R69" s="231" t="str">
        <f t="shared" si="2"/>
        <v/>
      </c>
      <c r="S69" s="221" t="str">
        <f t="shared" si="3"/>
        <v/>
      </c>
      <c r="T69" s="218" t="str">
        <f t="shared" si="1"/>
        <v/>
      </c>
      <c r="U69" s="284"/>
      <c r="V69" s="284"/>
      <c r="W69" s="285"/>
    </row>
    <row r="70" ht="14.25" customHeight="1">
      <c r="A70" s="178"/>
      <c r="B70" s="12">
        <v>1898079.0</v>
      </c>
      <c r="C70" s="13">
        <v>46021.784780092596</v>
      </c>
      <c r="D70" s="179" t="s">
        <v>81</v>
      </c>
      <c r="E70" s="180" t="s">
        <v>6888</v>
      </c>
      <c r="F70" s="181"/>
      <c r="G70" s="179" t="s">
        <v>6889</v>
      </c>
      <c r="H70" s="190"/>
      <c r="I70" s="190"/>
      <c r="J70" s="187" t="s">
        <v>3151</v>
      </c>
      <c r="K70" s="187"/>
      <c r="L70" s="270" t="str">
        <f>IFERROR(__xludf.DUMMYFUNCTION("IF(
  AND(D70=""Saída"", J70=""Sangria""),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2" t="str">
        <f>IFERROR(__xludf.DUMMYFUNCTION("IF(J70=""Compra de Mercadorias"",
   IF(
      COUNTIF(ARRAYFORMULA(TRIM(CLEAN(TO_TEXT(Notas!BS:BS)))), TRIM(CLEAN(TO_TEXT(B70)))) &gt; 0,
      ""Encontrada"",
      ""Não Encontrada""
   ),
"""")"),"Não Encontrada")</f>
        <v>Não Encontrada</v>
      </c>
      <c r="N70" s="185">
        <f>IFERROR(__xludf.DUMMYFUNCTION("ifna(VALUE(REGEXEXTRACT(E70,""[0-9.]+[,]+[0-9]+"")))"),36.0)</f>
        <v>36</v>
      </c>
      <c r="O70" s="226"/>
      <c r="P70" s="227"/>
      <c r="Q70" s="220"/>
      <c r="R70" s="228" t="str">
        <f t="shared" si="2"/>
        <v/>
      </c>
      <c r="S70" s="220" t="str">
        <f t="shared" si="3"/>
        <v/>
      </c>
      <c r="T70" s="218" t="str">
        <f t="shared" si="1"/>
        <v/>
      </c>
      <c r="U70" s="284"/>
      <c r="V70" s="284"/>
      <c r="W70" s="285"/>
    </row>
    <row r="71" ht="14.25" customHeight="1">
      <c r="A71" s="178"/>
      <c r="B71" s="12">
        <v>1898088.0</v>
      </c>
      <c r="C71" s="13">
        <v>46021.78680555556</v>
      </c>
      <c r="D71" s="179" t="s">
        <v>81</v>
      </c>
      <c r="E71" s="180" t="s">
        <v>3486</v>
      </c>
      <c r="F71" s="188"/>
      <c r="G71" s="179" t="s">
        <v>4071</v>
      </c>
      <c r="H71" s="190"/>
      <c r="I71" s="190"/>
      <c r="J71" s="187" t="s">
        <v>2735</v>
      </c>
      <c r="K71" s="187" t="s">
        <v>2018</v>
      </c>
      <c r="L71" s="270" t="str">
        <f>IFERROR(__xludf.DUMMYFUNCTION("IF(
  AND(D71=""Saída"", J71=""Sangria""),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"),"Confirmada")</f>
        <v>Confirmada</v>
      </c>
      <c r="M71" s="274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IFERROR(__xludf.DUMMYFUNCTION("ifna(VALUE(REGEXEXTRACT(E71,""[0-9.]+[,]+[0-9]+"")))"),500.0)</f>
        <v>500</v>
      </c>
      <c r="O71" s="229"/>
      <c r="P71" s="230"/>
      <c r="Q71" s="221"/>
      <c r="R71" s="231" t="str">
        <f t="shared" si="2"/>
        <v/>
      </c>
      <c r="S71" s="221" t="str">
        <f t="shared" si="3"/>
        <v/>
      </c>
      <c r="T71" s="218" t="str">
        <f t="shared" si="1"/>
        <v/>
      </c>
      <c r="U71" s="284"/>
      <c r="V71" s="284"/>
      <c r="W71" s="285"/>
    </row>
    <row r="72" ht="14.25" customHeight="1">
      <c r="A72" s="178"/>
      <c r="B72" s="12">
        <v>1898096.0</v>
      </c>
      <c r="C72" s="13">
        <v>46021.78869212963</v>
      </c>
      <c r="D72" s="179" t="s">
        <v>81</v>
      </c>
      <c r="E72" s="180" t="s">
        <v>6890</v>
      </c>
      <c r="F72" s="181"/>
      <c r="G72" s="179" t="s">
        <v>381</v>
      </c>
      <c r="H72" s="190"/>
      <c r="I72" s="190"/>
      <c r="J72" s="187" t="s">
        <v>2735</v>
      </c>
      <c r="K72" s="187" t="s">
        <v>6576</v>
      </c>
      <c r="L72" s="270" t="str">
        <f>IFERROR(__xludf.DUMMYFUNCTION("IF(
  AND(D72=""Saída"", J72=""Sangria""),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"),"Confirmada")</f>
        <v>Confirmada</v>
      </c>
      <c r="M72" s="276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IFERROR(__xludf.DUMMYFUNCTION("ifna(VALUE(REGEXEXTRACT(E72,""[0-9.]+[,]+[0-9]+"")))"),730.0)</f>
        <v>730</v>
      </c>
      <c r="O72" s="226"/>
      <c r="P72" s="227"/>
      <c r="Q72" s="220"/>
      <c r="R72" s="228" t="str">
        <f t="shared" si="2"/>
        <v/>
      </c>
      <c r="S72" s="220" t="str">
        <f t="shared" si="3"/>
        <v/>
      </c>
      <c r="T72" s="218" t="str">
        <f t="shared" si="1"/>
        <v/>
      </c>
      <c r="U72" s="275"/>
      <c r="V72" s="275"/>
      <c r="W72" s="286"/>
    </row>
    <row r="73" ht="14.25" customHeight="1">
      <c r="A73" s="178"/>
      <c r="B73" s="12">
        <v>1898098.0</v>
      </c>
      <c r="C73" s="13">
        <v>46021.78894675926</v>
      </c>
      <c r="D73" s="179" t="s">
        <v>81</v>
      </c>
      <c r="E73" s="180" t="s">
        <v>979</v>
      </c>
      <c r="F73" s="181"/>
      <c r="G73" s="179" t="s">
        <v>544</v>
      </c>
      <c r="H73" s="190"/>
      <c r="I73" s="190"/>
      <c r="J73" s="187" t="s">
        <v>2019</v>
      </c>
      <c r="K73" s="187" t="s">
        <v>2078</v>
      </c>
      <c r="L73" s="270" t="str">
        <f>IFERROR(__xludf.DUMMYFUNCTION("IF(
  AND(D73=""Saída"", J73=""Sangria""),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76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IFERROR(__xludf.DUMMYFUNCTION("ifna(VALUE(REGEXEXTRACT(E73,""[0-9.]+[,]+[0-9]+"")))"),3.0)</f>
        <v>3</v>
      </c>
      <c r="O73" s="229"/>
      <c r="P73" s="221"/>
      <c r="Q73" s="221"/>
      <c r="R73" s="231" t="str">
        <f t="shared" si="2"/>
        <v/>
      </c>
      <c r="S73" s="221" t="str">
        <f t="shared" si="3"/>
        <v/>
      </c>
      <c r="T73" s="218" t="str">
        <f t="shared" si="1"/>
        <v/>
      </c>
      <c r="U73" s="25"/>
      <c r="V73" s="25"/>
      <c r="W73" s="287"/>
    </row>
    <row r="74" ht="14.25" customHeight="1">
      <c r="A74" s="178"/>
      <c r="B74" s="12">
        <v>1899012.0</v>
      </c>
      <c r="C74" s="13">
        <v>46021.947534722225</v>
      </c>
      <c r="D74" s="179" t="s">
        <v>81</v>
      </c>
      <c r="E74" s="180" t="s">
        <v>659</v>
      </c>
      <c r="F74" s="181"/>
      <c r="G74" s="179" t="s">
        <v>544</v>
      </c>
      <c r="H74" s="190"/>
      <c r="I74" s="190"/>
      <c r="J74" s="187" t="s">
        <v>2019</v>
      </c>
      <c r="K74" s="187" t="s">
        <v>2078</v>
      </c>
      <c r="L74" s="270" t="str">
        <f>IFERROR(__xludf.DUMMYFUNCTION("IF(
  AND(D74=""Saída"", J74=""Sangria""),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2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IFERROR(__xludf.DUMMYFUNCTION("ifna(VALUE(REGEXEXTRACT(E74,""[0-9.]+[,]+[0-9]+"")))"),5.0)</f>
        <v>5</v>
      </c>
      <c r="O74" s="226"/>
      <c r="P74" s="220"/>
      <c r="Q74" s="220"/>
      <c r="R74" s="228" t="str">
        <f t="shared" si="2"/>
        <v/>
      </c>
      <c r="S74" s="220" t="str">
        <f t="shared" si="3"/>
        <v/>
      </c>
      <c r="T74" s="218" t="str">
        <f t="shared" si="1"/>
        <v/>
      </c>
      <c r="U74" s="25"/>
      <c r="V74" s="25"/>
      <c r="W74" s="287"/>
    </row>
    <row r="75" ht="14.25" customHeight="1">
      <c r="A75" s="178"/>
      <c r="B75" s="12">
        <v>1899123.0</v>
      </c>
      <c r="C75" s="13">
        <v>46021.95976851852</v>
      </c>
      <c r="D75" s="179" t="s">
        <v>81</v>
      </c>
      <c r="E75" s="180" t="s">
        <v>457</v>
      </c>
      <c r="F75" s="181"/>
      <c r="G75" s="179" t="s">
        <v>381</v>
      </c>
      <c r="H75" s="190"/>
      <c r="I75" s="190"/>
      <c r="J75" s="187" t="s">
        <v>2735</v>
      </c>
      <c r="K75" s="187" t="s">
        <v>6576</v>
      </c>
      <c r="L75" s="270" t="str">
        <f>IFERROR(__xludf.DUMMYFUNCTION("IF(
  AND(D75=""Saída"", J75=""Sangria""),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"),"Confirmada")</f>
        <v>Confirmada</v>
      </c>
      <c r="M75" s="274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85">
        <f>IFERROR(__xludf.DUMMYFUNCTION("ifna(VALUE(REGEXEXTRACT(E75,""[0-9.]+[,]+[0-9]+"")))"),200.0)</f>
        <v>200</v>
      </c>
      <c r="O75" s="229"/>
      <c r="P75" s="221"/>
      <c r="Q75" s="221"/>
      <c r="R75" s="231" t="str">
        <f t="shared" si="2"/>
        <v/>
      </c>
      <c r="S75" s="221" t="str">
        <f t="shared" si="3"/>
        <v/>
      </c>
      <c r="T75" s="218" t="str">
        <f t="shared" si="1"/>
        <v/>
      </c>
      <c r="U75" s="25"/>
      <c r="V75" s="25"/>
      <c r="W75" s="287"/>
    </row>
    <row r="76" ht="14.25" customHeight="1">
      <c r="A76" s="178"/>
      <c r="B76" s="12">
        <v>1900059.0</v>
      </c>
      <c r="C76" s="13">
        <v>46022.76150462963</v>
      </c>
      <c r="D76" s="179" t="s">
        <v>81</v>
      </c>
      <c r="E76" s="180" t="s">
        <v>146</v>
      </c>
      <c r="F76" s="188"/>
      <c r="G76" s="179" t="s">
        <v>381</v>
      </c>
      <c r="H76" s="190"/>
      <c r="I76" s="190"/>
      <c r="J76" s="187" t="s">
        <v>2735</v>
      </c>
      <c r="K76" s="187" t="s">
        <v>6576</v>
      </c>
      <c r="L76" s="270" t="str">
        <f>IFERROR(__xludf.DUMMYFUNCTION("IF(
  AND(D76=""Saída"", J76=""Sangria""),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"),"Confirmada")</f>
        <v>Confirmada</v>
      </c>
      <c r="M76" s="272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IFERROR(__xludf.DUMMYFUNCTION("ifna(VALUE(REGEXEXTRACT(E76,""[0-9.]+[,]+[0-9]+"")))"),400.0)</f>
        <v>400</v>
      </c>
      <c r="O76" s="226"/>
      <c r="P76" s="220"/>
      <c r="Q76" s="220"/>
      <c r="R76" s="228" t="str">
        <f t="shared" si="2"/>
        <v/>
      </c>
      <c r="S76" s="220" t="str">
        <f t="shared" si="3"/>
        <v/>
      </c>
      <c r="T76" s="288" t="str">
        <f t="shared" si="1"/>
        <v/>
      </c>
      <c r="U76" s="25"/>
      <c r="V76" s="25"/>
      <c r="W76" s="25"/>
    </row>
    <row r="77" ht="14.25" customHeight="1">
      <c r="A77" s="178"/>
      <c r="B77" s="12">
        <v>1903993.0</v>
      </c>
      <c r="C77" s="13">
        <v>46024.95799768518</v>
      </c>
      <c r="D77" s="179" t="s">
        <v>81</v>
      </c>
      <c r="E77" s="180" t="s">
        <v>6891</v>
      </c>
      <c r="F77" s="181"/>
      <c r="G77" s="179" t="s">
        <v>6845</v>
      </c>
      <c r="H77" s="190"/>
      <c r="I77" s="190"/>
      <c r="J77" s="187" t="s">
        <v>2438</v>
      </c>
      <c r="K77" s="187"/>
      <c r="L77" s="270" t="str">
        <f>IFERROR(__xludf.DUMMYFUNCTION("IF(
  AND(D77=""Saída"", J77=""Sangria""),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74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IFERROR(__xludf.DUMMYFUNCTION("ifna(VALUE(REGEXEXTRACT(E77,""[0-9.]+[,]+[0-9]+"")))"),131.27)</f>
        <v>131.27</v>
      </c>
      <c r="O77" s="229"/>
      <c r="P77" s="221"/>
      <c r="Q77" s="221"/>
      <c r="R77" s="231" t="str">
        <f t="shared" si="2"/>
        <v/>
      </c>
      <c r="S77" s="221" t="str">
        <f t="shared" si="3"/>
        <v/>
      </c>
      <c r="T77" s="288" t="str">
        <f t="shared" si="1"/>
        <v/>
      </c>
      <c r="U77" s="25"/>
      <c r="V77" s="25"/>
      <c r="W77" s="25"/>
    </row>
    <row r="78" ht="14.25" customHeight="1">
      <c r="A78" s="178"/>
      <c r="B78" s="12">
        <v>1903995.0</v>
      </c>
      <c r="C78" s="13">
        <v>46024.958391203705</v>
      </c>
      <c r="D78" s="179" t="s">
        <v>81</v>
      </c>
      <c r="E78" s="180" t="s">
        <v>659</v>
      </c>
      <c r="F78" s="181"/>
      <c r="G78" s="179" t="s">
        <v>5861</v>
      </c>
      <c r="H78" s="190"/>
      <c r="I78" s="190"/>
      <c r="J78" s="187" t="s">
        <v>2019</v>
      </c>
      <c r="K78" s="187" t="s">
        <v>2117</v>
      </c>
      <c r="L78" s="270" t="str">
        <f>IFERROR(__xludf.DUMMYFUNCTION("IF(
  AND(D78=""Saída"", J78=""Sangria""),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2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IFERROR(__xludf.DUMMYFUNCTION("ifna(VALUE(REGEXEXTRACT(E78,""[0-9.]+[,]+[0-9]+"")))"),5.0)</f>
        <v>5</v>
      </c>
      <c r="O78" s="226"/>
      <c r="P78" s="220"/>
      <c r="Q78" s="220"/>
      <c r="R78" s="228" t="str">
        <f t="shared" si="2"/>
        <v/>
      </c>
      <c r="S78" s="220" t="str">
        <f t="shared" si="3"/>
        <v/>
      </c>
      <c r="T78" s="288" t="str">
        <f t="shared" si="1"/>
        <v/>
      </c>
      <c r="U78" s="25"/>
      <c r="V78" s="25"/>
      <c r="W78" s="25"/>
    </row>
    <row r="79" ht="14.25" customHeight="1">
      <c r="A79" s="178"/>
      <c r="B79" s="12">
        <v>1903997.0</v>
      </c>
      <c r="C79" s="13">
        <v>46024.95888888889</v>
      </c>
      <c r="D79" s="179" t="s">
        <v>81</v>
      </c>
      <c r="E79" s="180" t="s">
        <v>6633</v>
      </c>
      <c r="F79" s="181"/>
      <c r="G79" s="179" t="s">
        <v>544</v>
      </c>
      <c r="H79" s="190"/>
      <c r="I79" s="190"/>
      <c r="J79" s="187" t="s">
        <v>2019</v>
      </c>
      <c r="K79" s="187" t="s">
        <v>2078</v>
      </c>
      <c r="L79" s="270" t="str">
        <f>IFERROR(__xludf.DUMMYFUNCTION("IF(
  AND(D79=""Saída"", J79=""Sangria""),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74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IFERROR(__xludf.DUMMYFUNCTION("ifna(VALUE(REGEXEXTRACT(E79,""[0-9.]+[,]+[0-9]+"")))"),20.25)</f>
        <v>20.25</v>
      </c>
      <c r="O79" s="229"/>
      <c r="P79" s="221"/>
      <c r="Q79" s="221"/>
      <c r="R79" s="231" t="str">
        <f t="shared" si="2"/>
        <v/>
      </c>
      <c r="S79" s="221" t="str">
        <f t="shared" si="3"/>
        <v/>
      </c>
      <c r="T79" s="288" t="str">
        <f t="shared" si="1"/>
        <v/>
      </c>
      <c r="U79" s="25"/>
      <c r="V79" s="25"/>
      <c r="W79" s="25"/>
    </row>
    <row r="80" ht="14.25" customHeight="1">
      <c r="A80" s="178"/>
      <c r="B80" s="12">
        <v>1904002.0</v>
      </c>
      <c r="C80" s="13">
        <v>46024.95929398148</v>
      </c>
      <c r="D80" s="179" t="s">
        <v>81</v>
      </c>
      <c r="E80" s="180" t="s">
        <v>6892</v>
      </c>
      <c r="F80" s="181"/>
      <c r="G80" s="179" t="s">
        <v>6779</v>
      </c>
      <c r="H80" s="190"/>
      <c r="I80" s="190"/>
      <c r="J80" s="187" t="s">
        <v>2019</v>
      </c>
      <c r="K80" s="187" t="s">
        <v>6745</v>
      </c>
      <c r="L80" s="270" t="str">
        <f>IFERROR(__xludf.DUMMYFUNCTION("IF(
  AND(D80=""Saída"", J80=""Sangria""),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2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IFERROR(__xludf.DUMMYFUNCTION("ifna(VALUE(REGEXEXTRACT(E80,""[0-9.]+[,]+[0-9]+"")))"),14.81)</f>
        <v>14.81</v>
      </c>
      <c r="O80" s="226"/>
      <c r="P80" s="220"/>
      <c r="Q80" s="220"/>
      <c r="R80" s="228" t="str">
        <f t="shared" si="2"/>
        <v/>
      </c>
      <c r="S80" s="220" t="str">
        <f t="shared" si="3"/>
        <v/>
      </c>
      <c r="T80" s="218" t="str">
        <f t="shared" si="1"/>
        <v/>
      </c>
      <c r="U80" s="25"/>
      <c r="V80" s="25"/>
      <c r="W80" s="25"/>
    </row>
    <row r="81" ht="14.25" customHeight="1">
      <c r="A81" s="178"/>
      <c r="B81" s="12">
        <v>1904227.0</v>
      </c>
      <c r="C81" s="13">
        <v>46025.01231481481</v>
      </c>
      <c r="D81" s="179" t="s">
        <v>81</v>
      </c>
      <c r="E81" s="180" t="s">
        <v>910</v>
      </c>
      <c r="F81" s="181"/>
      <c r="G81" s="179" t="s">
        <v>4071</v>
      </c>
      <c r="H81" s="190"/>
      <c r="I81" s="190"/>
      <c r="J81" s="187" t="s">
        <v>2735</v>
      </c>
      <c r="K81" s="187" t="s">
        <v>2018</v>
      </c>
      <c r="L81" s="270" t="str">
        <f>IFERROR(__xludf.DUMMYFUNCTION("IF(
  AND(D81=""Saída"", J81=""Sangria""),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"),"Confirmada")</f>
        <v>Confirmada</v>
      </c>
      <c r="M81" s="274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IFERROR(__xludf.DUMMYFUNCTION("ifna(VALUE(REGEXEXTRACT(E81,""[0-9.]+[,]+[0-9]+"")))"),1000.0)</f>
        <v>1000</v>
      </c>
      <c r="O81" s="229"/>
      <c r="P81" s="221"/>
      <c r="Q81" s="221"/>
      <c r="R81" s="231" t="str">
        <f t="shared" si="2"/>
        <v/>
      </c>
      <c r="S81" s="221" t="str">
        <f t="shared" si="3"/>
        <v/>
      </c>
      <c r="T81" s="218" t="str">
        <f t="shared" si="1"/>
        <v/>
      </c>
      <c r="U81" s="185"/>
      <c r="V81" s="185"/>
      <c r="W81" s="185"/>
    </row>
    <row r="82" ht="14.25" customHeight="1">
      <c r="A82" s="178"/>
      <c r="B82" s="12">
        <v>1904228.0</v>
      </c>
      <c r="C82" s="13">
        <v>46025.01258101852</v>
      </c>
      <c r="D82" s="179" t="s">
        <v>81</v>
      </c>
      <c r="E82" s="180" t="s">
        <v>4106</v>
      </c>
      <c r="F82" s="181"/>
      <c r="G82" s="179" t="s">
        <v>6893</v>
      </c>
      <c r="H82" s="190"/>
      <c r="I82" s="190"/>
      <c r="J82" s="187" t="s">
        <v>2735</v>
      </c>
      <c r="K82" s="187" t="s">
        <v>2018</v>
      </c>
      <c r="L82" s="270" t="str">
        <f>IFERROR(__xludf.DUMMYFUNCTION("IF(
  AND(D82=""Saída"", J82=""Sangria""),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"),"Confirmada")</f>
        <v>Confirmada</v>
      </c>
      <c r="M82" s="272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IFERROR(__xludf.DUMMYFUNCTION("ifna(VALUE(REGEXEXTRACT(E82,""[0-9.]+[,]+[0-9]+"")))"),750.0)</f>
        <v>750</v>
      </c>
      <c r="O82" s="226"/>
      <c r="P82" s="220"/>
      <c r="Q82" s="220"/>
      <c r="R82" s="228" t="str">
        <f t="shared" si="2"/>
        <v/>
      </c>
      <c r="S82" s="220" t="str">
        <f t="shared" si="3"/>
        <v/>
      </c>
      <c r="T82" s="218" t="str">
        <f t="shared" si="1"/>
        <v/>
      </c>
      <c r="U82" s="185"/>
      <c r="V82" s="185"/>
      <c r="W82" s="185"/>
    </row>
    <row r="83" ht="14.25" customHeight="1">
      <c r="A83" s="178"/>
      <c r="B83" s="12">
        <v>1904229.0</v>
      </c>
      <c r="C83" s="13">
        <v>46025.01315972222</v>
      </c>
      <c r="D83" s="179" t="s">
        <v>81</v>
      </c>
      <c r="E83" s="180" t="s">
        <v>5289</v>
      </c>
      <c r="F83" s="181"/>
      <c r="G83" s="179" t="s">
        <v>6894</v>
      </c>
      <c r="H83" s="190"/>
      <c r="I83" s="190"/>
      <c r="J83" s="187"/>
      <c r="K83" s="187"/>
      <c r="L83" s="270" t="str">
        <f>IFERROR(__xludf.DUMMYFUNCTION("IF(
  AND(D83=""Saída"", J83=""Sangria""),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74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IFERROR(__xludf.DUMMYFUNCTION("ifna(VALUE(REGEXEXTRACT(E83,""[0-9.]+[,]+[0-9]+"")))"),0.01)</f>
        <v>0.01</v>
      </c>
      <c r="O83" s="229"/>
      <c r="P83" s="221"/>
      <c r="Q83" s="221"/>
      <c r="R83" s="231" t="str">
        <f t="shared" si="2"/>
        <v/>
      </c>
      <c r="S83" s="221" t="str">
        <f t="shared" si="3"/>
        <v/>
      </c>
      <c r="T83" s="232" t="str">
        <f t="shared" ref="T83:T104" si="4">IFERROR(VLOOKUP(Q83, $A$4:$B$18, 2, FALSE), "")</f>
        <v/>
      </c>
      <c r="U83" s="185"/>
      <c r="V83" s="185"/>
      <c r="W83" s="185"/>
    </row>
    <row r="84" ht="14.25" customHeight="1">
      <c r="A84" s="178"/>
      <c r="B84" s="12">
        <v>1905334.0</v>
      </c>
      <c r="C84" s="13">
        <v>46025.7590162037</v>
      </c>
      <c r="D84" s="179" t="s">
        <v>152</v>
      </c>
      <c r="E84" s="180" t="s">
        <v>5087</v>
      </c>
      <c r="F84" s="181"/>
      <c r="G84" s="179" t="s">
        <v>158</v>
      </c>
      <c r="H84" s="190"/>
      <c r="I84" s="190"/>
      <c r="J84" s="187" t="s">
        <v>2669</v>
      </c>
      <c r="K84" s="187"/>
      <c r="L84" s="270" t="str">
        <f>IFERROR(__xludf.DUMMYFUNCTION("IF(
  AND(D84=""Saída"", J84=""Sangria""),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2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IFERROR(__xludf.DUMMYFUNCTION("ifna(VALUE(REGEXEXTRACT(E84,""[0-9.]+[,]+[0-9]+"")))"),35.0)</f>
        <v>35</v>
      </c>
      <c r="O84" s="226"/>
      <c r="P84" s="220"/>
      <c r="Q84" s="220"/>
      <c r="R84" s="228" t="str">
        <f t="shared" si="2"/>
        <v/>
      </c>
      <c r="S84" s="220" t="str">
        <f t="shared" si="3"/>
        <v/>
      </c>
      <c r="T84" s="232" t="str">
        <f t="shared" si="4"/>
        <v/>
      </c>
      <c r="U84" s="185"/>
      <c r="V84" s="185"/>
      <c r="W84" s="185"/>
    </row>
    <row r="85" ht="14.25" customHeight="1">
      <c r="A85" s="178"/>
      <c r="B85" s="12">
        <v>1905354.0</v>
      </c>
      <c r="C85" s="13">
        <v>46025.76201388889</v>
      </c>
      <c r="D85" s="179" t="s">
        <v>152</v>
      </c>
      <c r="E85" s="180" t="s">
        <v>6500</v>
      </c>
      <c r="F85" s="181"/>
      <c r="G85" s="179" t="s">
        <v>158</v>
      </c>
      <c r="H85" s="190"/>
      <c r="I85" s="190"/>
      <c r="J85" s="187" t="s">
        <v>2669</v>
      </c>
      <c r="K85" s="187"/>
      <c r="L85" s="270" t="str">
        <f>IFERROR(__xludf.DUMMYFUNCTION("IF(
  AND(D85=""Saída"", J85=""Sangria""),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74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85">
        <f>IFERROR(__xludf.DUMMYFUNCTION("ifna(VALUE(REGEXEXTRACT(E85,""[0-9.]+[,]+[0-9]+"")))"),43.0)</f>
        <v>43</v>
      </c>
      <c r="O85" s="229"/>
      <c r="P85" s="221"/>
      <c r="Q85" s="221"/>
      <c r="R85" s="231" t="str">
        <f t="shared" si="2"/>
        <v/>
      </c>
      <c r="S85" s="221" t="str">
        <f t="shared" si="3"/>
        <v/>
      </c>
      <c r="T85" s="232" t="str">
        <f t="shared" si="4"/>
        <v/>
      </c>
      <c r="U85" s="185"/>
      <c r="V85" s="185"/>
      <c r="W85" s="185"/>
    </row>
    <row r="86" ht="14.25" customHeight="1">
      <c r="A86" s="178"/>
      <c r="B86" s="12">
        <v>1906753.0</v>
      </c>
      <c r="C86" s="13">
        <v>46025.958599537036</v>
      </c>
      <c r="D86" s="179" t="s">
        <v>81</v>
      </c>
      <c r="E86" s="180" t="s">
        <v>5424</v>
      </c>
      <c r="F86" s="188"/>
      <c r="G86" s="179" t="s">
        <v>381</v>
      </c>
      <c r="H86" s="190"/>
      <c r="I86" s="190"/>
      <c r="J86" s="187" t="s">
        <v>2735</v>
      </c>
      <c r="K86" s="187" t="s">
        <v>6576</v>
      </c>
      <c r="L86" s="270" t="str">
        <f>IFERROR(__xludf.DUMMYFUNCTION("IF(
  AND(D86=""Saída"", J86=""Sangria""),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"),"Confirmada")</f>
        <v>Confirmada</v>
      </c>
      <c r="M86" s="272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IFERROR(__xludf.DUMMYFUNCTION("ifna(VALUE(REGEXEXTRACT(E86,""[0-9.]+[,]+[0-9]+"")))"),1500.0)</f>
        <v>1500</v>
      </c>
      <c r="O86" s="226"/>
      <c r="P86" s="220"/>
      <c r="Q86" s="220"/>
      <c r="R86" s="228" t="str">
        <f t="shared" si="2"/>
        <v/>
      </c>
      <c r="S86" s="220" t="str">
        <f t="shared" si="3"/>
        <v/>
      </c>
      <c r="T86" s="232" t="str">
        <f t="shared" si="4"/>
        <v/>
      </c>
      <c r="U86" s="185"/>
      <c r="V86" s="185"/>
      <c r="W86" s="185"/>
    </row>
    <row r="87" ht="14.25" customHeight="1">
      <c r="A87" s="178"/>
      <c r="B87" s="12">
        <v>1908976.0</v>
      </c>
      <c r="C87" s="13">
        <v>46026.91236111111</v>
      </c>
      <c r="D87" s="179" t="s">
        <v>81</v>
      </c>
      <c r="E87" s="180" t="s">
        <v>6895</v>
      </c>
      <c r="F87" s="181"/>
      <c r="G87" s="179" t="s">
        <v>4041</v>
      </c>
      <c r="H87" s="190"/>
      <c r="I87" s="190"/>
      <c r="J87" s="187" t="s">
        <v>3151</v>
      </c>
      <c r="K87" s="187"/>
      <c r="L87" s="270" t="str">
        <f>IFERROR(__xludf.DUMMYFUNCTION("IF(
  AND(D87=""Saída"", J87=""Sangria""),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74" t="str">
        <f>IFERROR(__xludf.DUMMYFUNCTION("IF(J87=""Compra de Mercadorias"",
   IF(
      COUNTIF(ARRAYFORMULA(TRIM(CLEAN(TO_TEXT(Notas!BS:BS)))), TRIM(CLEAN(TO_TEXT(B87)))) &gt; 0,
      ""Encontrada"",
      ""Não Encontrada""
   ),
"""")"),"Não Encontrada")</f>
        <v>Não Encontrada</v>
      </c>
      <c r="N87" s="185">
        <f>IFERROR(__xludf.DUMMYFUNCTION("ifna(VALUE(REGEXEXTRACT(E87,""[0-9.]+[,]+[0-9]+"")))"),34.96)</f>
        <v>34.96</v>
      </c>
      <c r="O87" s="229"/>
      <c r="P87" s="221"/>
      <c r="Q87" s="221"/>
      <c r="R87" s="231" t="str">
        <f t="shared" si="2"/>
        <v/>
      </c>
      <c r="S87" s="221" t="str">
        <f t="shared" si="3"/>
        <v/>
      </c>
      <c r="T87" s="232" t="str">
        <f t="shared" si="4"/>
        <v/>
      </c>
      <c r="U87" s="185"/>
      <c r="V87" s="185"/>
      <c r="W87" s="185"/>
    </row>
    <row r="88" ht="14.25" customHeight="1">
      <c r="A88" s="178"/>
      <c r="B88" s="12">
        <v>1908984.0</v>
      </c>
      <c r="C88" s="13">
        <v>46026.91284722222</v>
      </c>
      <c r="D88" s="179" t="s">
        <v>81</v>
      </c>
      <c r="E88" s="180" t="s">
        <v>6896</v>
      </c>
      <c r="F88" s="181"/>
      <c r="G88" s="179" t="s">
        <v>6897</v>
      </c>
      <c r="H88" s="190"/>
      <c r="I88" s="190"/>
      <c r="J88" s="187" t="s">
        <v>3151</v>
      </c>
      <c r="K88" s="187"/>
      <c r="L88" s="270" t="str">
        <f>IFERROR(__xludf.DUMMYFUNCTION("IF(
  AND(D88=""Saída"", J88=""Sangria""),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2" t="str">
        <f>IFERROR(__xludf.DUMMYFUNCTION("IF(J88=""Compra de Mercadorias"",
   IF(
      COUNTIF(ARRAYFORMULA(TRIM(CLEAN(TO_TEXT(Notas!BS:BS)))), TRIM(CLEAN(TO_TEXT(B88)))) &gt; 0,
      ""Encontrada"",
      ""Não Encontrada""
   ),
"""")"),"Não Encontrada")</f>
        <v>Não Encontrada</v>
      </c>
      <c r="N88" s="185">
        <f>IFERROR(__xludf.DUMMYFUNCTION("ifna(VALUE(REGEXEXTRACT(E88,""[0-9.]+[,]+[0-9]+"")))"),71.4)</f>
        <v>71.4</v>
      </c>
      <c r="O88" s="226"/>
      <c r="P88" s="220"/>
      <c r="Q88" s="220"/>
      <c r="R88" s="228" t="str">
        <f t="shared" si="2"/>
        <v/>
      </c>
      <c r="S88" s="220" t="str">
        <f t="shared" si="3"/>
        <v/>
      </c>
      <c r="T88" s="232" t="str">
        <f t="shared" si="4"/>
        <v/>
      </c>
      <c r="U88" s="185"/>
      <c r="V88" s="185"/>
      <c r="W88" s="185"/>
    </row>
    <row r="89" ht="14.25" customHeight="1">
      <c r="A89" s="178"/>
      <c r="B89" s="12">
        <v>1908993.0</v>
      </c>
      <c r="C89" s="13">
        <v>46026.913564814815</v>
      </c>
      <c r="D89" s="179" t="s">
        <v>81</v>
      </c>
      <c r="E89" s="180" t="s">
        <v>6898</v>
      </c>
      <c r="F89" s="181"/>
      <c r="G89" s="179" t="s">
        <v>6899</v>
      </c>
      <c r="H89" s="190"/>
      <c r="I89" s="190"/>
      <c r="J89" s="187" t="s">
        <v>3151</v>
      </c>
      <c r="K89" s="187"/>
      <c r="L89" s="270" t="str">
        <f>IFERROR(__xludf.DUMMYFUNCTION("IF(
  AND(D89=""Saída"", J89=""Sangria""),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74" t="str">
        <f>IFERROR(__xludf.DUMMYFUNCTION("IF(J89=""Compra de Mercadorias"",
   IF(
      COUNTIF(ARRAYFORMULA(TRIM(CLEAN(TO_TEXT(Notas!BS:BS)))), TRIM(CLEAN(TO_TEXT(B89)))) &gt; 0,
      ""Encontrada"",
      ""Não Encontrada""
   ),
"""")"),"Não Encontrada")</f>
        <v>Não Encontrada</v>
      </c>
      <c r="N89" s="185">
        <f>IFERROR(__xludf.DUMMYFUNCTION("ifna(VALUE(REGEXEXTRACT(E89,""[0-9.]+[,]+[0-9]+"")))"),32.04)</f>
        <v>32.04</v>
      </c>
      <c r="O89" s="229"/>
      <c r="P89" s="221"/>
      <c r="Q89" s="221"/>
      <c r="R89" s="231" t="str">
        <f t="shared" si="2"/>
        <v/>
      </c>
      <c r="S89" s="221" t="str">
        <f t="shared" si="3"/>
        <v/>
      </c>
      <c r="T89" s="232" t="str">
        <f t="shared" si="4"/>
        <v/>
      </c>
      <c r="U89" s="185"/>
      <c r="V89" s="185"/>
      <c r="W89" s="185"/>
    </row>
    <row r="90" ht="14.25" customHeight="1">
      <c r="A90" s="178"/>
      <c r="B90" s="12">
        <v>1909023.0</v>
      </c>
      <c r="C90" s="13">
        <v>46026.915613425925</v>
      </c>
      <c r="D90" s="179" t="s">
        <v>81</v>
      </c>
      <c r="E90" s="180" t="s">
        <v>5951</v>
      </c>
      <c r="F90" s="181"/>
      <c r="G90" s="179" t="s">
        <v>5861</v>
      </c>
      <c r="H90" s="190"/>
      <c r="I90" s="190"/>
      <c r="J90" s="187" t="s">
        <v>2019</v>
      </c>
      <c r="K90" s="187" t="s">
        <v>2117</v>
      </c>
      <c r="L90" s="270" t="str">
        <f>IFERROR(__xludf.DUMMYFUNCTION("IF(
  AND(D90=""Saída"", J90=""Sangria""),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2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85">
        <f>IFERROR(__xludf.DUMMYFUNCTION("ifna(VALUE(REGEXEXTRACT(E90,""[0-9.]+[,]+[0-9]+"")))"),17.11)</f>
        <v>17.11</v>
      </c>
      <c r="O90" s="226"/>
      <c r="P90" s="220"/>
      <c r="Q90" s="220"/>
      <c r="R90" s="228" t="str">
        <f t="shared" si="2"/>
        <v/>
      </c>
      <c r="S90" s="220" t="str">
        <f t="shared" si="3"/>
        <v/>
      </c>
      <c r="T90" s="232" t="str">
        <f t="shared" si="4"/>
        <v/>
      </c>
      <c r="U90" s="185"/>
      <c r="V90" s="185"/>
      <c r="W90" s="185"/>
    </row>
    <row r="91" ht="14.25" customHeight="1">
      <c r="A91" s="178"/>
      <c r="B91" s="12">
        <v>1909176.0</v>
      </c>
      <c r="C91" s="13">
        <v>46026.925046296295</v>
      </c>
      <c r="D91" s="179" t="s">
        <v>81</v>
      </c>
      <c r="E91" s="180" t="s">
        <v>6900</v>
      </c>
      <c r="F91" s="181"/>
      <c r="G91" s="179" t="s">
        <v>6901</v>
      </c>
      <c r="H91" s="190"/>
      <c r="I91" s="190"/>
      <c r="J91" s="187" t="s">
        <v>1782</v>
      </c>
      <c r="K91" s="187"/>
      <c r="L91" s="270" t="str">
        <f>IFERROR(__xludf.DUMMYFUNCTION("IF(
  AND(D91=""Saída"", J91=""Sangria""),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74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IFERROR(__xludf.DUMMYFUNCTION("ifna(VALUE(REGEXEXTRACT(E91,""[0-9.]+[,]+[0-9]+"")))"),110.5)</f>
        <v>110.5</v>
      </c>
      <c r="O91" s="229"/>
      <c r="P91" s="221"/>
      <c r="Q91" s="221"/>
      <c r="R91" s="231" t="str">
        <f t="shared" si="2"/>
        <v/>
      </c>
      <c r="S91" s="221" t="str">
        <f t="shared" si="3"/>
        <v/>
      </c>
      <c r="T91" s="232" t="str">
        <f t="shared" si="4"/>
        <v/>
      </c>
      <c r="U91" s="185"/>
      <c r="V91" s="185"/>
      <c r="W91" s="185"/>
    </row>
    <row r="92" ht="14.25" customHeight="1">
      <c r="A92" s="178"/>
      <c r="B92" s="12">
        <v>1909181.0</v>
      </c>
      <c r="C92" s="13">
        <v>46026.92533564815</v>
      </c>
      <c r="D92" s="179" t="s">
        <v>81</v>
      </c>
      <c r="E92" s="180" t="s">
        <v>6902</v>
      </c>
      <c r="F92" s="181"/>
      <c r="G92" s="179" t="s">
        <v>6830</v>
      </c>
      <c r="H92" s="190"/>
      <c r="I92" s="190"/>
      <c r="J92" s="187" t="s">
        <v>1782</v>
      </c>
      <c r="K92" s="187"/>
      <c r="L92" s="270" t="str">
        <f>IFERROR(__xludf.DUMMYFUNCTION("IF(
  AND(D92=""Saída"", J92=""Sangria""),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2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IFERROR(__xludf.DUMMYFUNCTION("ifna(VALUE(REGEXEXTRACT(E92,""[0-9.]+[,]+[0-9]+"")))"),216.1)</f>
        <v>216.1</v>
      </c>
      <c r="O92" s="226"/>
      <c r="P92" s="220"/>
      <c r="Q92" s="220"/>
      <c r="R92" s="228" t="str">
        <f t="shared" si="2"/>
        <v/>
      </c>
      <c r="S92" s="220" t="str">
        <f t="shared" si="3"/>
        <v/>
      </c>
      <c r="T92" s="232" t="str">
        <f t="shared" si="4"/>
        <v/>
      </c>
      <c r="U92" s="185"/>
      <c r="V92" s="185"/>
      <c r="W92" s="185"/>
    </row>
    <row r="93" ht="14.25" customHeight="1">
      <c r="A93" s="178"/>
      <c r="B93" s="12">
        <v>1909240.0</v>
      </c>
      <c r="C93" s="13">
        <v>46026.92890046296</v>
      </c>
      <c r="D93" s="179" t="s">
        <v>81</v>
      </c>
      <c r="E93" s="180" t="s">
        <v>3973</v>
      </c>
      <c r="F93" s="181"/>
      <c r="G93" s="179" t="s">
        <v>6830</v>
      </c>
      <c r="H93" s="190"/>
      <c r="I93" s="190"/>
      <c r="J93" s="187" t="s">
        <v>1782</v>
      </c>
      <c r="K93" s="187"/>
      <c r="L93" s="270" t="str">
        <f>IFERROR(__xludf.DUMMYFUNCTION("IF(
  AND(D93=""Saída"", J93=""Sangria""),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74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IFERROR(__xludf.DUMMYFUNCTION("ifna(VALUE(REGEXEXTRACT(E93,""[0-9.]+[,]+[0-9]+"")))"),58.5)</f>
        <v>58.5</v>
      </c>
      <c r="O93" s="229"/>
      <c r="P93" s="221"/>
      <c r="Q93" s="221"/>
      <c r="R93" s="231" t="str">
        <f t="shared" si="2"/>
        <v/>
      </c>
      <c r="S93" s="221" t="str">
        <f t="shared" si="3"/>
        <v/>
      </c>
      <c r="T93" s="232" t="str">
        <f t="shared" si="4"/>
        <v/>
      </c>
      <c r="U93" s="185"/>
      <c r="V93" s="185"/>
      <c r="W93" s="185"/>
    </row>
    <row r="94" ht="14.25" customHeight="1">
      <c r="A94" s="178"/>
      <c r="B94" s="12">
        <v>1909366.0</v>
      </c>
      <c r="C94" s="13">
        <v>46026.93858796296</v>
      </c>
      <c r="D94" s="179" t="s">
        <v>81</v>
      </c>
      <c r="E94" s="180" t="s">
        <v>416</v>
      </c>
      <c r="F94" s="181"/>
      <c r="G94" s="179" t="s">
        <v>5718</v>
      </c>
      <c r="H94" s="190"/>
      <c r="I94" s="190"/>
      <c r="J94" s="187" t="s">
        <v>2436</v>
      </c>
      <c r="K94" s="187"/>
      <c r="L94" s="270" t="str">
        <f>IFERROR(__xludf.DUMMYFUNCTION("IF(
  AND(D94=""Saída"", J94=""Sangria""),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6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IFERROR(__xludf.DUMMYFUNCTION("ifna(VALUE(REGEXEXTRACT(E94,""[0-9.]+[,]+[0-9]+"")))"),100.0)</f>
        <v>100</v>
      </c>
      <c r="O94" s="226"/>
      <c r="P94" s="220"/>
      <c r="Q94" s="220"/>
      <c r="R94" s="228" t="str">
        <f t="shared" si="2"/>
        <v/>
      </c>
      <c r="S94" s="220" t="str">
        <f t="shared" si="3"/>
        <v/>
      </c>
      <c r="T94" s="232" t="str">
        <f t="shared" si="4"/>
        <v/>
      </c>
      <c r="U94" s="185"/>
      <c r="V94" s="185"/>
      <c r="W94" s="185"/>
    </row>
    <row r="95" ht="14.25" customHeight="1">
      <c r="A95" s="178"/>
      <c r="B95" s="12">
        <v>1909377.0</v>
      </c>
      <c r="C95" s="13">
        <v>46026.93980324074</v>
      </c>
      <c r="D95" s="179" t="s">
        <v>81</v>
      </c>
      <c r="E95" s="180" t="s">
        <v>5625</v>
      </c>
      <c r="F95" s="181"/>
      <c r="G95" s="179" t="s">
        <v>381</v>
      </c>
      <c r="H95" s="190"/>
      <c r="I95" s="190"/>
      <c r="J95" s="187" t="s">
        <v>2735</v>
      </c>
      <c r="K95" s="187" t="s">
        <v>6576</v>
      </c>
      <c r="L95" s="270" t="str">
        <f>IFERROR(__xludf.DUMMYFUNCTION("IF(
  AND(D95=""Saída"", J95=""Sangria""),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"),"Confirmada")</f>
        <v>Confirmada</v>
      </c>
      <c r="M95" s="274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IFERROR(__xludf.DUMMYFUNCTION("ifna(VALUE(REGEXEXTRACT(E95,""[0-9.]+[,]+[0-9]+"")))"),1900.0)</f>
        <v>1900</v>
      </c>
      <c r="O95" s="229"/>
      <c r="P95" s="221"/>
      <c r="Q95" s="221"/>
      <c r="R95" s="231" t="str">
        <f t="shared" si="2"/>
        <v/>
      </c>
      <c r="S95" s="221" t="str">
        <f t="shared" si="3"/>
        <v/>
      </c>
      <c r="T95" s="232" t="str">
        <f t="shared" si="4"/>
        <v/>
      </c>
      <c r="U95" s="185"/>
      <c r="V95" s="185"/>
      <c r="W95" s="185"/>
    </row>
    <row r="96" ht="14.25" customHeight="1">
      <c r="A96" s="178"/>
      <c r="B96" s="12">
        <v>1909426.0</v>
      </c>
      <c r="C96" s="13">
        <v>46026.94300925926</v>
      </c>
      <c r="D96" s="179" t="s">
        <v>152</v>
      </c>
      <c r="E96" s="180" t="s">
        <v>6904</v>
      </c>
      <c r="F96" s="188"/>
      <c r="G96" s="179" t="s">
        <v>267</v>
      </c>
      <c r="H96" s="190"/>
      <c r="I96" s="190"/>
      <c r="J96" s="187" t="s">
        <v>2669</v>
      </c>
      <c r="K96" s="187"/>
      <c r="L96" s="270" t="str">
        <f>IFERROR(__xludf.DUMMYFUNCTION("IF(
  AND(D96=""Saída"", J96=""Sangria""),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2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IFERROR(__xludf.DUMMYFUNCTION("ifna(VALUE(REGEXEXTRACT(E96,""[0-9.]+[,]+[0-9]+"")))"),125.1)</f>
        <v>125.1</v>
      </c>
      <c r="O96" s="226"/>
      <c r="P96" s="220"/>
      <c r="Q96" s="220"/>
      <c r="R96" s="228" t="str">
        <f t="shared" si="2"/>
        <v/>
      </c>
      <c r="S96" s="220" t="str">
        <f t="shared" si="3"/>
        <v/>
      </c>
      <c r="T96" s="232" t="str">
        <f t="shared" si="4"/>
        <v/>
      </c>
      <c r="U96" s="185"/>
      <c r="V96" s="185"/>
      <c r="W96" s="185"/>
    </row>
    <row r="97" ht="14.25" customHeight="1">
      <c r="A97" s="178"/>
      <c r="B97" s="12">
        <v>1912122.0</v>
      </c>
      <c r="C97" s="13">
        <v>46028.508888888886</v>
      </c>
      <c r="D97" s="179" t="s">
        <v>81</v>
      </c>
      <c r="E97" s="180" t="s">
        <v>6906</v>
      </c>
      <c r="F97" s="181"/>
      <c r="G97" s="179" t="s">
        <v>6838</v>
      </c>
      <c r="H97" s="190"/>
      <c r="I97" s="190"/>
      <c r="J97" s="187" t="s">
        <v>2019</v>
      </c>
      <c r="K97" s="187" t="s">
        <v>6745</v>
      </c>
      <c r="L97" s="270" t="str">
        <f>IFERROR(__xludf.DUMMYFUNCTION("IF(
  AND(D97=""Saída"", J97=""Sangria""),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74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IFERROR(__xludf.DUMMYFUNCTION("ifna(VALUE(REGEXEXTRACT(E97,""[0-9.]+[,]+[0-9]+"")))"),18.46)</f>
        <v>18.46</v>
      </c>
      <c r="O97" s="229"/>
      <c r="P97" s="221"/>
      <c r="Q97" s="221"/>
      <c r="R97" s="231" t="str">
        <f t="shared" si="2"/>
        <v/>
      </c>
      <c r="S97" s="221" t="str">
        <f t="shared" si="3"/>
        <v/>
      </c>
      <c r="T97" s="232" t="str">
        <f t="shared" si="4"/>
        <v/>
      </c>
      <c r="U97" s="185"/>
      <c r="V97" s="185"/>
      <c r="W97" s="185"/>
    </row>
    <row r="98" ht="14.25" customHeight="1">
      <c r="A98" s="178"/>
      <c r="B98" s="12">
        <v>1912124.0</v>
      </c>
      <c r="C98" s="13">
        <v>46028.50990740741</v>
      </c>
      <c r="D98" s="179" t="s">
        <v>81</v>
      </c>
      <c r="E98" s="180" t="s">
        <v>6908</v>
      </c>
      <c r="F98" s="181"/>
      <c r="G98" s="179" t="s">
        <v>5861</v>
      </c>
      <c r="H98" s="190"/>
      <c r="I98" s="190"/>
      <c r="J98" s="187" t="s">
        <v>2019</v>
      </c>
      <c r="K98" s="187" t="s">
        <v>2117</v>
      </c>
      <c r="L98" s="270" t="str">
        <f>IFERROR(__xludf.DUMMYFUNCTION("IF(
  AND(D98=""Saída"", J98=""Sangria""),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2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IFERROR(__xludf.DUMMYFUNCTION("ifna(VALUE(REGEXEXTRACT(E98,""[0-9.]+[,]+[0-9]+"")))"),41.39)</f>
        <v>41.39</v>
      </c>
      <c r="O98" s="226"/>
      <c r="P98" s="220"/>
      <c r="Q98" s="220"/>
      <c r="R98" s="228" t="str">
        <f t="shared" si="2"/>
        <v/>
      </c>
      <c r="S98" s="220" t="str">
        <f t="shared" si="3"/>
        <v/>
      </c>
      <c r="T98" s="232" t="str">
        <f t="shared" si="4"/>
        <v/>
      </c>
      <c r="U98" s="185"/>
      <c r="V98" s="185"/>
      <c r="W98" s="185"/>
    </row>
    <row r="99" ht="14.25" customHeight="1">
      <c r="A99" s="178"/>
      <c r="B99" s="12">
        <v>1912125.0</v>
      </c>
      <c r="C99" s="13">
        <v>46028.51027777778</v>
      </c>
      <c r="D99" s="179" t="s">
        <v>81</v>
      </c>
      <c r="E99" s="180" t="s">
        <v>855</v>
      </c>
      <c r="F99" s="181"/>
      <c r="G99" s="179" t="s">
        <v>544</v>
      </c>
      <c r="H99" s="190"/>
      <c r="I99" s="190"/>
      <c r="J99" s="187" t="s">
        <v>2019</v>
      </c>
      <c r="K99" s="187" t="s">
        <v>2078</v>
      </c>
      <c r="L99" s="270" t="str">
        <f>IFERROR(__xludf.DUMMYFUNCTION("IF(
  AND(D99=""Saída"", J99=""Sangria""),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74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IFERROR(__xludf.DUMMYFUNCTION("ifna(VALUE(REGEXEXTRACT(E99,""[0-9.]+[,]+[0-9]+"")))"),8.0)</f>
        <v>8</v>
      </c>
      <c r="O99" s="235"/>
      <c r="P99" s="236"/>
      <c r="Q99" s="236"/>
      <c r="R99" s="237" t="str">
        <f t="shared" si="2"/>
        <v/>
      </c>
      <c r="S99" s="236" t="str">
        <f t="shared" si="3"/>
        <v/>
      </c>
      <c r="T99" s="232" t="str">
        <f t="shared" si="4"/>
        <v/>
      </c>
      <c r="U99" s="185"/>
      <c r="V99" s="185"/>
      <c r="W99" s="185"/>
    </row>
    <row r="100" ht="14.25" customHeight="1">
      <c r="A100" s="178"/>
      <c r="B100" s="12">
        <v>1912148.0</v>
      </c>
      <c r="C100" s="13">
        <v>46028.52379629629</v>
      </c>
      <c r="D100" s="179" t="s">
        <v>81</v>
      </c>
      <c r="E100" s="180" t="s">
        <v>443</v>
      </c>
      <c r="F100" s="181"/>
      <c r="G100" s="179" t="s">
        <v>6911</v>
      </c>
      <c r="H100" s="190"/>
      <c r="I100" s="190"/>
      <c r="J100" s="187" t="s">
        <v>2735</v>
      </c>
      <c r="K100" s="187" t="s">
        <v>2018</v>
      </c>
      <c r="L100" s="270" t="str">
        <f>IFERROR(__xludf.DUMMYFUNCTION("IF(
  AND(D100=""Saída"", J100=""Sangria""),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"),"Confirmada")</f>
        <v>Confirmada</v>
      </c>
      <c r="M100" s="272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IFERROR(__xludf.DUMMYFUNCTION("ifna(VALUE(REGEXEXTRACT(E100,""[0-9.]+[,]+[0-9]+"")))"),900.0)</f>
        <v>900</v>
      </c>
      <c r="O100" s="235"/>
      <c r="P100" s="236"/>
      <c r="Q100" s="236"/>
      <c r="R100" s="237" t="str">
        <f t="shared" si="2"/>
        <v/>
      </c>
      <c r="S100" s="236" t="str">
        <f t="shared" si="3"/>
        <v/>
      </c>
      <c r="T100" s="232" t="str">
        <f t="shared" si="4"/>
        <v/>
      </c>
      <c r="U100" s="185"/>
      <c r="V100" s="185"/>
      <c r="W100" s="185"/>
    </row>
    <row r="101" ht="14.25" customHeight="1">
      <c r="A101" s="178"/>
      <c r="B101" s="12">
        <v>1913038.0</v>
      </c>
      <c r="C101" s="13">
        <v>46028.784363425926</v>
      </c>
      <c r="D101" s="179" t="s">
        <v>81</v>
      </c>
      <c r="E101" s="180" t="s">
        <v>6912</v>
      </c>
      <c r="F101" s="181"/>
      <c r="G101" s="179" t="s">
        <v>629</v>
      </c>
      <c r="H101" s="190"/>
      <c r="I101" s="190"/>
      <c r="J101" s="187" t="s">
        <v>2438</v>
      </c>
      <c r="K101" s="187"/>
      <c r="L101" s="270" t="str">
        <f>IFERROR(__xludf.DUMMYFUNCTION("IF(
  AND(D101=""Saída"", J101=""Sangria""),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76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IFERROR(__xludf.DUMMYFUNCTION("ifna(VALUE(REGEXEXTRACT(E101,""[0-9.]+[,]+[0-9]+"")))"),14.59)</f>
        <v>14.59</v>
      </c>
      <c r="O101" s="235"/>
      <c r="P101" s="236"/>
      <c r="Q101" s="236"/>
      <c r="R101" s="237" t="str">
        <f t="shared" si="2"/>
        <v/>
      </c>
      <c r="S101" s="236" t="str">
        <f t="shared" si="3"/>
        <v/>
      </c>
      <c r="T101" s="232" t="str">
        <f t="shared" si="4"/>
        <v/>
      </c>
      <c r="U101" s="185"/>
      <c r="V101" s="185"/>
      <c r="W101" s="185"/>
    </row>
    <row r="102" ht="14.25" customHeight="1">
      <c r="A102" s="178"/>
      <c r="B102" s="12">
        <v>1913040.0</v>
      </c>
      <c r="C102" s="13">
        <v>46028.7846875</v>
      </c>
      <c r="D102" s="179" t="s">
        <v>81</v>
      </c>
      <c r="E102" s="180" t="s">
        <v>6915</v>
      </c>
      <c r="F102" s="181"/>
      <c r="G102" s="179" t="s">
        <v>6779</v>
      </c>
      <c r="H102" s="190"/>
      <c r="I102" s="190"/>
      <c r="J102" s="187" t="s">
        <v>2019</v>
      </c>
      <c r="K102" s="187" t="s">
        <v>6745</v>
      </c>
      <c r="L102" s="270" t="str">
        <f>IFERROR(__xludf.DUMMYFUNCTION("IF(
  AND(D102=""Saída"", J102=""Sangria""),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2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IFERROR(__xludf.DUMMYFUNCTION("ifna(VALUE(REGEXEXTRACT(E102,""[0-9.]+[,]+[0-9]+"")))"),11.44)</f>
        <v>11.44</v>
      </c>
      <c r="O102" s="235"/>
      <c r="P102" s="236"/>
      <c r="Q102" s="236"/>
      <c r="R102" s="237" t="str">
        <f t="shared" si="2"/>
        <v/>
      </c>
      <c r="S102" s="236" t="str">
        <f t="shared" si="3"/>
        <v/>
      </c>
      <c r="T102" s="232" t="str">
        <f t="shared" si="4"/>
        <v/>
      </c>
      <c r="U102" s="185"/>
      <c r="V102" s="185"/>
      <c r="W102" s="185"/>
    </row>
    <row r="103" ht="14.25" customHeight="1">
      <c r="A103" s="178"/>
      <c r="B103" s="12">
        <v>1913080.0</v>
      </c>
      <c r="C103" s="13">
        <v>46028.79666666667</v>
      </c>
      <c r="D103" s="179" t="s">
        <v>81</v>
      </c>
      <c r="E103" s="180" t="s">
        <v>6916</v>
      </c>
      <c r="F103" s="181"/>
      <c r="G103" s="179" t="s">
        <v>6917</v>
      </c>
      <c r="H103" s="190"/>
      <c r="I103" s="190"/>
      <c r="J103" s="187" t="s">
        <v>3151</v>
      </c>
      <c r="K103" s="187"/>
      <c r="L103" s="270" t="str">
        <f>IFERROR(__xludf.DUMMYFUNCTION("IF(
  AND(D103=""Saída"", J103=""Sangria""),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74" t="str">
        <f>IFERROR(__xludf.DUMMYFUNCTION("IF(J103=""Compra de Mercadorias"",
   IF(
      COUNTIF(ARRAYFORMULA(TRIM(CLEAN(TO_TEXT(Notas!BS:BS)))), TRIM(CLEAN(TO_TEXT(B103)))) &gt; 0,
      ""Encontrada"",
      ""Não Encontrada""
   ),
"""")"),"Não Encontrada")</f>
        <v>Não Encontrada</v>
      </c>
      <c r="N103" s="185">
        <f>IFERROR(__xludf.DUMMYFUNCTION("ifna(VALUE(REGEXEXTRACT(E103,""[0-9.]+[,]+[0-9]+"")))"),51.96)</f>
        <v>51.96</v>
      </c>
      <c r="O103" s="235"/>
      <c r="P103" s="236"/>
      <c r="Q103" s="236"/>
      <c r="R103" s="237" t="str">
        <f t="shared" si="2"/>
        <v/>
      </c>
      <c r="S103" s="236" t="str">
        <f t="shared" si="3"/>
        <v/>
      </c>
      <c r="T103" s="232" t="str">
        <f t="shared" si="4"/>
        <v/>
      </c>
      <c r="U103" s="185"/>
      <c r="V103" s="185"/>
      <c r="W103" s="185"/>
    </row>
    <row r="104" ht="14.25" customHeight="1">
      <c r="A104" s="178"/>
      <c r="B104" s="12">
        <v>1913954.0</v>
      </c>
      <c r="C104" s="13">
        <v>46028.972037037034</v>
      </c>
      <c r="D104" s="179" t="s">
        <v>81</v>
      </c>
      <c r="E104" s="180" t="s">
        <v>979</v>
      </c>
      <c r="F104" s="181"/>
      <c r="G104" s="179" t="s">
        <v>544</v>
      </c>
      <c r="H104" s="190"/>
      <c r="I104" s="190"/>
      <c r="J104" s="187" t="s">
        <v>2019</v>
      </c>
      <c r="K104" s="187" t="s">
        <v>2078</v>
      </c>
      <c r="L104" s="270" t="str">
        <f>IFERROR(__xludf.DUMMYFUNCTION("IF(
  AND(D104=""Saída"", J104=""Sangria""),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2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85">
        <f>IFERROR(__xludf.DUMMYFUNCTION("ifna(VALUE(REGEXEXTRACT(E104,""[0-9.]+[,]+[0-9]+"")))"),3.0)</f>
        <v>3</v>
      </c>
      <c r="O104" s="239"/>
      <c r="P104" s="240"/>
      <c r="Q104" s="240"/>
      <c r="R104" s="241" t="str">
        <f t="shared" si="2"/>
        <v/>
      </c>
      <c r="S104" s="240" t="str">
        <f t="shared" si="3"/>
        <v/>
      </c>
      <c r="T104" s="242" t="str">
        <f t="shared" si="4"/>
        <v/>
      </c>
      <c r="U104" s="185"/>
      <c r="V104" s="185"/>
      <c r="W104" s="185"/>
    </row>
    <row r="105" ht="14.25" customHeight="1">
      <c r="A105" s="178"/>
      <c r="B105" s="12">
        <v>1913959.0</v>
      </c>
      <c r="C105" s="13">
        <v>46028.97267361111</v>
      </c>
      <c r="D105" s="179" t="s">
        <v>81</v>
      </c>
      <c r="E105" s="180" t="s">
        <v>4010</v>
      </c>
      <c r="F105" s="188"/>
      <c r="G105" s="179" t="s">
        <v>381</v>
      </c>
      <c r="H105" s="190"/>
      <c r="I105" s="190"/>
      <c r="J105" s="187" t="s">
        <v>2735</v>
      </c>
      <c r="K105" s="187" t="s">
        <v>6576</v>
      </c>
      <c r="L105" s="270" t="str">
        <f>IFERROR(__xludf.DUMMYFUNCTION("IF(
  AND(D105=""Saída"", J105=""Sangria""),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"),"Confirmada")</f>
        <v>Confirmada</v>
      </c>
      <c r="M105" s="273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IFERROR(__xludf.DUMMYFUNCTION("ifna(VALUE(REGEXEXTRACT(E105,""[0-9.]+[,]+[0-9]+"")))"),2050.0)</f>
        <v>2050</v>
      </c>
      <c r="O105" s="25"/>
      <c r="P105" s="25"/>
      <c r="Q105" s="25"/>
      <c r="R105" s="25"/>
      <c r="S105" s="25"/>
      <c r="T105" s="25"/>
      <c r="U105" s="185"/>
      <c r="V105" s="185"/>
      <c r="W105" s="185"/>
    </row>
    <row r="106" ht="14.25" customHeight="1">
      <c r="A106" s="178"/>
      <c r="B106" s="12">
        <v>1914254.0</v>
      </c>
      <c r="C106" s="13">
        <v>46029.56912037037</v>
      </c>
      <c r="D106" s="179" t="s">
        <v>81</v>
      </c>
      <c r="E106" s="180" t="s">
        <v>4295</v>
      </c>
      <c r="F106" s="181"/>
      <c r="G106" s="179" t="s">
        <v>6919</v>
      </c>
      <c r="H106" s="190"/>
      <c r="I106" s="190"/>
      <c r="J106" s="187" t="s">
        <v>3151</v>
      </c>
      <c r="K106" s="187"/>
      <c r="L106" s="270" t="str">
        <f>IFERROR(__xludf.DUMMYFUNCTION("IF(
  AND(D106=""Saída"", J106=""Sangria""),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2" t="str">
        <f>IFERROR(__xludf.DUMMYFUNCTION("IF(J106=""Compra de Mercadorias"",
   IF(
      COUNTIF(ARRAYFORMULA(TRIM(CLEAN(TO_TEXT(Notas!BS:BS)))), TRIM(CLEAN(TO_TEXT(B106)))) &gt; 0,
      ""Encontrada"",
      ""Não Encontrada""
   ),
"""")"),"Não Encontrada")</f>
        <v>Não Encontrada</v>
      </c>
      <c r="N106" s="185">
        <f>IFERROR(__xludf.DUMMYFUNCTION("ifna(VALUE(REGEXEXTRACT(E106,""[0-9.]+[,]+[0-9]+"")))"),39.98)</f>
        <v>39.98</v>
      </c>
      <c r="O106" s="289" t="s">
        <v>6698</v>
      </c>
      <c r="W106" s="185"/>
    </row>
    <row r="107" ht="14.25" customHeight="1">
      <c r="A107" s="178"/>
      <c r="B107" s="12">
        <v>1914325.0</v>
      </c>
      <c r="C107" s="13">
        <v>46029.604212962964</v>
      </c>
      <c r="D107" s="179" t="s">
        <v>81</v>
      </c>
      <c r="E107" s="180" t="s">
        <v>6921</v>
      </c>
      <c r="F107" s="181"/>
      <c r="G107" s="179" t="s">
        <v>172</v>
      </c>
      <c r="H107" s="190"/>
      <c r="I107" s="190"/>
      <c r="J107" s="187" t="s">
        <v>2436</v>
      </c>
      <c r="K107" s="187"/>
      <c r="L107" s="270" t="str">
        <f>IFERROR(__xludf.DUMMYFUNCTION("IF(
  AND(D107=""Saída"", J107=""Sangria""),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74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IFERROR(__xludf.DUMMYFUNCTION("ifna(VALUE(REGEXEXTRACT(E107,""[0-9.]+[,]+[0-9]+"")))"),41.77)</f>
        <v>41.77</v>
      </c>
      <c r="O107" s="290" t="str">
        <f>IFERROR(__xludf.DUMMYFUNCTION("QUERY(B28:M507,""Select B,C,D,E,G,H,I,M where M = 'Não Encontrada'"",1)"),"ID")</f>
        <v>ID</v>
      </c>
      <c r="P107" s="290" t="str">
        <f>IFERROR(__xludf.DUMMYFUNCTION("""COMPUTED_VALUE"""),"Data")</f>
        <v>Data</v>
      </c>
      <c r="Q107" s="290" t="str">
        <f>IFERROR(__xludf.DUMMYFUNCTION("""COMPUTED_VALUE"""),"Entrada/Saída")</f>
        <v>Entrada/Saída</v>
      </c>
      <c r="R107" s="291" t="str">
        <f>IFERROR(__xludf.DUMMYFUNCTION("""COMPUTED_VALUE"""),"Valor ")</f>
        <v>Valor </v>
      </c>
      <c r="S107" s="290" t="str">
        <f>IFERROR(__xludf.DUMMYFUNCTION("""COMPUTED_VALUE"""),"Descrição")</f>
        <v>Descrição</v>
      </c>
      <c r="V107" s="292" t="str">
        <f>IFERROR(__xludf.DUMMYFUNCTION("""COMPUTED_VALUE"""),"Nota")</f>
        <v>Nota</v>
      </c>
      <c r="W107" s="185"/>
    </row>
    <row r="108" ht="14.25" customHeight="1">
      <c r="A108" s="178"/>
      <c r="B108" s="12">
        <v>1914706.0</v>
      </c>
      <c r="C108" s="13">
        <v>46029.69519675926</v>
      </c>
      <c r="D108" s="179" t="s">
        <v>81</v>
      </c>
      <c r="E108" s="180" t="s">
        <v>6924</v>
      </c>
      <c r="F108" s="181"/>
      <c r="G108" s="179" t="s">
        <v>6779</v>
      </c>
      <c r="H108" s="190"/>
      <c r="I108" s="190"/>
      <c r="J108" s="187" t="s">
        <v>2019</v>
      </c>
      <c r="K108" s="187" t="s">
        <v>6745</v>
      </c>
      <c r="L108" s="270" t="str">
        <f>IFERROR(__xludf.DUMMYFUNCTION("IF(
  AND(D108=""Saída"", J108=""Sangria""),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2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85">
        <f>IFERROR(__xludf.DUMMYFUNCTION("ifna(VALUE(REGEXEXTRACT(E108,""[0-9.]+[,]+[0-9]+"")))"),25.86)</f>
        <v>25.86</v>
      </c>
      <c r="O108" s="293">
        <f>IFERROR(__xludf.DUMMYFUNCTION("""COMPUTED_VALUE"""),1886637.0)</f>
        <v>1886637</v>
      </c>
      <c r="P108" s="294">
        <f>IFERROR(__xludf.DUMMYFUNCTION("""COMPUTED_VALUE"""),46017.7281712963)</f>
        <v>46017.72817</v>
      </c>
      <c r="Q108" s="293" t="str">
        <f>IFERROR(__xludf.DUMMYFUNCTION("""COMPUTED_VALUE"""),"Saída")</f>
        <v>Saída</v>
      </c>
      <c r="R108" s="295" t="str">
        <f>IFERROR(__xludf.DUMMYFUNCTION("""COMPUTED_VALUE"""),"R$ 226,15")</f>
        <v>R$ 226,15</v>
      </c>
      <c r="S108" s="293" t="str">
        <f>IFERROR(__xludf.DUMMYFUNCTION("""COMPUTED_VALUE"""),"CAFE FUNCIONARIOS")</f>
        <v>CAFE FUNCIONARIOS</v>
      </c>
      <c r="V108" s="296" t="str">
        <f>IFERROR(__xludf.DUMMYFUNCTION("""COMPUTED_VALUE"""),"Não Encontrada")</f>
        <v>Não Encontrada</v>
      </c>
      <c r="W108" s="185"/>
    </row>
    <row r="109" ht="14.25" customHeight="1">
      <c r="A109" s="178"/>
      <c r="B109" s="12">
        <v>1914763.0</v>
      </c>
      <c r="C109" s="13">
        <v>46029.70552083333</v>
      </c>
      <c r="D109" s="179" t="s">
        <v>152</v>
      </c>
      <c r="E109" s="180" t="s">
        <v>6926</v>
      </c>
      <c r="F109" s="181"/>
      <c r="G109" s="179" t="s">
        <v>6927</v>
      </c>
      <c r="H109" s="190"/>
      <c r="I109" s="190"/>
      <c r="J109" s="187" t="s">
        <v>5195</v>
      </c>
      <c r="K109" s="187"/>
      <c r="L109" s="270" t="str">
        <f>IFERROR(__xludf.DUMMYFUNCTION("IF(
  AND(D109=""Saída"", J109=""Sangria""),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74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85">
        <f>IFERROR(__xludf.DUMMYFUNCTION("ifna(VALUE(REGEXEXTRACT(E109,""[0-9.]+[,]+[0-9]+"")))"),356.45)</f>
        <v>356.45</v>
      </c>
      <c r="O109" s="297">
        <f>IFERROR(__xludf.DUMMYFUNCTION("""COMPUTED_VALUE"""),1890851.0)</f>
        <v>1890851</v>
      </c>
      <c r="P109" s="298">
        <f>IFERROR(__xludf.DUMMYFUNCTION("""COMPUTED_VALUE"""),46018.94967592593)</f>
        <v>46018.94968</v>
      </c>
      <c r="Q109" s="297" t="str">
        <f>IFERROR(__xludf.DUMMYFUNCTION("""COMPUTED_VALUE"""),"Saída")</f>
        <v>Saída</v>
      </c>
      <c r="R109" s="299" t="str">
        <f>IFERROR(__xludf.DUMMYFUNCTION("""COMPUTED_VALUE"""),"R$ 53,97")</f>
        <v>R$ 53,97</v>
      </c>
      <c r="S109" s="297" t="str">
        <f>IFERROR(__xludf.DUMMYFUNCTION("""COMPUTED_VALUE"""),"PANETONE CAMPANHA")</f>
        <v>PANETONE CAMPANHA</v>
      </c>
      <c r="V109" s="300" t="str">
        <f>IFERROR(__xludf.DUMMYFUNCTION("""COMPUTED_VALUE"""),"Não Encontrada")</f>
        <v>Não Encontrada</v>
      </c>
      <c r="W109" s="185"/>
    </row>
    <row r="110" ht="14.25" customHeight="1">
      <c r="A110" s="178"/>
      <c r="B110" s="12">
        <v>1914787.0</v>
      </c>
      <c r="C110" s="13">
        <v>46029.711006944446</v>
      </c>
      <c r="D110" s="179" t="s">
        <v>81</v>
      </c>
      <c r="E110" s="180" t="s">
        <v>3486</v>
      </c>
      <c r="F110" s="181"/>
      <c r="G110" s="179" t="s">
        <v>5296</v>
      </c>
      <c r="H110" s="190"/>
      <c r="I110" s="190"/>
      <c r="J110" s="187" t="s">
        <v>5195</v>
      </c>
      <c r="K110" s="187"/>
      <c r="L110" s="270" t="str">
        <f>IFERROR(__xludf.DUMMYFUNCTION("IF(
  AND(D110=""Saída"", J110=""Sangria""),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2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IFERROR(__xludf.DUMMYFUNCTION("ifna(VALUE(REGEXEXTRACT(E110,""[0-9.]+[,]+[0-9]+"")))"),500.0)</f>
        <v>500</v>
      </c>
      <c r="O110" s="293">
        <f>IFERROR(__xludf.DUMMYFUNCTION("""COMPUTED_VALUE"""),1890874.0)</f>
        <v>1890874</v>
      </c>
      <c r="P110" s="294">
        <f>IFERROR(__xludf.DUMMYFUNCTION("""COMPUTED_VALUE"""),46018.951203703706)</f>
        <v>46018.9512</v>
      </c>
      <c r="Q110" s="293" t="str">
        <f>IFERROR(__xludf.DUMMYFUNCTION("""COMPUTED_VALUE"""),"Saída")</f>
        <v>Saída</v>
      </c>
      <c r="R110" s="295" t="str">
        <f>IFERROR(__xludf.DUMMYFUNCTION("""COMPUTED_VALUE"""),"R$ 51,94")</f>
        <v>R$ 51,94</v>
      </c>
      <c r="S110" s="293" t="str">
        <f>IFERROR(__xludf.DUMMYFUNCTION("""COMPUTED_VALUE"""),"EMBALGEM")</f>
        <v>EMBALGEM</v>
      </c>
      <c r="V110" s="296" t="str">
        <f>IFERROR(__xludf.DUMMYFUNCTION("""COMPUTED_VALUE"""),"Não Encontrada")</f>
        <v>Não Encontrada</v>
      </c>
      <c r="W110" s="185"/>
    </row>
    <row r="111" ht="14.25" customHeight="1">
      <c r="A111" s="178"/>
      <c r="B111" s="12">
        <v>1914893.0</v>
      </c>
      <c r="C111" s="13">
        <v>46029.728055555555</v>
      </c>
      <c r="D111" s="179" t="s">
        <v>81</v>
      </c>
      <c r="E111" s="180" t="s">
        <v>6929</v>
      </c>
      <c r="F111" s="181"/>
      <c r="G111" s="179" t="s">
        <v>5899</v>
      </c>
      <c r="H111" s="190"/>
      <c r="I111" s="190"/>
      <c r="J111" s="187" t="s">
        <v>2436</v>
      </c>
      <c r="K111" s="187"/>
      <c r="L111" s="270" t="str">
        <f>IFERROR(__xludf.DUMMYFUNCTION("IF(
  AND(D111=""Saída"", J111=""Sangria""),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74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IFERROR(__xludf.DUMMYFUNCTION("ifna(VALUE(REGEXEXTRACT(E111,""[0-9.]+[,]+[0-9]+"")))"),375.0)</f>
        <v>375</v>
      </c>
      <c r="O111" s="297">
        <f>IFERROR(__xludf.DUMMYFUNCTION("""COMPUTED_VALUE"""),1890885.0)</f>
        <v>1890885</v>
      </c>
      <c r="P111" s="298">
        <f>IFERROR(__xludf.DUMMYFUNCTION("""COMPUTED_VALUE"""),46018.95192129629)</f>
        <v>46018.95192</v>
      </c>
      <c r="Q111" s="297" t="str">
        <f>IFERROR(__xludf.DUMMYFUNCTION("""COMPUTED_VALUE"""),"Saída")</f>
        <v>Saída</v>
      </c>
      <c r="R111" s="299" t="str">
        <f>IFERROR(__xludf.DUMMYFUNCTION("""COMPUTED_VALUE"""),"R$ 81,95")</f>
        <v>R$ 81,95</v>
      </c>
      <c r="S111" s="297" t="str">
        <f>IFERROR(__xludf.DUMMYFUNCTION("""COMPUTED_VALUE"""),"MATERIAIS DE COZINHA")</f>
        <v>MATERIAIS DE COZINHA</v>
      </c>
      <c r="V111" s="300" t="str">
        <f>IFERROR(__xludf.DUMMYFUNCTION("""COMPUTED_VALUE"""),"Não Encontrada")</f>
        <v>Não Encontrada</v>
      </c>
      <c r="W111" s="185"/>
    </row>
    <row r="112" ht="14.25" customHeight="1">
      <c r="A112" s="178"/>
      <c r="B112" s="12">
        <v>1915040.0</v>
      </c>
      <c r="C112" s="13">
        <v>46029.75625</v>
      </c>
      <c r="D112" s="179" t="s">
        <v>81</v>
      </c>
      <c r="E112" s="180" t="s">
        <v>979</v>
      </c>
      <c r="F112" s="181"/>
      <c r="G112" s="179" t="s">
        <v>544</v>
      </c>
      <c r="H112" s="190"/>
      <c r="I112" s="190"/>
      <c r="J112" s="187" t="s">
        <v>2019</v>
      </c>
      <c r="K112" s="187" t="s">
        <v>2078</v>
      </c>
      <c r="L112" s="270" t="str">
        <f>IFERROR(__xludf.DUMMYFUNCTION("IF(
  AND(D112=""Saída"", J112=""Sangria""),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6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IFERROR(__xludf.DUMMYFUNCTION("ifna(VALUE(REGEXEXTRACT(E112,""[0-9.]+[,]+[0-9]+"")))"),3.0)</f>
        <v>3</v>
      </c>
      <c r="O112" s="293">
        <f>IFERROR(__xludf.DUMMYFUNCTION("""COMPUTED_VALUE"""),1898056.0)</f>
        <v>1898056</v>
      </c>
      <c r="P112" s="294">
        <f>IFERROR(__xludf.DUMMYFUNCTION("""COMPUTED_VALUE"""),46021.77954861111)</f>
        <v>46021.77955</v>
      </c>
      <c r="Q112" s="293" t="str">
        <f>IFERROR(__xludf.DUMMYFUNCTION("""COMPUTED_VALUE"""),"Saída")</f>
        <v>Saída</v>
      </c>
      <c r="R112" s="295" t="str">
        <f>IFERROR(__xludf.DUMMYFUNCTION("""COMPUTED_VALUE"""),"R$ 232,30")</f>
        <v>R$ 232,30</v>
      </c>
      <c r="S112" s="293" t="str">
        <f>IFERROR(__xludf.DUMMYFUNCTION("""COMPUTED_VALUE"""),"FRUTAS E CAFE FUNCIONARIOS")</f>
        <v>FRUTAS E CAFE FUNCIONARIOS</v>
      </c>
      <c r="V112" s="296" t="str">
        <f>IFERROR(__xludf.DUMMYFUNCTION("""COMPUTED_VALUE"""),"Não Encontrada")</f>
        <v>Não Encontrada</v>
      </c>
      <c r="W112" s="185"/>
    </row>
    <row r="113" ht="14.25" customHeight="1">
      <c r="A113" s="178"/>
      <c r="B113" s="12">
        <v>1915379.0</v>
      </c>
      <c r="C113" s="13">
        <v>46029.85434027778</v>
      </c>
      <c r="D113" s="179" t="s">
        <v>81</v>
      </c>
      <c r="E113" s="180" t="s">
        <v>5424</v>
      </c>
      <c r="F113" s="181"/>
      <c r="G113" s="179" t="s">
        <v>381</v>
      </c>
      <c r="H113" s="190"/>
      <c r="I113" s="190"/>
      <c r="J113" s="187" t="s">
        <v>2735</v>
      </c>
      <c r="K113" s="187" t="s">
        <v>6576</v>
      </c>
      <c r="L113" s="270" t="str">
        <f>IFERROR(__xludf.DUMMYFUNCTION("IF(
  AND(D113=""Saída"", J113=""Sangria""),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"),"Confirmada")</f>
        <v>Confirmada</v>
      </c>
      <c r="M113" s="274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IFERROR(__xludf.DUMMYFUNCTION("ifna(VALUE(REGEXEXTRACT(E113,""[0-9.]+[,]+[0-9]+"")))"),1500.0)</f>
        <v>1500</v>
      </c>
      <c r="O113" s="297">
        <f>IFERROR(__xludf.DUMMYFUNCTION("""COMPUTED_VALUE"""),1898063.0)</f>
        <v>1898063</v>
      </c>
      <c r="P113" s="298">
        <f>IFERROR(__xludf.DUMMYFUNCTION("""COMPUTED_VALUE"""),46021.780543981484)</f>
        <v>46021.78054</v>
      </c>
      <c r="Q113" s="297" t="str">
        <f>IFERROR(__xludf.DUMMYFUNCTION("""COMPUTED_VALUE"""),"Saída")</f>
        <v>Saída</v>
      </c>
      <c r="R113" s="299" t="str">
        <f>IFERROR(__xludf.DUMMYFUNCTION("""COMPUTED_VALUE"""),"R$ 13,98")</f>
        <v>R$ 13,98</v>
      </c>
      <c r="S113" s="297" t="str">
        <f>IFERROR(__xludf.DUMMYFUNCTION("""COMPUTED_VALUE"""),"MATERIAIS COZINHA")</f>
        <v>MATERIAIS COZINHA</v>
      </c>
      <c r="V113" s="300" t="str">
        <f>IFERROR(__xludf.DUMMYFUNCTION("""COMPUTED_VALUE"""),"Não Encontrada")</f>
        <v>Não Encontrada</v>
      </c>
      <c r="W113" s="185"/>
    </row>
    <row r="114" ht="14.25" customHeight="1">
      <c r="A114" s="178"/>
      <c r="B114" s="12">
        <v>1915406.0</v>
      </c>
      <c r="C114" s="13">
        <v>46029.85704861111</v>
      </c>
      <c r="D114" s="179" t="s">
        <v>81</v>
      </c>
      <c r="E114" s="180" t="s">
        <v>6939</v>
      </c>
      <c r="F114" s="188"/>
      <c r="G114" s="179" t="s">
        <v>4041</v>
      </c>
      <c r="H114" s="190"/>
      <c r="I114" s="190"/>
      <c r="J114" s="187" t="s">
        <v>3151</v>
      </c>
      <c r="K114" s="187"/>
      <c r="L114" s="270" t="str">
        <f>IFERROR(__xludf.DUMMYFUNCTION("IF(
  AND(D114=""Saída"", J114=""Sangria""),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2" t="str">
        <f>IFERROR(__xludf.DUMMYFUNCTION("IF(J114=""Compra de Mercadorias"",
   IF(
      COUNTIF(ARRAYFORMULA(TRIM(CLEAN(TO_TEXT(Notas!BS:BS)))), TRIM(CLEAN(TO_TEXT(B114)))) &gt; 0,
      ""Encontrada"",
      ""Não Encontrada""
   ),
"""")"),"Não Encontrada")</f>
        <v>Não Encontrada</v>
      </c>
      <c r="N114" s="185">
        <f>IFERROR(__xludf.DUMMYFUNCTION("ifna(VALUE(REGEXEXTRACT(E114,""[0-9.]+[,]+[0-9]+"")))"),118.52)</f>
        <v>118.52</v>
      </c>
      <c r="O114" s="293">
        <f>IFERROR(__xludf.DUMMYFUNCTION("""COMPUTED_VALUE"""),1898073.0)</f>
        <v>1898073</v>
      </c>
      <c r="P114" s="294">
        <f>IFERROR(__xludf.DUMMYFUNCTION("""COMPUTED_VALUE"""),46021.78255787037)</f>
        <v>46021.78256</v>
      </c>
      <c r="Q114" s="293" t="str">
        <f>IFERROR(__xludf.DUMMYFUNCTION("""COMPUTED_VALUE"""),"Saída")</f>
        <v>Saída</v>
      </c>
      <c r="R114" s="295" t="str">
        <f>IFERROR(__xludf.DUMMYFUNCTION("""COMPUTED_VALUE"""),"R$ 45,97")</f>
        <v>R$ 45,97</v>
      </c>
      <c r="S114" s="293" t="str">
        <f>IFERROR(__xludf.DUMMYFUNCTION("""COMPUTED_VALUE"""),"MATERIAIS COZINHA E DECORAÇÃO")</f>
        <v>MATERIAIS COZINHA E DECORAÇÃO</v>
      </c>
      <c r="V114" s="296" t="str">
        <f>IFERROR(__xludf.DUMMYFUNCTION("""COMPUTED_VALUE"""),"Não Encontrada")</f>
        <v>Não Encontrada</v>
      </c>
      <c r="W114" s="185"/>
    </row>
    <row r="115" ht="14.25" customHeight="1">
      <c r="A115" s="178"/>
      <c r="B115" s="12">
        <v>1917214.0</v>
      </c>
      <c r="C115" s="13">
        <v>46030.7544212963</v>
      </c>
      <c r="D115" s="179" t="s">
        <v>81</v>
      </c>
      <c r="E115" s="180" t="s">
        <v>220</v>
      </c>
      <c r="F115" s="181"/>
      <c r="G115" s="179" t="s">
        <v>4071</v>
      </c>
      <c r="H115" s="190"/>
      <c r="I115" s="190"/>
      <c r="J115" s="187" t="s">
        <v>2735</v>
      </c>
      <c r="K115" s="187" t="s">
        <v>2018</v>
      </c>
      <c r="L115" s="270" t="str">
        <f>IFERROR(__xludf.DUMMYFUNCTION("IF(
  AND(D115=""Saída"", J115=""Sangria""),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"),"Confirmada")</f>
        <v>Confirmada</v>
      </c>
      <c r="M115" s="274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85">
        <f>IFERROR(__xludf.DUMMYFUNCTION("ifna(VALUE(REGEXEXTRACT(E115,""[0-9.]+[,]+[0-9]+"")))"),1400.0)</f>
        <v>1400</v>
      </c>
      <c r="O115" s="301">
        <f>IFERROR(__xludf.DUMMYFUNCTION("""COMPUTED_VALUE"""),1898079.0)</f>
        <v>1898079</v>
      </c>
      <c r="P115" s="302">
        <f>IFERROR(__xludf.DUMMYFUNCTION("""COMPUTED_VALUE"""),46021.784780092596)</f>
        <v>46021.78478</v>
      </c>
      <c r="Q115" s="301" t="str">
        <f>IFERROR(__xludf.DUMMYFUNCTION("""COMPUTED_VALUE"""),"Saída")</f>
        <v>Saída</v>
      </c>
      <c r="R115" s="303" t="str">
        <f>IFERROR(__xludf.DUMMYFUNCTION("""COMPUTED_VALUE"""),"R$ 36,00")</f>
        <v>R$ 36,00</v>
      </c>
      <c r="S115" s="301" t="str">
        <f>IFERROR(__xludf.DUMMYFUNCTION("""COMPUTED_VALUE"""),"IMPRESSÃO")</f>
        <v>IMPRESSÃO</v>
      </c>
      <c r="V115" s="304" t="str">
        <f>IFERROR(__xludf.DUMMYFUNCTION("""COMPUTED_VALUE"""),"Não Encontrada")</f>
        <v>Não Encontrada</v>
      </c>
      <c r="W115" s="185"/>
    </row>
    <row r="116" ht="14.25" customHeight="1">
      <c r="A116" s="178"/>
      <c r="B116" s="12">
        <v>1917289.0</v>
      </c>
      <c r="C116" s="13">
        <v>46030.76967592593</v>
      </c>
      <c r="D116" s="179" t="s">
        <v>152</v>
      </c>
      <c r="E116" s="180" t="s">
        <v>6943</v>
      </c>
      <c r="F116" s="181"/>
      <c r="G116" s="179" t="s">
        <v>267</v>
      </c>
      <c r="H116" s="190"/>
      <c r="I116" s="190"/>
      <c r="J116" s="187" t="s">
        <v>2669</v>
      </c>
      <c r="K116" s="187"/>
      <c r="L116" s="270" t="str">
        <f>IFERROR(__xludf.DUMMYFUNCTION("IF(
  AND(D116=""Saída"", J116=""Sangria""),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2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IFERROR(__xludf.DUMMYFUNCTION("ifna(VALUE(REGEXEXTRACT(E116,""[0-9.]+[,]+[0-9]+"")))"),65.4)</f>
        <v>65.4</v>
      </c>
      <c r="O116" s="305">
        <f>IFERROR(__xludf.DUMMYFUNCTION("""COMPUTED_VALUE"""),1908976.0)</f>
        <v>1908976</v>
      </c>
      <c r="P116" s="306">
        <f>IFERROR(__xludf.DUMMYFUNCTION("""COMPUTED_VALUE"""),46026.91236111111)</f>
        <v>46026.91236</v>
      </c>
      <c r="Q116" s="305" t="str">
        <f>IFERROR(__xludf.DUMMYFUNCTION("""COMPUTED_VALUE"""),"Saída")</f>
        <v>Saída</v>
      </c>
      <c r="R116" s="307" t="str">
        <f>IFERROR(__xludf.DUMMYFUNCTION("""COMPUTED_VALUE"""),"R$ 34,96")</f>
        <v>R$ 34,96</v>
      </c>
      <c r="S116" s="305" t="str">
        <f>IFERROR(__xludf.DUMMYFUNCTION("""COMPUTED_VALUE"""),"CAFE FUNCIONARIOS")</f>
        <v>CAFE FUNCIONARIOS</v>
      </c>
      <c r="V116" s="308" t="str">
        <f>IFERROR(__xludf.DUMMYFUNCTION("""COMPUTED_VALUE"""),"Não Encontrada")</f>
        <v>Não Encontrada</v>
      </c>
      <c r="W116" s="185"/>
    </row>
    <row r="117" ht="14.25" customHeight="1">
      <c r="A117" s="178"/>
      <c r="B117" s="12">
        <v>1917636.0</v>
      </c>
      <c r="C117" s="13">
        <v>46030.8656712963</v>
      </c>
      <c r="D117" s="179" t="s">
        <v>81</v>
      </c>
      <c r="E117" s="180" t="s">
        <v>6944</v>
      </c>
      <c r="F117" s="181"/>
      <c r="G117" s="179" t="s">
        <v>6945</v>
      </c>
      <c r="H117" s="190"/>
      <c r="I117" s="190"/>
      <c r="J117" s="187" t="s">
        <v>3151</v>
      </c>
      <c r="K117" s="187"/>
      <c r="L117" s="270" t="str">
        <f>IFERROR(__xludf.DUMMYFUNCTION("IF(
  AND(D117=""Saída"", J117=""Sangria""),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74" t="str">
        <f>IFERROR(__xludf.DUMMYFUNCTION("IF(J117=""Compra de Mercadorias"",
   IF(
      COUNTIF(ARRAYFORMULA(TRIM(CLEAN(TO_TEXT(Notas!BS:BS)))), TRIM(CLEAN(TO_TEXT(B117)))) &gt; 0,
      ""Encontrada"",
      ""Não Encontrada""
   ),
"""")"),"Não Encontrada")</f>
        <v>Não Encontrada</v>
      </c>
      <c r="N117" s="185">
        <f>IFERROR(__xludf.DUMMYFUNCTION("ifna(VALUE(REGEXEXTRACT(E117,""[0-9.]+[,]+[0-9]+"")))"),316.25)</f>
        <v>316.25</v>
      </c>
      <c r="O117" s="301">
        <f>IFERROR(__xludf.DUMMYFUNCTION("""COMPUTED_VALUE"""),1908984.0)</f>
        <v>1908984</v>
      </c>
      <c r="P117" s="302">
        <f>IFERROR(__xludf.DUMMYFUNCTION("""COMPUTED_VALUE"""),46026.91284722222)</f>
        <v>46026.91285</v>
      </c>
      <c r="Q117" s="301" t="str">
        <f>IFERROR(__xludf.DUMMYFUNCTION("""COMPUTED_VALUE"""),"Saída")</f>
        <v>Saída</v>
      </c>
      <c r="R117" s="303" t="str">
        <f>IFERROR(__xludf.DUMMYFUNCTION("""COMPUTED_VALUE"""),"R$ 71,40")</f>
        <v>R$ 71,40</v>
      </c>
      <c r="S117" s="301" t="str">
        <f>IFERROR(__xludf.DUMMYFUNCTION("""COMPUTED_VALUE"""),"AGUA SEM GAS")</f>
        <v>AGUA SEM GAS</v>
      </c>
      <c r="V117" s="304" t="str">
        <f>IFERROR(__xludf.DUMMYFUNCTION("""COMPUTED_VALUE"""),"Não Encontrada")</f>
        <v>Não Encontrada</v>
      </c>
      <c r="W117" s="185"/>
    </row>
    <row r="118" ht="14.25" customHeight="1">
      <c r="A118" s="178"/>
      <c r="B118" s="12">
        <v>1918166.0</v>
      </c>
      <c r="C118" s="13">
        <v>46030.93949074074</v>
      </c>
      <c r="D118" s="179" t="s">
        <v>81</v>
      </c>
      <c r="E118" s="180" t="s">
        <v>416</v>
      </c>
      <c r="F118" s="188"/>
      <c r="G118" s="179" t="s">
        <v>381</v>
      </c>
      <c r="H118" s="190"/>
      <c r="I118" s="190"/>
      <c r="J118" s="187" t="s">
        <v>2735</v>
      </c>
      <c r="K118" s="187" t="s">
        <v>6576</v>
      </c>
      <c r="L118" s="270" t="str">
        <f>IFERROR(__xludf.DUMMYFUNCTION("IF(
  AND(D118=""Saída"", J118=""Sangria""),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"),"Confirmada")</f>
        <v>Confirmada</v>
      </c>
      <c r="M118" s="272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IFERROR(__xludf.DUMMYFUNCTION("ifna(VALUE(REGEXEXTRACT(E118,""[0-9.]+[,]+[0-9]+"")))"),100.0)</f>
        <v>100</v>
      </c>
      <c r="O118" s="305">
        <f>IFERROR(__xludf.DUMMYFUNCTION("""COMPUTED_VALUE"""),1908993.0)</f>
        <v>1908993</v>
      </c>
      <c r="P118" s="306">
        <f>IFERROR(__xludf.DUMMYFUNCTION("""COMPUTED_VALUE"""),46026.913564814815)</f>
        <v>46026.91356</v>
      </c>
      <c r="Q118" s="305" t="str">
        <f>IFERROR(__xludf.DUMMYFUNCTION("""COMPUTED_VALUE"""),"Saída")</f>
        <v>Saída</v>
      </c>
      <c r="R118" s="307" t="str">
        <f>IFERROR(__xludf.DUMMYFUNCTION("""COMPUTED_VALUE"""),"R$ 32,04")</f>
        <v>R$ 32,04</v>
      </c>
      <c r="S118" s="305" t="str">
        <f>IFERROR(__xludf.DUMMYFUNCTION("""COMPUTED_VALUE"""),"AGUAS")</f>
        <v>AGUAS</v>
      </c>
      <c r="V118" s="308" t="str">
        <f>IFERROR(__xludf.DUMMYFUNCTION("""COMPUTED_VALUE"""),"Não Encontrada")</f>
        <v>Não Encontrada</v>
      </c>
      <c r="W118" s="185"/>
    </row>
    <row r="119" ht="14.25" customHeight="1">
      <c r="A119" s="178"/>
      <c r="B119" s="12">
        <v>1919057.0</v>
      </c>
      <c r="C119" s="13">
        <v>46031.64394675926</v>
      </c>
      <c r="D119" s="179" t="s">
        <v>81</v>
      </c>
      <c r="E119" s="180" t="s">
        <v>6948</v>
      </c>
      <c r="F119" s="181"/>
      <c r="G119" s="179" t="s">
        <v>6949</v>
      </c>
      <c r="H119" s="190"/>
      <c r="I119" s="190"/>
      <c r="J119" s="187" t="s">
        <v>3151</v>
      </c>
      <c r="K119" s="187"/>
      <c r="L119" s="270" t="str">
        <f>IFERROR(__xludf.DUMMYFUNCTION("IF(
  AND(D119=""Saída"", J119=""Sangria""),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74" t="str">
        <f>IFERROR(__xludf.DUMMYFUNCTION("IF(J119=""Compra de Mercadorias"",
   IF(
      COUNTIF(ARRAYFORMULA(TRIM(CLEAN(TO_TEXT(Notas!BS:BS)))), TRIM(CLEAN(TO_TEXT(B119)))) &gt; 0,
      ""Encontrada"",
      ""Não Encontrada""
   ),
"""")"),"Não Encontrada")</f>
        <v>Não Encontrada</v>
      </c>
      <c r="N119" s="185">
        <f>IFERROR(__xludf.DUMMYFUNCTION("ifna(VALUE(REGEXEXTRACT(E119,""[0-9.]+[,]+[0-9]+"")))"),150.66)</f>
        <v>150.66</v>
      </c>
      <c r="O119" s="301">
        <f>IFERROR(__xludf.DUMMYFUNCTION("""COMPUTED_VALUE"""),1913080.0)</f>
        <v>1913080</v>
      </c>
      <c r="P119" s="302">
        <f>IFERROR(__xludf.DUMMYFUNCTION("""COMPUTED_VALUE"""),46028.79666666666)</f>
        <v>46028.79667</v>
      </c>
      <c r="Q119" s="301" t="str">
        <f>IFERROR(__xludf.DUMMYFUNCTION("""COMPUTED_VALUE"""),"Saída")</f>
        <v>Saída</v>
      </c>
      <c r="R119" s="303" t="str">
        <f>IFERROR(__xludf.DUMMYFUNCTION("""COMPUTED_VALUE"""),"R$ 51,96")</f>
        <v>R$ 51,96</v>
      </c>
      <c r="S119" s="301" t="str">
        <f>IFERROR(__xludf.DUMMYFUNCTION("""COMPUTED_VALUE"""),"LIMPEZA LOJA")</f>
        <v>LIMPEZA LOJA</v>
      </c>
      <c r="V119" s="304" t="str">
        <f>IFERROR(__xludf.DUMMYFUNCTION("""COMPUTED_VALUE"""),"Não Encontrada")</f>
        <v>Não Encontrada</v>
      </c>
      <c r="W119" s="185"/>
    </row>
    <row r="120" ht="14.25" customHeight="1">
      <c r="A120" s="178"/>
      <c r="B120" s="12">
        <v>1919062.0</v>
      </c>
      <c r="C120" s="13">
        <v>46031.64480324074</v>
      </c>
      <c r="D120" s="179" t="s">
        <v>81</v>
      </c>
      <c r="E120" s="180" t="s">
        <v>5289</v>
      </c>
      <c r="F120" s="181"/>
      <c r="G120" s="179" t="s">
        <v>6950</v>
      </c>
      <c r="H120" s="190"/>
      <c r="I120" s="190"/>
      <c r="J120" s="187"/>
      <c r="K120" s="187"/>
      <c r="L120" s="270" t="str">
        <f>IFERROR(__xludf.DUMMYFUNCTION("IF(
  AND(D120=""Saída"", J120=""Sangria""),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2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IFERROR(__xludf.DUMMYFUNCTION("ifna(VALUE(REGEXEXTRACT(E120,""[0-9.]+[,]+[0-9]+"")))"),0.01)</f>
        <v>0.01</v>
      </c>
      <c r="O120" s="305">
        <f>IFERROR(__xludf.DUMMYFUNCTION("""COMPUTED_VALUE"""),1914254.0)</f>
        <v>1914254</v>
      </c>
      <c r="P120" s="306">
        <f>IFERROR(__xludf.DUMMYFUNCTION("""COMPUTED_VALUE"""),46029.569120370375)</f>
        <v>46029.56912</v>
      </c>
      <c r="Q120" s="305" t="str">
        <f>IFERROR(__xludf.DUMMYFUNCTION("""COMPUTED_VALUE"""),"Saída")</f>
        <v>Saída</v>
      </c>
      <c r="R120" s="307" t="str">
        <f>IFERROR(__xludf.DUMMYFUNCTION("""COMPUTED_VALUE"""),"R$ 39,98")</f>
        <v>R$ 39,98</v>
      </c>
      <c r="S120" s="305" t="str">
        <f>IFERROR(__xludf.DUMMYFUNCTION("""COMPUTED_VALUE"""),"limpeza loja")</f>
        <v>limpeza loja</v>
      </c>
      <c r="V120" s="308" t="str">
        <f>IFERROR(__xludf.DUMMYFUNCTION("""COMPUTED_VALUE"""),"Não Encontrada")</f>
        <v>Não Encontrada</v>
      </c>
      <c r="W120" s="185"/>
    </row>
    <row r="121" ht="14.25" customHeight="1">
      <c r="A121" s="178"/>
      <c r="B121" s="12">
        <v>1919800.0</v>
      </c>
      <c r="C121" s="13">
        <v>46031.80320601852</v>
      </c>
      <c r="D121" s="179" t="s">
        <v>81</v>
      </c>
      <c r="E121" s="180" t="s">
        <v>6951</v>
      </c>
      <c r="F121" s="181"/>
      <c r="G121" s="179" t="s">
        <v>5861</v>
      </c>
      <c r="H121" s="190"/>
      <c r="I121" s="190"/>
      <c r="J121" s="187" t="s">
        <v>2019</v>
      </c>
      <c r="K121" s="187" t="s">
        <v>2117</v>
      </c>
      <c r="L121" s="270" t="str">
        <f>IFERROR(__xludf.DUMMYFUNCTION("IF(
  AND(D121=""Saída"", J121=""Sangria""),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74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85">
        <f>IFERROR(__xludf.DUMMYFUNCTION("ifna(VALUE(REGEXEXTRACT(E121,""[0-9.]+[,]+[0-9]+"")))"),21.48)</f>
        <v>21.48</v>
      </c>
      <c r="O121" s="301">
        <f>IFERROR(__xludf.DUMMYFUNCTION("""COMPUTED_VALUE"""),1915406.0)</f>
        <v>1915406</v>
      </c>
      <c r="P121" s="302">
        <f>IFERROR(__xludf.DUMMYFUNCTION("""COMPUTED_VALUE"""),46029.85704861111)</f>
        <v>46029.85705</v>
      </c>
      <c r="Q121" s="301" t="str">
        <f>IFERROR(__xludf.DUMMYFUNCTION("""COMPUTED_VALUE"""),"Saída")</f>
        <v>Saída</v>
      </c>
      <c r="R121" s="303" t="str">
        <f>IFERROR(__xludf.DUMMYFUNCTION("""COMPUTED_VALUE"""),"R$ 118,52")</f>
        <v>R$ 118,52</v>
      </c>
      <c r="S121" s="301" t="str">
        <f>IFERROR(__xludf.DUMMYFUNCTION("""COMPUTED_VALUE"""),"CAFE FUNCIONARIOS")</f>
        <v>CAFE FUNCIONARIOS</v>
      </c>
      <c r="V121" s="304" t="str">
        <f>IFERROR(__xludf.DUMMYFUNCTION("""COMPUTED_VALUE"""),"Não Encontrada")</f>
        <v>Não Encontrada</v>
      </c>
      <c r="W121" s="185"/>
    </row>
    <row r="122" ht="14.25" customHeight="1">
      <c r="A122" s="178"/>
      <c r="B122" s="12">
        <v>1919803.0</v>
      </c>
      <c r="C122" s="13">
        <v>46031.803564814814</v>
      </c>
      <c r="D122" s="179" t="s">
        <v>81</v>
      </c>
      <c r="E122" s="180" t="s">
        <v>6953</v>
      </c>
      <c r="F122" s="181"/>
      <c r="G122" s="179" t="s">
        <v>6779</v>
      </c>
      <c r="H122" s="190"/>
      <c r="I122" s="190"/>
      <c r="J122" s="187" t="s">
        <v>2019</v>
      </c>
      <c r="K122" s="187" t="s">
        <v>6745</v>
      </c>
      <c r="L122" s="270" t="str">
        <f>IFERROR(__xludf.DUMMYFUNCTION("IF(
  AND(D122=""Saída"", J122=""Sangria""),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2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>
        <f>IFERROR(__xludf.DUMMYFUNCTION("ifna(VALUE(REGEXEXTRACT(E122,""[0-9.]+[,]+[0-9]+"")))"),13.08)</f>
        <v>13.08</v>
      </c>
      <c r="O122" s="305">
        <f>IFERROR(__xludf.DUMMYFUNCTION("""COMPUTED_VALUE"""),1917636.0)</f>
        <v>1917636</v>
      </c>
      <c r="P122" s="306">
        <f>IFERROR(__xludf.DUMMYFUNCTION("""COMPUTED_VALUE"""),46030.8656712963)</f>
        <v>46030.86567</v>
      </c>
      <c r="Q122" s="305" t="str">
        <f>IFERROR(__xludf.DUMMYFUNCTION("""COMPUTED_VALUE"""),"Saída")</f>
        <v>Saída</v>
      </c>
      <c r="R122" s="307" t="str">
        <f>IFERROR(__xludf.DUMMYFUNCTION("""COMPUTED_VALUE"""),"R$ 316,25")</f>
        <v>R$ 316,25</v>
      </c>
      <c r="S122" s="305" t="str">
        <f>IFERROR(__xludf.DUMMYFUNCTION("""COMPUTED_VALUE"""),"RESCISÃO WILLIAN")</f>
        <v>RESCISÃO WILLIAN</v>
      </c>
      <c r="V122" s="308" t="str">
        <f>IFERROR(__xludf.DUMMYFUNCTION("""COMPUTED_VALUE"""),"Não Encontrada")</f>
        <v>Não Encontrada</v>
      </c>
      <c r="W122" s="185"/>
    </row>
    <row r="123" ht="14.25" customHeight="1">
      <c r="A123" s="178"/>
      <c r="B123" s="12">
        <v>1919804.0</v>
      </c>
      <c r="C123" s="13">
        <v>46031.80378472222</v>
      </c>
      <c r="D123" s="179" t="s">
        <v>81</v>
      </c>
      <c r="E123" s="180" t="s">
        <v>6955</v>
      </c>
      <c r="F123" s="181"/>
      <c r="G123" s="179" t="s">
        <v>6956</v>
      </c>
      <c r="H123" s="190"/>
      <c r="I123" s="190"/>
      <c r="J123" s="187" t="s">
        <v>2438</v>
      </c>
      <c r="K123" s="187"/>
      <c r="L123" s="270" t="str">
        <f>IFERROR(__xludf.DUMMYFUNCTION("IF(
  AND(D123=""Saída"", J123=""Sangria""),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74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>
        <f>IFERROR(__xludf.DUMMYFUNCTION("ifna(VALUE(REGEXEXTRACT(E123,""[0-9.]+[,]+[0-9]+"")))"),6.29)</f>
        <v>6.29</v>
      </c>
      <c r="O123" s="301">
        <f>IFERROR(__xludf.DUMMYFUNCTION("""COMPUTED_VALUE"""),1919057.0)</f>
        <v>1919057</v>
      </c>
      <c r="P123" s="302">
        <f>IFERROR(__xludf.DUMMYFUNCTION("""COMPUTED_VALUE"""),46031.64394675926)</f>
        <v>46031.64395</v>
      </c>
      <c r="Q123" s="301" t="str">
        <f>IFERROR(__xludf.DUMMYFUNCTION("""COMPUTED_VALUE"""),"Saída")</f>
        <v>Saída</v>
      </c>
      <c r="R123" s="303" t="str">
        <f>IFERROR(__xludf.DUMMYFUNCTION("""COMPUTED_VALUE"""),"R$ 150,66")</f>
        <v>R$ 150,66</v>
      </c>
      <c r="S123" s="301" t="str">
        <f>IFERROR(__xludf.DUMMYFUNCTION("""COMPUTED_VALUE"""),"Outros - FRUTAS")</f>
        <v>Outros - FRUTAS</v>
      </c>
      <c r="V123" s="304" t="str">
        <f>IFERROR(__xludf.DUMMYFUNCTION("""COMPUTED_VALUE"""),"Não Encontrada")</f>
        <v>Não Encontrada</v>
      </c>
      <c r="W123" s="185"/>
    </row>
    <row r="124" ht="14.25" customHeight="1">
      <c r="A124" s="178"/>
      <c r="B124" s="12">
        <v>1920604.0</v>
      </c>
      <c r="C124" s="13">
        <v>46031.945856481485</v>
      </c>
      <c r="D124" s="179" t="s">
        <v>81</v>
      </c>
      <c r="E124" s="180" t="s">
        <v>1400</v>
      </c>
      <c r="F124" s="181"/>
      <c r="G124" s="179" t="s">
        <v>381</v>
      </c>
      <c r="H124" s="190"/>
      <c r="I124" s="190"/>
      <c r="J124" s="187" t="s">
        <v>2735</v>
      </c>
      <c r="K124" s="187" t="s">
        <v>6576</v>
      </c>
      <c r="L124" s="270" t="str">
        <f>IFERROR(__xludf.DUMMYFUNCTION("IF(
  AND(D124=""Saída"", J124=""Sangria""),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"),"Confirmada")</f>
        <v>Confirmada</v>
      </c>
      <c r="M124" s="272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>
        <f>IFERROR(__xludf.DUMMYFUNCTION("ifna(VALUE(REGEXEXTRACT(E124,""[0-9.]+[,]+[0-9]+"")))"),1640.0)</f>
        <v>1640</v>
      </c>
      <c r="O124" s="305">
        <f>IFERROR(__xludf.DUMMYFUNCTION("""COMPUTED_VALUE"""),1923898.0)</f>
        <v>1923898</v>
      </c>
      <c r="P124" s="306">
        <f>IFERROR(__xludf.DUMMYFUNCTION("""COMPUTED_VALUE"""),46033.6493287037)</f>
        <v>46033.64933</v>
      </c>
      <c r="Q124" s="305" t="str">
        <f>IFERROR(__xludf.DUMMYFUNCTION("""COMPUTED_VALUE"""),"Saída")</f>
        <v>Saída</v>
      </c>
      <c r="R124" s="307" t="str">
        <f>IFERROR(__xludf.DUMMYFUNCTION("""COMPUTED_VALUE"""),"R$ 2,59")</f>
        <v>R$ 2,59</v>
      </c>
      <c r="S124" s="305" t="str">
        <f>IFERROR(__xludf.DUMMYFUNCTION("""COMPUTED_VALUE"""),"VINAGRE")</f>
        <v>VINAGRE</v>
      </c>
      <c r="V124" s="308" t="str">
        <f>IFERROR(__xludf.DUMMYFUNCTION("""COMPUTED_VALUE"""),"Não Encontrada")</f>
        <v>Não Encontrada</v>
      </c>
      <c r="W124" s="185"/>
    </row>
    <row r="125" ht="14.25" customHeight="1">
      <c r="A125" s="178"/>
      <c r="B125" s="12">
        <v>1920606.0</v>
      </c>
      <c r="C125" s="13">
        <v>46031.9462037037</v>
      </c>
      <c r="D125" s="179" t="s">
        <v>81</v>
      </c>
      <c r="E125" s="180" t="s">
        <v>979</v>
      </c>
      <c r="F125" s="181"/>
      <c r="G125" s="179" t="s">
        <v>544</v>
      </c>
      <c r="H125" s="190"/>
      <c r="I125" s="190"/>
      <c r="J125" s="187" t="s">
        <v>2019</v>
      </c>
      <c r="K125" s="187" t="s">
        <v>2078</v>
      </c>
      <c r="L125" s="270" t="str">
        <f>IFERROR(__xludf.DUMMYFUNCTION("IF(
  AND(D125=""Saída"", J125=""Sangria""),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74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>
        <f>IFERROR(__xludf.DUMMYFUNCTION("ifna(VALUE(REGEXEXTRACT(E125,""[0-9.]+[,]+[0-9]+"")))"),3.0)</f>
        <v>3</v>
      </c>
      <c r="O125" s="301">
        <f>IFERROR(__xludf.DUMMYFUNCTION("""COMPUTED_VALUE"""),1930845.0)</f>
        <v>1930845</v>
      </c>
      <c r="P125" s="302">
        <f>IFERROR(__xludf.DUMMYFUNCTION("""COMPUTED_VALUE"""),46036.50069444445)</f>
        <v>46036.50069</v>
      </c>
      <c r="Q125" s="301" t="str">
        <f>IFERROR(__xludf.DUMMYFUNCTION("""COMPUTED_VALUE"""),"Saída")</f>
        <v>Saída</v>
      </c>
      <c r="R125" s="303" t="str">
        <f>IFERROR(__xludf.DUMMYFUNCTION("""COMPUTED_VALUE"""),"R$ 2.400,00")</f>
        <v>R$ 2.400,00</v>
      </c>
      <c r="S125" s="301" t="str">
        <f>IFERROR(__xludf.DUMMYFUNCTION("""COMPUTED_VALUE"""),"DEDETIZAÇÃO 13/01/26")</f>
        <v>DEDETIZAÇÃO 13/01/26</v>
      </c>
      <c r="V125" s="304" t="str">
        <f>IFERROR(__xludf.DUMMYFUNCTION("""COMPUTED_VALUE"""),"Não Encontrada")</f>
        <v>Não Encontrada</v>
      </c>
      <c r="W125" s="185"/>
    </row>
    <row r="126" ht="14.25" customHeight="1">
      <c r="A126" s="178"/>
      <c r="B126" s="12">
        <v>1921353.0</v>
      </c>
      <c r="C126" s="13">
        <v>46032.65094907407</v>
      </c>
      <c r="D126" s="179" t="s">
        <v>81</v>
      </c>
      <c r="E126" s="180" t="s">
        <v>184</v>
      </c>
      <c r="F126" s="181"/>
      <c r="G126" s="179" t="s">
        <v>6293</v>
      </c>
      <c r="H126" s="190"/>
      <c r="I126" s="190"/>
      <c r="J126" s="187" t="s">
        <v>2735</v>
      </c>
      <c r="K126" s="187" t="s">
        <v>2018</v>
      </c>
      <c r="L126" s="270" t="str">
        <f>IFERROR(__xludf.DUMMYFUNCTION("IF(
  AND(D126=""Saída"", J126=""Sangria""),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"),"Confirmada")</f>
        <v>Confirmada</v>
      </c>
      <c r="M126" s="272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IFERROR(__xludf.DUMMYFUNCTION("ifna(VALUE(REGEXEXTRACT(E126,""[0-9.]+[,]+[0-9]+"")))"),450.0)</f>
        <v>450</v>
      </c>
      <c r="O126" s="305">
        <f>IFERROR(__xludf.DUMMYFUNCTION("""COMPUTED_VALUE"""),1934753.0)</f>
        <v>1934753</v>
      </c>
      <c r="P126" s="306">
        <f>IFERROR(__xludf.DUMMYFUNCTION("""COMPUTED_VALUE"""),46037.99607638889)</f>
        <v>46037.99608</v>
      </c>
      <c r="Q126" s="305" t="str">
        <f>IFERROR(__xludf.DUMMYFUNCTION("""COMPUTED_VALUE"""),"Saída")</f>
        <v>Saída</v>
      </c>
      <c r="R126" s="307" t="str">
        <f>IFERROR(__xludf.DUMMYFUNCTION("""COMPUTED_VALUE"""),"R$ 52,73")</f>
        <v>R$ 52,73</v>
      </c>
      <c r="S126" s="305" t="str">
        <f>IFERROR(__xludf.DUMMYFUNCTION("""COMPUTED_VALUE"""),"CAFE FUNCIONARIOS")</f>
        <v>CAFE FUNCIONARIOS</v>
      </c>
      <c r="V126" s="308" t="str">
        <f>IFERROR(__xludf.DUMMYFUNCTION("""COMPUTED_VALUE"""),"Não Encontrada")</f>
        <v>Não Encontrada</v>
      </c>
      <c r="W126" s="185"/>
    </row>
    <row r="127" ht="14.25" customHeight="1">
      <c r="A127" s="178"/>
      <c r="B127" s="12">
        <v>1922981.0</v>
      </c>
      <c r="C127" s="13">
        <v>46032.93292824074</v>
      </c>
      <c r="D127" s="179" t="s">
        <v>81</v>
      </c>
      <c r="E127" s="180" t="s">
        <v>446</v>
      </c>
      <c r="F127" s="181"/>
      <c r="G127" s="179" t="s">
        <v>6762</v>
      </c>
      <c r="H127" s="190"/>
      <c r="I127" s="190"/>
      <c r="J127" s="187" t="s">
        <v>2735</v>
      </c>
      <c r="K127" s="187" t="s">
        <v>2018</v>
      </c>
      <c r="L127" s="270" t="str">
        <f>IFERROR(__xludf.DUMMYFUNCTION("IF(
  AND(D127=""Saída"", J127=""Sangria""),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"),"Confirmada")</f>
        <v>Confirmada</v>
      </c>
      <c r="M127" s="274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>
        <f>IFERROR(__xludf.DUMMYFUNCTION("ifna(VALUE(REGEXEXTRACT(E127,""[0-9.]+[,]+[0-9]+"")))"),700.0)</f>
        <v>700</v>
      </c>
      <c r="O127" s="301">
        <f>IFERROR(__xludf.DUMMYFUNCTION("""COMPUTED_VALUE"""),1936135.0)</f>
        <v>1936135</v>
      </c>
      <c r="P127" s="302">
        <f>IFERROR(__xludf.DUMMYFUNCTION("""COMPUTED_VALUE"""),46038.86381944444)</f>
        <v>46038.86382</v>
      </c>
      <c r="Q127" s="301" t="str">
        <f>IFERROR(__xludf.DUMMYFUNCTION("""COMPUTED_VALUE"""),"Saída")</f>
        <v>Saída</v>
      </c>
      <c r="R127" s="303" t="str">
        <f>IFERROR(__xludf.DUMMYFUNCTION("""COMPUTED_VALUE"""),"R$ 38,38")</f>
        <v>R$ 38,38</v>
      </c>
      <c r="S127" s="301" t="str">
        <f>IFERROR(__xludf.DUMMYFUNCTION("""COMPUTED_VALUE"""),"doacao lar acolimento lar das meninas")</f>
        <v>doacao lar acolimento lar das meninas</v>
      </c>
      <c r="V127" s="304" t="str">
        <f>IFERROR(__xludf.DUMMYFUNCTION("""COMPUTED_VALUE"""),"Não Encontrada")</f>
        <v>Não Encontrada</v>
      </c>
      <c r="W127" s="185"/>
    </row>
    <row r="128" ht="14.25" customHeight="1">
      <c r="A128" s="178"/>
      <c r="B128" s="12">
        <v>1922992.0</v>
      </c>
      <c r="C128" s="13">
        <v>46032.933958333335</v>
      </c>
      <c r="D128" s="179" t="s">
        <v>81</v>
      </c>
      <c r="E128" s="180" t="s">
        <v>659</v>
      </c>
      <c r="F128" s="188"/>
      <c r="G128" s="179" t="s">
        <v>6958</v>
      </c>
      <c r="H128" s="190"/>
      <c r="I128" s="190"/>
      <c r="J128" s="187" t="s">
        <v>2019</v>
      </c>
      <c r="K128" s="187" t="s">
        <v>2117</v>
      </c>
      <c r="L128" s="270" t="str">
        <f>IFERROR(__xludf.DUMMYFUNCTION("IF(
  AND(D128=""Saída"", J128=""Sangria""),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2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>
        <f>IFERROR(__xludf.DUMMYFUNCTION("ifna(VALUE(REGEXEXTRACT(E128,""[0-9.]+[,]+[0-9]+"")))"),5.0)</f>
        <v>5</v>
      </c>
      <c r="O128" s="308">
        <f>IFERROR(__xludf.DUMMYFUNCTION("""COMPUTED_VALUE"""),1936770.0)</f>
        <v>1936770</v>
      </c>
      <c r="P128" s="306">
        <f>IFERROR(__xludf.DUMMYFUNCTION("""COMPUTED_VALUE"""),46038.95878472222)</f>
        <v>46038.95878</v>
      </c>
      <c r="Q128" s="308" t="str">
        <f>IFERROR(__xludf.DUMMYFUNCTION("""COMPUTED_VALUE"""),"Saída")</f>
        <v>Saída</v>
      </c>
      <c r="R128" s="307" t="str">
        <f>IFERROR(__xludf.DUMMYFUNCTION("""COMPUTED_VALUE"""),"R$ 39,56")</f>
        <v>R$ 39,56</v>
      </c>
      <c r="S128" s="308" t="str">
        <f>IFERROR(__xludf.DUMMYFUNCTION("""COMPUTED_VALUE"""),"frutas")</f>
        <v>frutas</v>
      </c>
      <c r="V128" s="308" t="str">
        <f>IFERROR(__xludf.DUMMYFUNCTION("""COMPUTED_VALUE"""),"Não Encontrada")</f>
        <v>Não Encontrada</v>
      </c>
      <c r="W128" s="185"/>
    </row>
    <row r="129" ht="14.25" customHeight="1">
      <c r="A129" s="178"/>
      <c r="B129" s="12">
        <v>1923003.0</v>
      </c>
      <c r="C129" s="13">
        <v>46032.934745370374</v>
      </c>
      <c r="D129" s="179" t="s">
        <v>81</v>
      </c>
      <c r="E129" s="180" t="s">
        <v>6959</v>
      </c>
      <c r="F129" s="181"/>
      <c r="G129" s="179" t="s">
        <v>6960</v>
      </c>
      <c r="H129" s="190"/>
      <c r="I129" s="190"/>
      <c r="J129" s="187" t="s">
        <v>2019</v>
      </c>
      <c r="K129" s="187" t="s">
        <v>6745</v>
      </c>
      <c r="L129" s="270" t="str">
        <f>IFERROR(__xludf.DUMMYFUNCTION("IF(
  AND(D129=""Saída"", J129=""Sangria""),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74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>
        <f>IFERROR(__xludf.DUMMYFUNCTION("ifna(VALUE(REGEXEXTRACT(E129,""[0-9.]+[,]+[0-9]+"")))"),27.27)</f>
        <v>27.27</v>
      </c>
      <c r="O129" s="304">
        <f>IFERROR(__xludf.DUMMYFUNCTION("""COMPUTED_VALUE"""),1936775.0)</f>
        <v>1936775</v>
      </c>
      <c r="P129" s="302">
        <f>IFERROR(__xludf.DUMMYFUNCTION("""COMPUTED_VALUE"""),46038.9591550926)</f>
        <v>46038.95916</v>
      </c>
      <c r="Q129" s="304" t="str">
        <f>IFERROR(__xludf.DUMMYFUNCTION("""COMPUTED_VALUE"""),"Saída")</f>
        <v>Saída</v>
      </c>
      <c r="R129" s="303" t="str">
        <f>IFERROR(__xludf.DUMMYFUNCTION("""COMPUTED_VALUE"""),"R$ 377,91")</f>
        <v>R$ 377,91</v>
      </c>
      <c r="S129" s="304" t="str">
        <f>IFERROR(__xludf.DUMMYFUNCTION("""COMPUTED_VALUE"""),"frutas e cafe funcionarios")</f>
        <v>frutas e cafe funcionarios</v>
      </c>
      <c r="V129" s="304" t="str">
        <f>IFERROR(__xludf.DUMMYFUNCTION("""COMPUTED_VALUE"""),"Não Encontrada")</f>
        <v>Não Encontrada</v>
      </c>
      <c r="W129" s="185"/>
    </row>
    <row r="130" ht="14.25" customHeight="1">
      <c r="A130" s="178"/>
      <c r="B130" s="12">
        <v>1923006.0</v>
      </c>
      <c r="C130" s="13">
        <v>46032.93518518518</v>
      </c>
      <c r="D130" s="179" t="s">
        <v>81</v>
      </c>
      <c r="E130" s="180" t="s">
        <v>6962</v>
      </c>
      <c r="F130" s="181"/>
      <c r="G130" s="179" t="s">
        <v>6963</v>
      </c>
      <c r="H130" s="190"/>
      <c r="I130" s="190"/>
      <c r="J130" s="187" t="s">
        <v>2019</v>
      </c>
      <c r="K130" s="187" t="s">
        <v>6576</v>
      </c>
      <c r="L130" s="270" t="str">
        <f>IFERROR(__xludf.DUMMYFUNCTION("IF(
  AND(D130=""Saída"", J130=""Sangria""),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2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>
        <f>IFERROR(__xludf.DUMMYFUNCTION("ifna(VALUE(REGEXEXTRACT(E130,""[0-9.]+[,]+[0-9]+"")))"),53.84)</f>
        <v>53.84</v>
      </c>
      <c r="O130" s="305">
        <f>IFERROR(__xludf.DUMMYFUNCTION("""COMPUTED_VALUE"""),1947250.0)</f>
        <v>1947250</v>
      </c>
      <c r="P130" s="306">
        <f>IFERROR(__xludf.DUMMYFUNCTION("""COMPUTED_VALUE"""),46043.81657407407)</f>
        <v>46043.81657</v>
      </c>
      <c r="Q130" s="305" t="str">
        <f>IFERROR(__xludf.DUMMYFUNCTION("""COMPUTED_VALUE"""),"Saída")</f>
        <v>Saída</v>
      </c>
      <c r="R130" s="307" t="str">
        <f>IFERROR(__xludf.DUMMYFUNCTION("""COMPUTED_VALUE"""),"R$ 193,35")</f>
        <v>R$ 193,35</v>
      </c>
      <c r="S130" s="305" t="str">
        <f>IFERROR(__xludf.DUMMYFUNCTION("""COMPUTED_VALUE"""),"FRUTAS E CAFE FUNCIONARIOS")</f>
        <v>FRUTAS E CAFE FUNCIONARIOS</v>
      </c>
      <c r="V130" s="305" t="str">
        <f>IFERROR(__xludf.DUMMYFUNCTION("""COMPUTED_VALUE"""),"Não Encontrada")</f>
        <v>Não Encontrada</v>
      </c>
      <c r="W130" s="25"/>
    </row>
    <row r="131" ht="14.25" customHeight="1">
      <c r="A131" s="178"/>
      <c r="B131" s="12">
        <v>1923013.0</v>
      </c>
      <c r="C131" s="13">
        <v>46032.935740740744</v>
      </c>
      <c r="D131" s="179" t="s">
        <v>81</v>
      </c>
      <c r="E131" s="180" t="s">
        <v>6964</v>
      </c>
      <c r="F131" s="181"/>
      <c r="G131" s="179" t="s">
        <v>6965</v>
      </c>
      <c r="H131" s="190"/>
      <c r="I131" s="190"/>
      <c r="J131" s="187" t="s">
        <v>2019</v>
      </c>
      <c r="K131" s="187" t="s">
        <v>2018</v>
      </c>
      <c r="L131" s="270" t="str">
        <f>IFERROR(__xludf.DUMMYFUNCTION("IF(
  AND(D131=""Saída"", J131=""Sangria""),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76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>
        <f>IFERROR(__xludf.DUMMYFUNCTION("ifna(VALUE(REGEXEXTRACT(E131,""[0-9.]+[,]+[0-9]+"")))"),59.82)</f>
        <v>59.82</v>
      </c>
      <c r="O131" s="309">
        <f>IFERROR(__xludf.DUMMYFUNCTION("""COMPUTED_VALUE"""),1951511.0)</f>
        <v>1951511</v>
      </c>
      <c r="P131" s="302">
        <f>IFERROR(__xludf.DUMMYFUNCTION("""COMPUTED_VALUE"""),46045.94987268519)</f>
        <v>46045.94987</v>
      </c>
      <c r="Q131" s="301" t="str">
        <f>IFERROR(__xludf.DUMMYFUNCTION("""COMPUTED_VALUE"""),"Saída")</f>
        <v>Saída</v>
      </c>
      <c r="R131" s="303" t="str">
        <f>IFERROR(__xludf.DUMMYFUNCTION("""COMPUTED_VALUE"""),"R$ 52,87")</f>
        <v>R$ 52,87</v>
      </c>
      <c r="S131" s="301" t="str">
        <f>IFERROR(__xludf.DUMMYFUNCTION("""COMPUTED_VALUE"""),"FRUTAS")</f>
        <v>FRUTAS</v>
      </c>
      <c r="V131" s="301" t="str">
        <f>IFERROR(__xludf.DUMMYFUNCTION("""COMPUTED_VALUE"""),"Não Encontrada")</f>
        <v>Não Encontrada</v>
      </c>
      <c r="W131" s="25"/>
    </row>
    <row r="132" ht="14.25" customHeight="1">
      <c r="A132" s="178"/>
      <c r="B132" s="12">
        <v>1923898.0</v>
      </c>
      <c r="C132" s="13">
        <v>46033.6493287037</v>
      </c>
      <c r="D132" s="179" t="s">
        <v>81</v>
      </c>
      <c r="E132" s="180" t="s">
        <v>6966</v>
      </c>
      <c r="F132" s="181"/>
      <c r="G132" s="179" t="s">
        <v>6968</v>
      </c>
      <c r="H132" s="190"/>
      <c r="I132" s="190"/>
      <c r="J132" s="187" t="s">
        <v>3151</v>
      </c>
      <c r="K132" s="187"/>
      <c r="L132" s="270" t="str">
        <f>IFERROR(__xludf.DUMMYFUNCTION("IF(
  AND(D132=""Saída"", J132=""Sangria""),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2" t="str">
        <f>IFERROR(__xludf.DUMMYFUNCTION("IF(J132=""Compra de Mercadorias"",
   IF(
      COUNTIF(ARRAYFORMULA(TRIM(CLEAN(TO_TEXT(Notas!BS:BS)))), TRIM(CLEAN(TO_TEXT(B132)))) &gt; 0,
      ""Encontrada"",
      ""Não Encontrada""
   ),
"""")"),"Não Encontrada")</f>
        <v>Não Encontrada</v>
      </c>
      <c r="N132" s="185">
        <f>IFERROR(__xludf.DUMMYFUNCTION("ifna(VALUE(REGEXEXTRACT(E132,""[0-9.]+[,]+[0-9]+"")))"),2.59)</f>
        <v>2.59</v>
      </c>
      <c r="O132" s="305">
        <f>IFERROR(__xludf.DUMMYFUNCTION("""COMPUTED_VALUE"""),1951517.0)</f>
        <v>1951517</v>
      </c>
      <c r="P132" s="306">
        <f>IFERROR(__xludf.DUMMYFUNCTION("""COMPUTED_VALUE"""),46045.95136574074)</f>
        <v>46045.95137</v>
      </c>
      <c r="Q132" s="305" t="str">
        <f>IFERROR(__xludf.DUMMYFUNCTION("""COMPUTED_VALUE"""),"Saída")</f>
        <v>Saída</v>
      </c>
      <c r="R132" s="307" t="str">
        <f>IFERROR(__xludf.DUMMYFUNCTION("""COMPUTED_VALUE"""),"R$ 17,98")</f>
        <v>R$ 17,98</v>
      </c>
      <c r="S132" s="305" t="str">
        <f>IFERROR(__xludf.DUMMYFUNCTION("""COMPUTED_VALUE"""),"MATERIAIS ESCRITORIO")</f>
        <v>MATERIAIS ESCRITORIO</v>
      </c>
      <c r="V132" s="305" t="str">
        <f>IFERROR(__xludf.DUMMYFUNCTION("""COMPUTED_VALUE"""),"Não Encontrada")</f>
        <v>Não Encontrada</v>
      </c>
      <c r="W132" s="25"/>
    </row>
    <row r="133" ht="14.25" customHeight="1">
      <c r="A133" s="178"/>
      <c r="B133" s="12">
        <v>1925368.0</v>
      </c>
      <c r="C133" s="13">
        <v>46033.89277777778</v>
      </c>
      <c r="D133" s="179" t="s">
        <v>81</v>
      </c>
      <c r="E133" s="180" t="s">
        <v>6969</v>
      </c>
      <c r="F133" s="181"/>
      <c r="G133" s="179" t="s">
        <v>6970</v>
      </c>
      <c r="H133" s="190"/>
      <c r="I133" s="190"/>
      <c r="J133" s="187" t="s">
        <v>1782</v>
      </c>
      <c r="K133" s="187"/>
      <c r="L133" s="270" t="str">
        <f>IFERROR(__xludf.DUMMYFUNCTION("IF(
  AND(D133=""Saída"", J133=""Sangria""),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74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>
        <f>IFERROR(__xludf.DUMMYFUNCTION("ifna(VALUE(REGEXEXTRACT(E133,""[0-9.]+[,]+[0-9]+"")))"),133.0)</f>
        <v>133</v>
      </c>
      <c r="O133" s="301">
        <f>IFERROR(__xludf.DUMMYFUNCTION("""COMPUTED_VALUE"""),1951568.0)</f>
        <v>1951568</v>
      </c>
      <c r="P133" s="302">
        <f>IFERROR(__xludf.DUMMYFUNCTION("""COMPUTED_VALUE"""),46045.962743055556)</f>
        <v>46045.96274</v>
      </c>
      <c r="Q133" s="301" t="str">
        <f>IFERROR(__xludf.DUMMYFUNCTION("""COMPUTED_VALUE"""),"Saída")</f>
        <v>Saída</v>
      </c>
      <c r="R133" s="303" t="str">
        <f>IFERROR(__xludf.DUMMYFUNCTION("""COMPUTED_VALUE"""),"R$ 92,51")</f>
        <v>R$ 92,51</v>
      </c>
      <c r="S133" s="301" t="str">
        <f>IFERROR(__xludf.DUMMYFUNCTION("""COMPUTED_VALUE"""),"CAFE FUNCIONARIOS")</f>
        <v>CAFE FUNCIONARIOS</v>
      </c>
      <c r="V133" s="301" t="str">
        <f>IFERROR(__xludf.DUMMYFUNCTION("""COMPUTED_VALUE"""),"Não Encontrada")</f>
        <v>Não Encontrada</v>
      </c>
      <c r="W133" s="25"/>
    </row>
    <row r="134" ht="14.25" customHeight="1">
      <c r="A134" s="178"/>
      <c r="B134" s="12">
        <v>1925888.0</v>
      </c>
      <c r="C134" s="13">
        <v>46033.93016203704</v>
      </c>
      <c r="D134" s="179" t="s">
        <v>81</v>
      </c>
      <c r="E134" s="180" t="s">
        <v>3419</v>
      </c>
      <c r="F134" s="181"/>
      <c r="G134" s="179" t="s">
        <v>128</v>
      </c>
      <c r="H134" s="190"/>
      <c r="I134" s="190"/>
      <c r="J134" s="187" t="s">
        <v>2735</v>
      </c>
      <c r="K134" s="187" t="s">
        <v>6576</v>
      </c>
      <c r="L134" s="270" t="str">
        <f>IFERROR(__xludf.DUMMYFUNCTION("IF(
  AND(D134=""Saída"", J134=""Sangria""),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"),"Confirmada")</f>
        <v>Confirmada</v>
      </c>
      <c r="M134" s="272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IFERROR(__xludf.DUMMYFUNCTION("ifna(VALUE(REGEXEXTRACT(E134,""[0-9.]+[,]+[0-9]+"")))"),1800.0)</f>
        <v>1800</v>
      </c>
      <c r="O134" s="305">
        <f>IFERROR(__xludf.DUMMYFUNCTION("""COMPUTED_VALUE"""),1954508.0)</f>
        <v>1954508</v>
      </c>
      <c r="P134" s="306">
        <f>IFERROR(__xludf.DUMMYFUNCTION("""COMPUTED_VALUE"""),46047.61907407407)</f>
        <v>46047.61907</v>
      </c>
      <c r="Q134" s="305" t="str">
        <f>IFERROR(__xludf.DUMMYFUNCTION("""COMPUTED_VALUE"""),"Saída")</f>
        <v>Saída</v>
      </c>
      <c r="R134" s="307" t="str">
        <f>IFERROR(__xludf.DUMMYFUNCTION("""COMPUTED_VALUE"""),"R$ 71,58")</f>
        <v>R$ 71,58</v>
      </c>
      <c r="S134" s="305" t="str">
        <f>IFERROR(__xludf.DUMMYFUNCTION("""COMPUTED_VALUE"""),"frutas")</f>
        <v>frutas</v>
      </c>
      <c r="V134" s="305" t="str">
        <f>IFERROR(__xludf.DUMMYFUNCTION("""COMPUTED_VALUE"""),"Não Encontrada")</f>
        <v>Não Encontrada</v>
      </c>
      <c r="W134" s="25"/>
    </row>
    <row r="135" ht="14.25" customHeight="1">
      <c r="A135" s="178"/>
      <c r="B135" s="12">
        <v>1925954.0</v>
      </c>
      <c r="C135" s="13">
        <v>46033.93578703704</v>
      </c>
      <c r="D135" s="179" t="s">
        <v>152</v>
      </c>
      <c r="E135" s="180" t="s">
        <v>485</v>
      </c>
      <c r="F135" s="181"/>
      <c r="G135" s="179" t="s">
        <v>158</v>
      </c>
      <c r="H135" s="190"/>
      <c r="I135" s="190"/>
      <c r="J135" s="187" t="s">
        <v>2669</v>
      </c>
      <c r="K135" s="187"/>
      <c r="L135" s="270" t="str">
        <f>IFERROR(__xludf.DUMMYFUNCTION("IF(
  AND(D135=""Saída"", J135=""Sangria""),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74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IFERROR(__xludf.DUMMYFUNCTION("ifna(VALUE(REGEXEXTRACT(E135,""[0-9.]+[,]+[0-9]+"")))"),60.0)</f>
        <v>60</v>
      </c>
      <c r="O135" s="301"/>
      <c r="P135" s="321"/>
      <c r="Q135" s="301"/>
      <c r="R135" s="301"/>
      <c r="S135" s="301"/>
      <c r="V135" s="301"/>
      <c r="W135" s="25"/>
    </row>
    <row r="136" ht="14.25" customHeight="1">
      <c r="A136" s="178"/>
      <c r="B136" s="12">
        <v>1925961.0</v>
      </c>
      <c r="C136" s="13">
        <v>46033.93619212963</v>
      </c>
      <c r="D136" s="179" t="s">
        <v>152</v>
      </c>
      <c r="E136" s="180" t="s">
        <v>335</v>
      </c>
      <c r="F136" s="188"/>
      <c r="G136" s="179" t="s">
        <v>158</v>
      </c>
      <c r="H136" s="190"/>
      <c r="I136" s="190"/>
      <c r="J136" s="187" t="s">
        <v>2669</v>
      </c>
      <c r="K136" s="187"/>
      <c r="L136" s="270" t="str">
        <f>IFERROR(__xludf.DUMMYFUNCTION("IF(
  AND(D136=""Saída"", J136=""Sangria""),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6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IFERROR(__xludf.DUMMYFUNCTION("ifna(VALUE(REGEXEXTRACT(E136,""[0-9.]+[,]+[0-9]+"")))"),10.0)</f>
        <v>10</v>
      </c>
      <c r="O136" s="305"/>
      <c r="P136" s="311"/>
      <c r="Q136" s="305"/>
      <c r="R136" s="305"/>
      <c r="S136" s="305"/>
      <c r="V136" s="305"/>
      <c r="W136" s="25"/>
    </row>
    <row r="137" ht="14.25" customHeight="1">
      <c r="A137" s="178"/>
      <c r="B137" s="12">
        <v>1927146.0</v>
      </c>
      <c r="C137" s="13">
        <v>46034.66207175926</v>
      </c>
      <c r="D137" s="179" t="s">
        <v>81</v>
      </c>
      <c r="E137" s="180" t="s">
        <v>6974</v>
      </c>
      <c r="F137" s="181"/>
      <c r="G137" s="179" t="s">
        <v>629</v>
      </c>
      <c r="H137" s="190"/>
      <c r="I137" s="190"/>
      <c r="J137" s="187" t="s">
        <v>2438</v>
      </c>
      <c r="K137" s="187"/>
      <c r="L137" s="270" t="str">
        <f>IFERROR(__xludf.DUMMYFUNCTION("IF(
  AND(D137=""Saída"", J137=""Sangria""),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74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IFERROR(__xludf.DUMMYFUNCTION("ifna(VALUE(REGEXEXTRACT(E137,""[0-9.]+[,]+[0-9]+"")))"),24.66)</f>
        <v>24.66</v>
      </c>
      <c r="O137" s="301"/>
      <c r="P137" s="321"/>
      <c r="Q137" s="301"/>
      <c r="R137" s="301"/>
      <c r="S137" s="301"/>
      <c r="V137" s="301"/>
      <c r="W137" s="25"/>
    </row>
    <row r="138" ht="14.25" customHeight="1">
      <c r="A138" s="178"/>
      <c r="B138" s="12">
        <v>1927290.0</v>
      </c>
      <c r="C138" s="13">
        <v>46034.69393518518</v>
      </c>
      <c r="D138" s="179" t="s">
        <v>81</v>
      </c>
      <c r="E138" s="180" t="s">
        <v>6975</v>
      </c>
      <c r="F138" s="181"/>
      <c r="G138" s="179" t="s">
        <v>6779</v>
      </c>
      <c r="H138" s="190"/>
      <c r="I138" s="190"/>
      <c r="J138" s="187" t="s">
        <v>2019</v>
      </c>
      <c r="K138" s="187" t="s">
        <v>6745</v>
      </c>
      <c r="L138" s="270" t="str">
        <f>IFERROR(__xludf.DUMMYFUNCTION("IF(
  AND(D138=""Saída"", J138=""Sangria""),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2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IFERROR(__xludf.DUMMYFUNCTION("ifna(VALUE(REGEXEXTRACT(E138,""[0-9.]+[,]+[0-9]+"")))"),17.59)</f>
        <v>17.59</v>
      </c>
      <c r="O138" s="305"/>
      <c r="P138" s="311"/>
      <c r="Q138" s="305"/>
      <c r="R138" s="305"/>
      <c r="S138" s="305"/>
      <c r="V138" s="305"/>
      <c r="W138" s="25"/>
    </row>
    <row r="139" ht="14.25" customHeight="1">
      <c r="A139" s="178"/>
      <c r="B139" s="12">
        <v>1928575.0</v>
      </c>
      <c r="C139" s="13">
        <v>46034.95443287037</v>
      </c>
      <c r="D139" s="179" t="s">
        <v>81</v>
      </c>
      <c r="E139" s="180" t="s">
        <v>6976</v>
      </c>
      <c r="F139" s="181"/>
      <c r="G139" s="179" t="s">
        <v>544</v>
      </c>
      <c r="H139" s="190"/>
      <c r="I139" s="190"/>
      <c r="J139" s="187" t="s">
        <v>2019</v>
      </c>
      <c r="K139" s="187" t="s">
        <v>2078</v>
      </c>
      <c r="L139" s="270" t="str">
        <f>IFERROR(__xludf.DUMMYFUNCTION("IF(
  AND(D139=""Saída"", J139=""Sangria""),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74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IFERROR(__xludf.DUMMYFUNCTION("ifna(VALUE(REGEXEXTRACT(E139,""[0-9.]+[,]+[0-9]+"")))"),43.68)</f>
        <v>43.68</v>
      </c>
      <c r="O139" s="301"/>
      <c r="P139" s="310"/>
      <c r="Q139" s="301"/>
      <c r="R139" s="301"/>
      <c r="S139" s="301"/>
      <c r="V139" s="301"/>
      <c r="W139" s="25"/>
    </row>
    <row r="140" ht="14.25" customHeight="1">
      <c r="A140" s="178"/>
      <c r="B140" s="12">
        <v>1928578.0</v>
      </c>
      <c r="C140" s="13">
        <v>46034.95486111111</v>
      </c>
      <c r="D140" s="179" t="s">
        <v>81</v>
      </c>
      <c r="E140" s="180" t="s">
        <v>6977</v>
      </c>
      <c r="F140" s="181"/>
      <c r="G140" s="179" t="s">
        <v>6978</v>
      </c>
      <c r="H140" s="190"/>
      <c r="I140" s="190"/>
      <c r="J140" s="187" t="s">
        <v>2438</v>
      </c>
      <c r="K140" s="187"/>
      <c r="L140" s="270" t="str">
        <f>IFERROR(__xludf.DUMMYFUNCTION("IF(
  AND(D140=""Saída"", J140=""Sangria""),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2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IFERROR(__xludf.DUMMYFUNCTION("ifna(VALUE(REGEXEXTRACT(E140,""[0-9.]+[,]+[0-9]+"")))"),134.98)</f>
        <v>134.98</v>
      </c>
      <c r="O140" s="305"/>
      <c r="P140" s="311"/>
      <c r="Q140" s="305"/>
      <c r="R140" s="305"/>
      <c r="S140" s="305"/>
      <c r="V140" s="305"/>
      <c r="W140" s="25"/>
    </row>
    <row r="141" ht="14.25" customHeight="1">
      <c r="A141" s="178"/>
      <c r="B141" s="12">
        <v>1928633.0</v>
      </c>
      <c r="C141" s="13">
        <v>46034.963738425926</v>
      </c>
      <c r="D141" s="179" t="s">
        <v>81</v>
      </c>
      <c r="E141" s="180" t="s">
        <v>6805</v>
      </c>
      <c r="F141" s="188"/>
      <c r="G141" s="179" t="s">
        <v>381</v>
      </c>
      <c r="H141" s="190"/>
      <c r="I141" s="190"/>
      <c r="J141" s="187" t="s">
        <v>2735</v>
      </c>
      <c r="K141" s="187" t="s">
        <v>6576</v>
      </c>
      <c r="L141" s="270" t="str">
        <f>IFERROR(__xludf.DUMMYFUNCTION("IF(
  AND(D141=""Saída"", J141=""Sangria""),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"),"Caixa Atendimento")</f>
        <v>Caixa Atendimento</v>
      </c>
      <c r="M141" s="274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>
        <f>IFERROR(__xludf.DUMMYFUNCTION("ifna(VALUE(REGEXEXTRACT(E141,""[0-9.]+[,]+[0-9]+"")))"),2100.0)</f>
        <v>2100</v>
      </c>
      <c r="O141" s="304"/>
      <c r="P141" s="312"/>
      <c r="Q141" s="304"/>
      <c r="R141" s="304"/>
      <c r="S141" s="304"/>
      <c r="V141" s="304"/>
      <c r="W141" s="185"/>
    </row>
    <row r="142" ht="14.25" customHeight="1">
      <c r="A142" s="178"/>
      <c r="B142" s="12">
        <v>1928908.0</v>
      </c>
      <c r="C142" s="13">
        <v>46035.55494212963</v>
      </c>
      <c r="D142" s="179" t="s">
        <v>152</v>
      </c>
      <c r="E142" s="180" t="s">
        <v>6572</v>
      </c>
      <c r="F142" s="181"/>
      <c r="G142" s="179" t="s">
        <v>267</v>
      </c>
      <c r="H142" s="190"/>
      <c r="I142" s="190"/>
      <c r="J142" s="187" t="s">
        <v>2669</v>
      </c>
      <c r="K142" s="187"/>
      <c r="L142" s="270" t="str">
        <f>IFERROR(__xludf.DUMMYFUNCTION("IF(
  AND(D142=""Saída"", J142=""Sangria""),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2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>
        <f>IFERROR(__xludf.DUMMYFUNCTION("ifna(VALUE(REGEXEXTRACT(E142,""[0-9.]+[,]+[0-9]+"")))"),3.7)</f>
        <v>3.7</v>
      </c>
      <c r="O142" s="308"/>
      <c r="P142" s="313"/>
      <c r="Q142" s="308"/>
      <c r="R142" s="308"/>
      <c r="S142" s="308"/>
      <c r="V142" s="308"/>
      <c r="W142" s="185"/>
    </row>
    <row r="143" ht="14.25" customHeight="1">
      <c r="A143" s="178"/>
      <c r="B143" s="12">
        <v>1928944.0</v>
      </c>
      <c r="C143" s="13">
        <v>46035.56929398148</v>
      </c>
      <c r="D143" s="179" t="s">
        <v>152</v>
      </c>
      <c r="E143" s="180" t="s">
        <v>1263</v>
      </c>
      <c r="F143" s="181"/>
      <c r="G143" s="179" t="s">
        <v>6341</v>
      </c>
      <c r="H143" s="190"/>
      <c r="I143" s="190"/>
      <c r="J143" s="187" t="s">
        <v>5195</v>
      </c>
      <c r="K143" s="187"/>
      <c r="L143" s="270" t="str">
        <f>IFERROR(__xludf.DUMMYFUNCTION("IF(
  AND(D143=""Saída"", J143=""Sangria""),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74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>
        <f>IFERROR(__xludf.DUMMYFUNCTION("ifna(VALUE(REGEXEXTRACT(E143,""[0-9.]+[,]+[0-9]+"")))"),70.0)</f>
        <v>70</v>
      </c>
      <c r="O143" s="304"/>
      <c r="P143" s="312"/>
      <c r="Q143" s="304"/>
      <c r="R143" s="304"/>
      <c r="S143" s="304"/>
      <c r="V143" s="304"/>
      <c r="W143" s="185"/>
    </row>
    <row r="144" ht="14.25" customHeight="1">
      <c r="A144" s="178"/>
      <c r="B144" s="12">
        <v>1928945.0</v>
      </c>
      <c r="C144" s="13">
        <v>46035.569444444445</v>
      </c>
      <c r="D144" s="179" t="s">
        <v>81</v>
      </c>
      <c r="E144" s="180" t="s">
        <v>1263</v>
      </c>
      <c r="F144" s="181"/>
      <c r="G144" s="179" t="s">
        <v>267</v>
      </c>
      <c r="H144" s="190"/>
      <c r="I144" s="190"/>
      <c r="J144" s="187" t="s">
        <v>2669</v>
      </c>
      <c r="K144" s="187"/>
      <c r="L144" s="270" t="str">
        <f>IFERROR(__xludf.DUMMYFUNCTION("IF(
  AND(D144=""Saída"", J144=""Sangria""),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2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IFERROR(__xludf.DUMMYFUNCTION("ifna(VALUE(REGEXEXTRACT(E144,""[0-9.]+[,]+[0-9]+"")))"),70.0)</f>
        <v>70</v>
      </c>
      <c r="O144" s="308"/>
      <c r="P144" s="313"/>
      <c r="Q144" s="308"/>
      <c r="R144" s="308"/>
      <c r="S144" s="308"/>
      <c r="V144" s="308"/>
      <c r="W144" s="185"/>
    </row>
    <row r="145" ht="14.25" customHeight="1">
      <c r="A145" s="178"/>
      <c r="B145" s="12">
        <v>1930704.0</v>
      </c>
      <c r="C145" s="13">
        <v>46035.97775462963</v>
      </c>
      <c r="D145" s="179" t="s">
        <v>81</v>
      </c>
      <c r="E145" s="180" t="s">
        <v>6980</v>
      </c>
      <c r="F145" s="181"/>
      <c r="G145" s="179" t="s">
        <v>6779</v>
      </c>
      <c r="H145" s="190"/>
      <c r="I145" s="190"/>
      <c r="J145" s="187" t="s">
        <v>2019</v>
      </c>
      <c r="K145" s="187" t="s">
        <v>6745</v>
      </c>
      <c r="L145" s="270" t="str">
        <f>IFERROR(__xludf.DUMMYFUNCTION("IF(
  AND(D145=""Saída"", J145=""Sangria""),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74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IFERROR(__xludf.DUMMYFUNCTION("ifna(VALUE(REGEXEXTRACT(E145,""[0-9.]+[,]+[0-9]+"")))"),7.8)</f>
        <v>7.8</v>
      </c>
      <c r="O145" s="304"/>
      <c r="P145" s="312"/>
      <c r="Q145" s="304"/>
      <c r="R145" s="304"/>
      <c r="S145" s="304"/>
      <c r="V145" s="304"/>
      <c r="W145" s="185"/>
    </row>
    <row r="146" ht="14.25" customHeight="1">
      <c r="A146" s="178"/>
      <c r="B146" s="12">
        <v>1930707.0</v>
      </c>
      <c r="C146" s="13">
        <v>46035.97798611111</v>
      </c>
      <c r="D146" s="179" t="s">
        <v>81</v>
      </c>
      <c r="E146" s="180" t="s">
        <v>6981</v>
      </c>
      <c r="F146" s="188"/>
      <c r="G146" s="179" t="s">
        <v>544</v>
      </c>
      <c r="H146" s="190"/>
      <c r="I146" s="190"/>
      <c r="J146" s="187" t="s">
        <v>2019</v>
      </c>
      <c r="K146" s="187" t="s">
        <v>2078</v>
      </c>
      <c r="L146" s="270" t="str">
        <f>IFERROR(__xludf.DUMMYFUNCTION("IF(
  AND(D146=""Saída"", J146=""Sangria""),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2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>
        <f>IFERROR(__xludf.DUMMYFUNCTION("ifna(VALUE(REGEXEXTRACT(E146,""[0-9.]+[,]+[0-9]+"")))"),50.19)</f>
        <v>50.19</v>
      </c>
      <c r="O146" s="308"/>
      <c r="P146" s="313"/>
      <c r="Q146" s="308"/>
      <c r="R146" s="308"/>
      <c r="S146" s="308"/>
      <c r="V146" s="308"/>
      <c r="W146" s="185"/>
    </row>
    <row r="147" ht="14.25" customHeight="1">
      <c r="A147" s="178"/>
      <c r="B147" s="12">
        <v>1930841.0</v>
      </c>
      <c r="C147" s="13">
        <v>46036.49966435185</v>
      </c>
      <c r="D147" s="179" t="s">
        <v>152</v>
      </c>
      <c r="E147" s="180" t="s">
        <v>6805</v>
      </c>
      <c r="F147" s="181"/>
      <c r="G147" s="179" t="s">
        <v>6982</v>
      </c>
      <c r="H147" s="190"/>
      <c r="I147" s="190"/>
      <c r="J147" s="187" t="s">
        <v>2735</v>
      </c>
      <c r="K147" s="187" t="s">
        <v>6576</v>
      </c>
      <c r="L147" s="270" t="str">
        <f>IFERROR(__xludf.DUMMYFUNCTION("IF(
  AND(D147=""Saída"", J147=""Sangria""),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74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>
        <f>IFERROR(__xludf.DUMMYFUNCTION("ifna(VALUE(REGEXEXTRACT(E147,""[0-9.]+[,]+[0-9]+"")))"),2100.0)</f>
        <v>2100</v>
      </c>
      <c r="O147" s="304"/>
      <c r="P147" s="312"/>
      <c r="Q147" s="304"/>
      <c r="R147" s="304"/>
      <c r="S147" s="304"/>
      <c r="V147" s="304"/>
      <c r="W147" s="185"/>
    </row>
    <row r="148" ht="14.25" customHeight="1">
      <c r="A148" s="178"/>
      <c r="B148" s="12">
        <v>1930845.0</v>
      </c>
      <c r="C148" s="13">
        <v>46036.50069444445</v>
      </c>
      <c r="D148" s="179" t="s">
        <v>81</v>
      </c>
      <c r="E148" s="180" t="s">
        <v>6983</v>
      </c>
      <c r="F148" s="181"/>
      <c r="G148" s="179" t="s">
        <v>6984</v>
      </c>
      <c r="H148" s="190"/>
      <c r="I148" s="190"/>
      <c r="J148" s="187" t="s">
        <v>3151</v>
      </c>
      <c r="K148" s="187"/>
      <c r="L148" s="270" t="str">
        <f>IFERROR(__xludf.DUMMYFUNCTION("IF(
  AND(D148=""Saída"", J148=""Sangria""),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2" t="str">
        <f>IFERROR(__xludf.DUMMYFUNCTION("IF(J148=""Compra de Mercadorias"",
   IF(
      COUNTIF(ARRAYFORMULA(TRIM(CLEAN(TO_TEXT(Notas!BS:BS)))), TRIM(CLEAN(TO_TEXT(B148)))) &gt; 0,
      ""Encontrada"",
      ""Não Encontrada""
   ),
"""")"),"Não Encontrada")</f>
        <v>Não Encontrada</v>
      </c>
      <c r="N148" s="185">
        <f>IFERROR(__xludf.DUMMYFUNCTION("ifna(VALUE(REGEXEXTRACT(E148,""[0-9.]+[,]+[0-9]+"")))"),2400.0)</f>
        <v>2400</v>
      </c>
      <c r="O148" s="308"/>
      <c r="P148" s="313"/>
      <c r="Q148" s="308"/>
      <c r="R148" s="308"/>
      <c r="S148" s="308"/>
      <c r="V148" s="308"/>
      <c r="W148" s="185"/>
    </row>
    <row r="149" ht="14.25" customHeight="1">
      <c r="A149" s="178"/>
      <c r="B149" s="12">
        <v>1930853.0</v>
      </c>
      <c r="C149" s="13">
        <v>46036.50782407408</v>
      </c>
      <c r="D149" s="179" t="s">
        <v>81</v>
      </c>
      <c r="E149" s="180" t="s">
        <v>411</v>
      </c>
      <c r="F149" s="181"/>
      <c r="G149" s="179" t="s">
        <v>6986</v>
      </c>
      <c r="H149" s="190"/>
      <c r="I149" s="190"/>
      <c r="J149" s="187" t="s">
        <v>2735</v>
      </c>
      <c r="K149" s="187" t="s">
        <v>6576</v>
      </c>
      <c r="L149" s="270" t="str">
        <f>IFERROR(__xludf.DUMMYFUNCTION("IF(
  AND(D149=""Saída"", J149=""Sangria""),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"),"Confirmada")</f>
        <v>Confirmada</v>
      </c>
      <c r="M149" s="274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IFERROR(__xludf.DUMMYFUNCTION("ifna(VALUE(REGEXEXTRACT(E149,""[0-9.]+[,]+[0-9]+"")))"),1450.0)</f>
        <v>1450</v>
      </c>
      <c r="O149" s="304"/>
      <c r="P149" s="312"/>
      <c r="Q149" s="304"/>
      <c r="R149" s="304"/>
      <c r="S149" s="304"/>
      <c r="V149" s="304"/>
      <c r="W149" s="185"/>
    </row>
    <row r="150" ht="14.25" customHeight="1">
      <c r="A150" s="178"/>
      <c r="B150" s="12">
        <v>1931231.0</v>
      </c>
      <c r="C150" s="13">
        <v>46036.67089120371</v>
      </c>
      <c r="D150" s="179" t="s">
        <v>152</v>
      </c>
      <c r="E150" s="180" t="s">
        <v>6988</v>
      </c>
      <c r="F150" s="181"/>
      <c r="G150" s="179" t="s">
        <v>267</v>
      </c>
      <c r="H150" s="190"/>
      <c r="I150" s="190"/>
      <c r="J150" s="187" t="s">
        <v>2669</v>
      </c>
      <c r="K150" s="187"/>
      <c r="L150" s="270" t="str">
        <f>IFERROR(__xludf.DUMMYFUNCTION("IF(
  AND(D150=""Saída"", J150=""Sangria""),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2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IFERROR(__xludf.DUMMYFUNCTION("ifna(VALUE(REGEXEXTRACT(E150,""[0-9.]+[,]+[0-9]+"")))"),38.85)</f>
        <v>38.85</v>
      </c>
      <c r="O150" s="308"/>
      <c r="P150" s="313"/>
      <c r="Q150" s="308"/>
      <c r="R150" s="308"/>
      <c r="S150" s="308"/>
      <c r="V150" s="308"/>
      <c r="W150" s="185"/>
    </row>
    <row r="151" ht="14.25" customHeight="1">
      <c r="A151" s="178"/>
      <c r="B151" s="12">
        <v>1931685.0</v>
      </c>
      <c r="C151" s="13">
        <v>46036.77920138889</v>
      </c>
      <c r="D151" s="179" t="s">
        <v>81</v>
      </c>
      <c r="E151" s="180" t="s">
        <v>146</v>
      </c>
      <c r="F151" s="181"/>
      <c r="G151" s="179" t="s">
        <v>388</v>
      </c>
      <c r="H151" s="190"/>
      <c r="I151" s="190"/>
      <c r="J151" s="187" t="s">
        <v>2735</v>
      </c>
      <c r="K151" s="187" t="s">
        <v>2018</v>
      </c>
      <c r="L151" s="270" t="str">
        <f>IFERROR(__xludf.DUMMYFUNCTION("IF(
  AND(D151=""Saída"", J151=""Sangria""),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"),"Confirmada")</f>
        <v>Confirmada</v>
      </c>
      <c r="M151" s="274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IFERROR(__xludf.DUMMYFUNCTION("ifna(VALUE(REGEXEXTRACT(E151,""[0-9.]+[,]+[0-9]+"")))"),400.0)</f>
        <v>400</v>
      </c>
      <c r="O151" s="304"/>
      <c r="P151" s="312"/>
      <c r="Q151" s="304"/>
      <c r="R151" s="304"/>
      <c r="S151" s="304"/>
      <c r="V151" s="304"/>
      <c r="W151" s="185"/>
    </row>
    <row r="152" ht="14.25" customHeight="1">
      <c r="A152" s="178"/>
      <c r="B152" s="12">
        <v>1931690.0</v>
      </c>
      <c r="C152" s="13">
        <v>46036.78013888889</v>
      </c>
      <c r="D152" s="179" t="s">
        <v>81</v>
      </c>
      <c r="E152" s="180" t="s">
        <v>5289</v>
      </c>
      <c r="F152" s="181"/>
      <c r="G152" s="179" t="s">
        <v>6990</v>
      </c>
      <c r="H152" s="190"/>
      <c r="I152" s="190"/>
      <c r="J152" s="187"/>
      <c r="K152" s="187"/>
      <c r="L152" s="270" t="str">
        <f>IFERROR(__xludf.DUMMYFUNCTION("IF(
  AND(D152=""Saída"", J152=""Sangria""),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2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IFERROR(__xludf.DUMMYFUNCTION("ifna(VALUE(REGEXEXTRACT(E152,""[0-9.]+[,]+[0-9]+"")))"),0.01)</f>
        <v>0.01</v>
      </c>
      <c r="O152" s="308"/>
      <c r="P152" s="313"/>
      <c r="Q152" s="308"/>
      <c r="R152" s="308"/>
      <c r="S152" s="308"/>
      <c r="V152" s="308"/>
      <c r="W152" s="185"/>
    </row>
    <row r="153" ht="14.25" customHeight="1">
      <c r="A153" s="178"/>
      <c r="B153" s="12">
        <v>1932375.0</v>
      </c>
      <c r="C153" s="13">
        <v>46036.931076388886</v>
      </c>
      <c r="D153" s="179" t="s">
        <v>81</v>
      </c>
      <c r="E153" s="180" t="s">
        <v>979</v>
      </c>
      <c r="F153" s="181"/>
      <c r="G153" s="179" t="s">
        <v>6991</v>
      </c>
      <c r="H153" s="190"/>
      <c r="I153" s="190"/>
      <c r="J153" s="187" t="s">
        <v>2019</v>
      </c>
      <c r="K153" s="187" t="s">
        <v>2078</v>
      </c>
      <c r="L153" s="270" t="str">
        <f>IFERROR(__xludf.DUMMYFUNCTION("IF(
  AND(D153=""Saída"", J153=""Sangria""),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74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IFERROR(__xludf.DUMMYFUNCTION("ifna(VALUE(REGEXEXTRACT(E153,""[0-9.]+[,]+[0-9]+"")))"),3.0)</f>
        <v>3</v>
      </c>
      <c r="O153" s="304"/>
      <c r="P153" s="312"/>
      <c r="Q153" s="304"/>
      <c r="R153" s="304"/>
      <c r="S153" s="304"/>
      <c r="V153" s="304"/>
      <c r="W153" s="185"/>
    </row>
    <row r="154" ht="14.25" customHeight="1">
      <c r="A154" s="178"/>
      <c r="B154" s="12">
        <v>1932378.0</v>
      </c>
      <c r="C154" s="13">
        <v>46036.931342592594</v>
      </c>
      <c r="D154" s="179" t="s">
        <v>81</v>
      </c>
      <c r="E154" s="180" t="s">
        <v>5289</v>
      </c>
      <c r="F154" s="181"/>
      <c r="G154" s="179" t="s">
        <v>6992</v>
      </c>
      <c r="H154" s="190"/>
      <c r="I154" s="190"/>
      <c r="J154" s="187"/>
      <c r="K154" s="187"/>
      <c r="L154" s="270" t="str">
        <f>IFERROR(__xludf.DUMMYFUNCTION("IF(
  AND(D154=""Saída"", J154=""Sangria""),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2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IFERROR(__xludf.DUMMYFUNCTION("ifna(VALUE(REGEXEXTRACT(E154,""[0-9.]+[,]+[0-9]+"")))"),0.01)</f>
        <v>0.01</v>
      </c>
      <c r="O154" s="308"/>
      <c r="P154" s="313"/>
      <c r="Q154" s="308"/>
      <c r="R154" s="308"/>
      <c r="S154" s="308"/>
      <c r="V154" s="308"/>
      <c r="W154" s="185"/>
    </row>
    <row r="155" ht="14.25" customHeight="1">
      <c r="A155" s="178"/>
      <c r="B155" s="12">
        <v>1932382.0</v>
      </c>
      <c r="C155" s="13">
        <v>46036.93163194445</v>
      </c>
      <c r="D155" s="179" t="s">
        <v>81</v>
      </c>
      <c r="E155" s="180" t="s">
        <v>6993</v>
      </c>
      <c r="F155" s="181"/>
      <c r="G155" s="179" t="s">
        <v>6779</v>
      </c>
      <c r="H155" s="190"/>
      <c r="I155" s="190"/>
      <c r="J155" s="187" t="s">
        <v>2019</v>
      </c>
      <c r="K155" s="187" t="s">
        <v>6745</v>
      </c>
      <c r="L155" s="270" t="str">
        <f>IFERROR(__xludf.DUMMYFUNCTION("IF(
  AND(D155=""Saída"", J155=""Sangria""),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74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IFERROR(__xludf.DUMMYFUNCTION("ifna(VALUE(REGEXEXTRACT(E155,""[0-9.]+[,]+[0-9]+"")))"),20.47)</f>
        <v>20.47</v>
      </c>
      <c r="O155" s="304"/>
      <c r="P155" s="312"/>
      <c r="Q155" s="304"/>
      <c r="R155" s="304"/>
      <c r="S155" s="304"/>
      <c r="V155" s="304"/>
      <c r="W155" s="185"/>
    </row>
    <row r="156" ht="14.25" customHeight="1">
      <c r="A156" s="178"/>
      <c r="B156" s="12">
        <v>1932470.0</v>
      </c>
      <c r="C156" s="13">
        <v>46036.94152777778</v>
      </c>
      <c r="D156" s="179" t="s">
        <v>81</v>
      </c>
      <c r="E156" s="180" t="s">
        <v>1005</v>
      </c>
      <c r="F156" s="188"/>
      <c r="G156" s="179" t="s">
        <v>381</v>
      </c>
      <c r="H156" s="190"/>
      <c r="I156" s="190"/>
      <c r="J156" s="187" t="s">
        <v>2735</v>
      </c>
      <c r="K156" s="187" t="s">
        <v>6576</v>
      </c>
      <c r="L156" s="270" t="str">
        <f>IFERROR(__xludf.DUMMYFUNCTION("IF(
  AND(D156=""Saída"", J156=""Sangria""),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"),"Confirmada")</f>
        <v>Confirmada</v>
      </c>
      <c r="M156" s="272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IFERROR(__xludf.DUMMYFUNCTION("ifna(VALUE(REGEXEXTRACT(E156,""[0-9.]+[,]+[0-9]+"")))"),1250.0)</f>
        <v>1250</v>
      </c>
      <c r="O156" s="308"/>
      <c r="P156" s="313"/>
      <c r="Q156" s="308"/>
      <c r="R156" s="308"/>
      <c r="S156" s="308"/>
      <c r="V156" s="308"/>
      <c r="W156" s="185"/>
    </row>
    <row r="157" ht="14.25" customHeight="1">
      <c r="A157" s="178"/>
      <c r="B157" s="12">
        <v>1933626.0</v>
      </c>
      <c r="C157" s="13">
        <v>46037.75513888889</v>
      </c>
      <c r="D157" s="179" t="s">
        <v>152</v>
      </c>
      <c r="E157" s="180" t="s">
        <v>6996</v>
      </c>
      <c r="F157" s="181"/>
      <c r="G157" s="179" t="s">
        <v>267</v>
      </c>
      <c r="H157" s="190"/>
      <c r="I157" s="190"/>
      <c r="J157" s="187" t="s">
        <v>2669</v>
      </c>
      <c r="K157" s="187"/>
      <c r="L157" s="270" t="str">
        <f>IFERROR(__xludf.DUMMYFUNCTION("IF(
  AND(D157=""Saída"", J157=""Sangria""),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74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IFERROR(__xludf.DUMMYFUNCTION("ifna(VALUE(REGEXEXTRACT(E157,""[0-9.]+[,]+[0-9]+"")))"),39.25)</f>
        <v>39.25</v>
      </c>
      <c r="O157" s="304"/>
      <c r="P157" s="312"/>
      <c r="Q157" s="304"/>
      <c r="R157" s="304"/>
      <c r="S157" s="304"/>
      <c r="V157" s="304"/>
      <c r="W157" s="185"/>
    </row>
    <row r="158" ht="14.25" customHeight="1">
      <c r="A158" s="178"/>
      <c r="B158" s="12">
        <v>1933633.0</v>
      </c>
      <c r="C158" s="13">
        <v>46037.7559837963</v>
      </c>
      <c r="D158" s="179" t="s">
        <v>81</v>
      </c>
      <c r="E158" s="180" t="s">
        <v>6997</v>
      </c>
      <c r="F158" s="181"/>
      <c r="G158" s="179" t="s">
        <v>7000</v>
      </c>
      <c r="H158" s="190"/>
      <c r="I158" s="190"/>
      <c r="J158" s="187" t="s">
        <v>1782</v>
      </c>
      <c r="K158" s="187"/>
      <c r="L158" s="270" t="str">
        <f>IFERROR(__xludf.DUMMYFUNCTION("IF(
  AND(D158=""Saída"", J158=""Sangria""),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2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>
        <f>IFERROR(__xludf.DUMMYFUNCTION("ifna(VALUE(REGEXEXTRACT(E158,""[0-9.]+[,]+[0-9]+"")))"),66.3)</f>
        <v>66.3</v>
      </c>
      <c r="O158" s="308"/>
      <c r="P158" s="313"/>
      <c r="Q158" s="308"/>
      <c r="R158" s="308"/>
      <c r="S158" s="308"/>
      <c r="V158" s="308"/>
      <c r="W158" s="185"/>
    </row>
    <row r="159" ht="14.25" customHeight="1">
      <c r="A159" s="178"/>
      <c r="B159" s="12">
        <v>1933721.0</v>
      </c>
      <c r="C159" s="13">
        <v>46037.7781712963</v>
      </c>
      <c r="D159" s="179" t="s">
        <v>81</v>
      </c>
      <c r="E159" s="180" t="s">
        <v>6556</v>
      </c>
      <c r="F159" s="181"/>
      <c r="G159" s="179" t="s">
        <v>4071</v>
      </c>
      <c r="H159" s="190"/>
      <c r="I159" s="190"/>
      <c r="J159" s="187" t="s">
        <v>2735</v>
      </c>
      <c r="K159" s="187" t="s">
        <v>2018</v>
      </c>
      <c r="L159" s="270" t="str">
        <f>IFERROR(__xludf.DUMMYFUNCTION("IF(
  AND(D159=""Saída"", J159=""Sangria""),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"),"Confirmada")</f>
        <v>Confirmada</v>
      </c>
      <c r="M159" s="274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IFERROR(__xludf.DUMMYFUNCTION("ifna(VALUE(REGEXEXTRACT(E159,""[0-9.]+[,]+[0-9]+"")))"),1100.0)</f>
        <v>1100</v>
      </c>
      <c r="O159" s="185"/>
      <c r="P159" s="185"/>
      <c r="Q159" s="185"/>
      <c r="R159" s="185"/>
      <c r="S159" s="185"/>
      <c r="T159" s="185"/>
      <c r="U159" s="185"/>
      <c r="V159" s="185"/>
      <c r="W159" s="185"/>
    </row>
    <row r="160" ht="14.25" customHeight="1">
      <c r="A160" s="178"/>
      <c r="B160" s="12">
        <v>1933724.0</v>
      </c>
      <c r="C160" s="13">
        <v>46037.77943287037</v>
      </c>
      <c r="D160" s="179" t="s">
        <v>81</v>
      </c>
      <c r="E160" s="180" t="s">
        <v>3486</v>
      </c>
      <c r="F160" s="181"/>
      <c r="G160" s="179" t="s">
        <v>381</v>
      </c>
      <c r="H160" s="190"/>
      <c r="I160" s="190"/>
      <c r="J160" s="187" t="s">
        <v>2735</v>
      </c>
      <c r="K160" s="187" t="s">
        <v>6576</v>
      </c>
      <c r="L160" s="270" t="str">
        <f>IFERROR(__xludf.DUMMYFUNCTION("IF(
  AND(D160=""Saída"", J160=""Sangria""),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"),"Confirmada")</f>
        <v>Confirmada</v>
      </c>
      <c r="M160" s="272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IFERROR(__xludf.DUMMYFUNCTION("ifna(VALUE(REGEXEXTRACT(E160,""[0-9.]+[,]+[0-9]+"")))"),500.0)</f>
        <v>500</v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4.25" customHeight="1">
      <c r="A161" s="178"/>
      <c r="B161" s="12">
        <v>1934741.0</v>
      </c>
      <c r="C161" s="13">
        <v>46037.990578703706</v>
      </c>
      <c r="D161" s="179" t="s">
        <v>81</v>
      </c>
      <c r="E161" s="180" t="s">
        <v>7002</v>
      </c>
      <c r="F161" s="181"/>
      <c r="G161" s="179" t="s">
        <v>7003</v>
      </c>
      <c r="H161" s="190"/>
      <c r="I161" s="190"/>
      <c r="J161" s="187" t="s">
        <v>2019</v>
      </c>
      <c r="K161" s="187" t="s">
        <v>2078</v>
      </c>
      <c r="L161" s="270" t="str">
        <f>IFERROR(__xludf.DUMMYFUNCTION("IF(
  AND(D161=""Saída"", J161=""Sangria""),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74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>
        <f>IFERROR(__xludf.DUMMYFUNCTION("ifna(VALUE(REGEXEXTRACT(E161,""[0-9.]+[,]+[0-9]+"")))"),21.61)</f>
        <v>21.61</v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2">
        <v>1934749.0</v>
      </c>
      <c r="C162" s="13">
        <v>46037.99475694444</v>
      </c>
      <c r="D162" s="179" t="s">
        <v>81</v>
      </c>
      <c r="E162" s="180" t="s">
        <v>7006</v>
      </c>
      <c r="F162" s="181"/>
      <c r="G162" s="179" t="s">
        <v>381</v>
      </c>
      <c r="H162" s="190"/>
      <c r="I162" s="190"/>
      <c r="J162" s="187" t="s">
        <v>2735</v>
      </c>
      <c r="K162" s="187" t="s">
        <v>6576</v>
      </c>
      <c r="L162" s="270" t="str">
        <f>IFERROR(__xludf.DUMMYFUNCTION("IF(
  AND(D162=""Saída"", J162=""Sangria""),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"),"Confirmada")</f>
        <v>Confirmada</v>
      </c>
      <c r="M162" s="272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85">
        <f>IFERROR(__xludf.DUMMYFUNCTION("ifna(VALUE(REGEXEXTRACT(E162,""[0-9.]+[,]+[0-9]+"")))"),690.0)</f>
        <v>690</v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2">
        <v>1934753.0</v>
      </c>
      <c r="C163" s="13">
        <v>46037.99607638889</v>
      </c>
      <c r="D163" s="179" t="s">
        <v>81</v>
      </c>
      <c r="E163" s="180" t="s">
        <v>7007</v>
      </c>
      <c r="F163" s="188"/>
      <c r="G163" s="179" t="s">
        <v>4041</v>
      </c>
      <c r="H163" s="190"/>
      <c r="I163" s="190"/>
      <c r="J163" s="187" t="s">
        <v>3151</v>
      </c>
      <c r="K163" s="187"/>
      <c r="L163" s="270" t="str">
        <f>IFERROR(__xludf.DUMMYFUNCTION("IF(
  AND(D163=""Saída"", J163=""Sangria""),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74" t="str">
        <f>IFERROR(__xludf.DUMMYFUNCTION("IF(J163=""Compra de Mercadorias"",
   IF(
      COUNTIF(ARRAYFORMULA(TRIM(CLEAN(TO_TEXT(Notas!BS:BS)))), TRIM(CLEAN(TO_TEXT(B163)))) &gt; 0,
      ""Encontrada"",
      ""Não Encontrada""
   ),
"""")"),"Não Encontrada")</f>
        <v>Não Encontrada</v>
      </c>
      <c r="N163" s="185">
        <f>IFERROR(__xludf.DUMMYFUNCTION("ifna(VALUE(REGEXEXTRACT(E163,""[0-9.]+[,]+[0-9]+"")))"),52.73)</f>
        <v>52.73</v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2">
        <v>1936135.0</v>
      </c>
      <c r="C164" s="13">
        <v>46038.86381944444</v>
      </c>
      <c r="D164" s="179" t="s">
        <v>81</v>
      </c>
      <c r="E164" s="180" t="s">
        <v>7009</v>
      </c>
      <c r="F164" s="181"/>
      <c r="G164" s="179" t="s">
        <v>7010</v>
      </c>
      <c r="H164" s="190"/>
      <c r="I164" s="190"/>
      <c r="J164" s="187" t="s">
        <v>3151</v>
      </c>
      <c r="K164" s="187"/>
      <c r="L164" s="270" t="str">
        <f>IFERROR(__xludf.DUMMYFUNCTION("IF(
  AND(D164=""Saída"", J164=""Sangria""),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2" t="str">
        <f>IFERROR(__xludf.DUMMYFUNCTION("IF(J164=""Compra de Mercadorias"",
   IF(
      COUNTIF(ARRAYFORMULA(TRIM(CLEAN(TO_TEXT(Notas!BS:BS)))), TRIM(CLEAN(TO_TEXT(B164)))) &gt; 0,
      ""Encontrada"",
      ""Não Encontrada""
   ),
"""")"),"Não Encontrada")</f>
        <v>Não Encontrada</v>
      </c>
      <c r="N164" s="185">
        <f>IFERROR(__xludf.DUMMYFUNCTION("ifna(VALUE(REGEXEXTRACT(E164,""[0-9.]+[,]+[0-9]+"")))"),38.38)</f>
        <v>38.38</v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2">
        <v>1936770.0</v>
      </c>
      <c r="C165" s="13">
        <v>46038.95878472222</v>
      </c>
      <c r="D165" s="179" t="s">
        <v>81</v>
      </c>
      <c r="E165" s="180" t="s">
        <v>7011</v>
      </c>
      <c r="F165" s="181"/>
      <c r="G165" s="179" t="s">
        <v>114</v>
      </c>
      <c r="H165" s="190"/>
      <c r="I165" s="190"/>
      <c r="J165" s="187" t="s">
        <v>3151</v>
      </c>
      <c r="K165" s="187"/>
      <c r="L165" s="270" t="str">
        <f>IFERROR(__xludf.DUMMYFUNCTION("IF(
  AND(D165=""Saída"", J165=""Sangria""),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74" t="str">
        <f>IFERROR(__xludf.DUMMYFUNCTION("IF(J165=""Compra de Mercadorias"",
   IF(
      COUNTIF(ARRAYFORMULA(TRIM(CLEAN(TO_TEXT(Notas!BS:BS)))), TRIM(CLEAN(TO_TEXT(B165)))) &gt; 0,
      ""Encontrada"",
      ""Não Encontrada""
   ),
"""")"),"Não Encontrada")</f>
        <v>Não Encontrada</v>
      </c>
      <c r="N165" s="185">
        <f>IFERROR(__xludf.DUMMYFUNCTION("ifna(VALUE(REGEXEXTRACT(E165,""[0-9.]+[,]+[0-9]+"")))"),39.56)</f>
        <v>39.56</v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2">
        <v>1936775.0</v>
      </c>
      <c r="C166" s="13">
        <v>46038.95915509259</v>
      </c>
      <c r="D166" s="179" t="s">
        <v>81</v>
      </c>
      <c r="E166" s="180" t="s">
        <v>7013</v>
      </c>
      <c r="F166" s="181"/>
      <c r="G166" s="179" t="s">
        <v>211</v>
      </c>
      <c r="H166" s="190"/>
      <c r="I166" s="190"/>
      <c r="J166" s="187" t="s">
        <v>3151</v>
      </c>
      <c r="K166" s="187"/>
      <c r="L166" s="270" t="str">
        <f>IFERROR(__xludf.DUMMYFUNCTION("IF(
  AND(D166=""Saída"", J166=""Sangria""),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2" t="str">
        <f>IFERROR(__xludf.DUMMYFUNCTION("IF(J166=""Compra de Mercadorias"",
   IF(
      COUNTIF(ARRAYFORMULA(TRIM(CLEAN(TO_TEXT(Notas!BS:BS)))), TRIM(CLEAN(TO_TEXT(B166)))) &gt; 0,
      ""Encontrada"",
      ""Não Encontrada""
   ),
"""")"),"Não Encontrada")</f>
        <v>Não Encontrada</v>
      </c>
      <c r="N166" s="185">
        <f>IFERROR(__xludf.DUMMYFUNCTION("ifna(VALUE(REGEXEXTRACT(E166,""[0-9.]+[,]+[0-9]+"")))"),377.91)</f>
        <v>377.91</v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2">
        <v>1936782.0</v>
      </c>
      <c r="C167" s="13">
        <v>46038.960069444445</v>
      </c>
      <c r="D167" s="179" t="s">
        <v>81</v>
      </c>
      <c r="E167" s="180" t="s">
        <v>7014</v>
      </c>
      <c r="F167" s="181"/>
      <c r="G167" s="179" t="s">
        <v>128</v>
      </c>
      <c r="H167" s="190"/>
      <c r="I167" s="190"/>
      <c r="J167" s="187" t="s">
        <v>2735</v>
      </c>
      <c r="K167" s="187" t="s">
        <v>6576</v>
      </c>
      <c r="L167" s="270" t="str">
        <f>IFERROR(__xludf.DUMMYFUNCTION("IF(
  AND(D167=""Saída"", J167=""Sangria""),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"),"Confirmada")</f>
        <v>Confirmada</v>
      </c>
      <c r="M167" s="274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>
        <f>IFERROR(__xludf.DUMMYFUNCTION("ifna(VALUE(REGEXEXTRACT(E167,""[0-9.]+[,]+[0-9]+"")))"),860.0)</f>
        <v>860</v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2">
        <v>1936813.0</v>
      </c>
      <c r="C168" s="13">
        <v>46038.96462962963</v>
      </c>
      <c r="D168" s="179" t="s">
        <v>81</v>
      </c>
      <c r="E168" s="180" t="s">
        <v>457</v>
      </c>
      <c r="F168" s="181"/>
      <c r="G168" s="179" t="s">
        <v>7017</v>
      </c>
      <c r="H168" s="190"/>
      <c r="I168" s="190"/>
      <c r="J168" s="187" t="s">
        <v>1900</v>
      </c>
      <c r="K168" s="187" t="s">
        <v>2117</v>
      </c>
      <c r="L168" s="270" t="str">
        <f>IFERROR(__xludf.DUMMYFUNCTION("IF(
  AND(D168=""Saída"", J168=""Sangria""),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2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>
        <f>IFERROR(__xludf.DUMMYFUNCTION("ifna(VALUE(REGEXEXTRACT(E168,""[0-9.]+[,]+[0-9]+"")))"),200.0)</f>
        <v>200</v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2">
        <v>1939202.0</v>
      </c>
      <c r="C169" s="13">
        <v>46039.94299768518</v>
      </c>
      <c r="D169" s="179" t="s">
        <v>81</v>
      </c>
      <c r="E169" s="180" t="s">
        <v>7020</v>
      </c>
      <c r="F169" s="181"/>
      <c r="G169" s="179" t="s">
        <v>381</v>
      </c>
      <c r="H169" s="190"/>
      <c r="I169" s="190"/>
      <c r="J169" s="187" t="s">
        <v>2735</v>
      </c>
      <c r="K169" s="187" t="s">
        <v>6576</v>
      </c>
      <c r="L169" s="270" t="str">
        <f>IFERROR(__xludf.DUMMYFUNCTION("IF(
  AND(D169=""Saída"", J169=""Sangria""),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"),"Confirmada")</f>
        <v>Confirmada</v>
      </c>
      <c r="M169" s="274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>
        <f>IFERROR(__xludf.DUMMYFUNCTION("ifna(VALUE(REGEXEXTRACT(E169,""[0-9.]+[,]+[0-9]+"")))"),1910.0)</f>
        <v>1910</v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2">
        <v>1941436.0</v>
      </c>
      <c r="C170" s="13">
        <v>46040.90311342593</v>
      </c>
      <c r="D170" s="179" t="s">
        <v>81</v>
      </c>
      <c r="E170" s="180" t="s">
        <v>7023</v>
      </c>
      <c r="F170" s="181"/>
      <c r="G170" s="179" t="s">
        <v>6779</v>
      </c>
      <c r="H170" s="190"/>
      <c r="I170" s="190"/>
      <c r="J170" s="187" t="s">
        <v>2019</v>
      </c>
      <c r="K170" s="187" t="s">
        <v>6745</v>
      </c>
      <c r="L170" s="270" t="str">
        <f>IFERROR(__xludf.DUMMYFUNCTION("IF(
  AND(D170=""Saída"", J170=""Sangria""),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2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>
        <f>IFERROR(__xludf.DUMMYFUNCTION("ifna(VALUE(REGEXEXTRACT(E170,""[0-9.]+[,]+[0-9]+"")))"),20.38)</f>
        <v>20.38</v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2">
        <v>1941481.0</v>
      </c>
      <c r="C171" s="13">
        <v>46040.90746527778</v>
      </c>
      <c r="D171" s="179" t="s">
        <v>81</v>
      </c>
      <c r="E171" s="180" t="s">
        <v>7024</v>
      </c>
      <c r="F171" s="181"/>
      <c r="G171" s="179" t="s">
        <v>7025</v>
      </c>
      <c r="H171" s="190"/>
      <c r="I171" s="190"/>
      <c r="J171" s="187" t="s">
        <v>2438</v>
      </c>
      <c r="K171" s="187"/>
      <c r="L171" s="270" t="str">
        <f>IFERROR(__xludf.DUMMYFUNCTION("IF(
  AND(D171=""Saída"", J171=""Sangria""),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74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>
        <f>IFERROR(__xludf.DUMMYFUNCTION("ifna(VALUE(REGEXEXTRACT(E171,""[0-9.]+[,]+[0-9]+"")))"),67.43)</f>
        <v>67.43</v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2">
        <v>1941662.0</v>
      </c>
      <c r="C172" s="13">
        <v>46040.920636574076</v>
      </c>
      <c r="D172" s="179" t="s">
        <v>81</v>
      </c>
      <c r="E172" s="180" t="s">
        <v>6820</v>
      </c>
      <c r="F172" s="181"/>
      <c r="G172" s="179" t="s">
        <v>6711</v>
      </c>
      <c r="H172" s="190"/>
      <c r="I172" s="190"/>
      <c r="J172" s="187" t="s">
        <v>1782</v>
      </c>
      <c r="K172" s="187"/>
      <c r="L172" s="270" t="str">
        <f>IFERROR(__xludf.DUMMYFUNCTION("IF(
  AND(D172=""Saída"", J172=""Sangria""),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2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>
        <f>IFERROR(__xludf.DUMMYFUNCTION("ifna(VALUE(REGEXEXTRACT(E172,""[0-9.]+[,]+[0-9]+"")))"),160.0)</f>
        <v>160</v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2">
        <v>1941669.0</v>
      </c>
      <c r="C173" s="13">
        <v>46040.92104166667</v>
      </c>
      <c r="D173" s="179" t="s">
        <v>81</v>
      </c>
      <c r="E173" s="180" t="s">
        <v>7026</v>
      </c>
      <c r="F173" s="188"/>
      <c r="G173" s="179" t="s">
        <v>6970</v>
      </c>
      <c r="H173" s="190"/>
      <c r="I173" s="190"/>
      <c r="J173" s="187" t="s">
        <v>1782</v>
      </c>
      <c r="K173" s="187"/>
      <c r="L173" s="270" t="str">
        <f>IFERROR(__xludf.DUMMYFUNCTION("IF(
  AND(D173=""Saída"", J173=""Sangria""),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74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>
        <f>IFERROR(__xludf.DUMMYFUNCTION("ifna(VALUE(REGEXEXTRACT(E173,""[0-9.]+[,]+[0-9]+"")))"),223.0)</f>
        <v>223</v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2">
        <v>1941820.0</v>
      </c>
      <c r="C174" s="13">
        <v>46040.92921296296</v>
      </c>
      <c r="D174" s="179" t="s">
        <v>81</v>
      </c>
      <c r="E174" s="180" t="s">
        <v>7028</v>
      </c>
      <c r="F174" s="188"/>
      <c r="G174" s="179" t="s">
        <v>381</v>
      </c>
      <c r="H174" s="190"/>
      <c r="I174" s="190"/>
      <c r="J174" s="187" t="s">
        <v>2735</v>
      </c>
      <c r="K174" s="187" t="s">
        <v>6576</v>
      </c>
      <c r="L174" s="270" t="str">
        <f>IFERROR(__xludf.DUMMYFUNCTION("IF(
  AND(D174=""Saída"", J174=""Sangria""),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"),"Confirmada")</f>
        <v>Confirmada</v>
      </c>
      <c r="M174" s="272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>
        <f>IFERROR(__xludf.DUMMYFUNCTION("ifna(VALUE(REGEXEXTRACT(E174,""[0-9.]+[,]+[0-9]+"")))"),780.0)</f>
        <v>780</v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2">
        <v>1944230.0</v>
      </c>
      <c r="C175" s="13">
        <v>46041.95815972222</v>
      </c>
      <c r="D175" s="179" t="s">
        <v>81</v>
      </c>
      <c r="E175" s="180" t="s">
        <v>979</v>
      </c>
      <c r="F175" s="181"/>
      <c r="G175" s="179" t="s">
        <v>544</v>
      </c>
      <c r="H175" s="190"/>
      <c r="I175" s="190"/>
      <c r="J175" s="187" t="s">
        <v>2019</v>
      </c>
      <c r="K175" s="187" t="s">
        <v>2078</v>
      </c>
      <c r="L175" s="270" t="str">
        <f>IFERROR(__xludf.DUMMYFUNCTION("IF(
  AND(D175=""Saída"", J175=""Sangria""),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74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>
        <f>IFERROR(__xludf.DUMMYFUNCTION("ifna(VALUE(REGEXEXTRACT(E175,""[0-9.]+[,]+[0-9]+"")))"),3.0)</f>
        <v>3</v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2">
        <v>1944232.0</v>
      </c>
      <c r="C176" s="13">
        <v>46041.95842592593</v>
      </c>
      <c r="D176" s="179" t="s">
        <v>81</v>
      </c>
      <c r="E176" s="180" t="s">
        <v>7032</v>
      </c>
      <c r="F176" s="181"/>
      <c r="G176" s="179" t="s">
        <v>5861</v>
      </c>
      <c r="H176" s="190"/>
      <c r="I176" s="190"/>
      <c r="J176" s="187" t="s">
        <v>2019</v>
      </c>
      <c r="K176" s="187" t="s">
        <v>2117</v>
      </c>
      <c r="L176" s="270" t="str">
        <f>IFERROR(__xludf.DUMMYFUNCTION("IF(
  AND(D176=""Saída"", J176=""Sangria""),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2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>
        <f>IFERROR(__xludf.DUMMYFUNCTION("ifna(VALUE(REGEXEXTRACT(E176,""[0-9.]+[,]+[0-9]+"")))"),17.86)</f>
        <v>17.86</v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2">
        <v>1944238.0</v>
      </c>
      <c r="C177" s="13">
        <v>46041.95983796296</v>
      </c>
      <c r="D177" s="179" t="s">
        <v>81</v>
      </c>
      <c r="E177" s="180" t="s">
        <v>443</v>
      </c>
      <c r="F177" s="181"/>
      <c r="G177" s="179" t="s">
        <v>381</v>
      </c>
      <c r="H177" s="190"/>
      <c r="I177" s="190"/>
      <c r="J177" s="187" t="s">
        <v>2735</v>
      </c>
      <c r="K177" s="187" t="s">
        <v>6576</v>
      </c>
      <c r="L177" s="270" t="str">
        <f>IFERROR(__xludf.DUMMYFUNCTION("IF(
  AND(D177=""Saída"", J177=""Sangria""),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"),"Confirmada")</f>
        <v>Confirmada</v>
      </c>
      <c r="M177" s="274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>
        <f>IFERROR(__xludf.DUMMYFUNCTION("ifna(VALUE(REGEXEXTRACT(E177,""[0-9.]+[,]+[0-9]+"")))"),900.0)</f>
        <v>900</v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2">
        <v>1945451.0</v>
      </c>
      <c r="C178" s="13">
        <v>46042.8237037037</v>
      </c>
      <c r="D178" s="179" t="s">
        <v>81</v>
      </c>
      <c r="E178" s="180" t="s">
        <v>590</v>
      </c>
      <c r="F178" s="181"/>
      <c r="G178" s="179" t="s">
        <v>4071</v>
      </c>
      <c r="H178" s="190"/>
      <c r="I178" s="190"/>
      <c r="J178" s="187" t="s">
        <v>2735</v>
      </c>
      <c r="K178" s="187" t="s">
        <v>2018</v>
      </c>
      <c r="L178" s="270" t="str">
        <f>IFERROR(__xludf.DUMMYFUNCTION("IF(
  AND(D178=""Saída"", J178=""Sangria""),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"),"Confirmada")</f>
        <v>Confirmada</v>
      </c>
      <c r="M178" s="272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>
        <f>IFERROR(__xludf.DUMMYFUNCTION("ifna(VALUE(REGEXEXTRACT(E178,""[0-9.]+[,]+[0-9]+"")))"),350.0)</f>
        <v>350</v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2">
        <v>1945452.0</v>
      </c>
      <c r="C179" s="13">
        <v>46042.824108796296</v>
      </c>
      <c r="D179" s="179" t="s">
        <v>81</v>
      </c>
      <c r="E179" s="180" t="s">
        <v>446</v>
      </c>
      <c r="F179" s="181"/>
      <c r="G179" s="179" t="s">
        <v>381</v>
      </c>
      <c r="H179" s="190"/>
      <c r="I179" s="190"/>
      <c r="J179" s="187" t="s">
        <v>2735</v>
      </c>
      <c r="K179" s="187" t="s">
        <v>6576</v>
      </c>
      <c r="L179" s="270" t="str">
        <f>IFERROR(__xludf.DUMMYFUNCTION("IF(
  AND(D179=""Saída"", J179=""Sangria""),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"),"Confirmada")</f>
        <v>Confirmada</v>
      </c>
      <c r="M179" s="274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>
        <f>IFERROR(__xludf.DUMMYFUNCTION("ifna(VALUE(REGEXEXTRACT(E179,""[0-9.]+[,]+[0-9]+"")))"),700.0)</f>
        <v>700</v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2">
        <v>1945903.0</v>
      </c>
      <c r="C180" s="13">
        <v>46042.924305555556</v>
      </c>
      <c r="D180" s="179" t="s">
        <v>81</v>
      </c>
      <c r="E180" s="180" t="s">
        <v>7038</v>
      </c>
      <c r="F180" s="181"/>
      <c r="G180" s="179" t="s">
        <v>544</v>
      </c>
      <c r="H180" s="190"/>
      <c r="I180" s="190"/>
      <c r="J180" s="187" t="s">
        <v>2019</v>
      </c>
      <c r="K180" s="187" t="s">
        <v>2078</v>
      </c>
      <c r="L180" s="270" t="str">
        <f>IFERROR(__xludf.DUMMYFUNCTION("IF(
  AND(D180=""Saída"", J180=""Sangria""),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2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>
        <f>IFERROR(__xludf.DUMMYFUNCTION("ifna(VALUE(REGEXEXTRACT(E180,""[0-9.]+[,]+[0-9]+"")))"),83.49)</f>
        <v>83.49</v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2">
        <v>1945906.0</v>
      </c>
      <c r="C181" s="13">
        <v>46042.92466435185</v>
      </c>
      <c r="D181" s="179" t="s">
        <v>81</v>
      </c>
      <c r="E181" s="180" t="s">
        <v>7040</v>
      </c>
      <c r="F181" s="188"/>
      <c r="G181" s="179" t="s">
        <v>6779</v>
      </c>
      <c r="H181" s="190"/>
      <c r="I181" s="190"/>
      <c r="J181" s="187" t="s">
        <v>2019</v>
      </c>
      <c r="K181" s="187" t="s">
        <v>6745</v>
      </c>
      <c r="L181" s="270" t="str">
        <f>IFERROR(__xludf.DUMMYFUNCTION("IF(
  AND(D181=""Saída"", J181=""Sangria""),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74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>
        <f>IFERROR(__xludf.DUMMYFUNCTION("ifna(VALUE(REGEXEXTRACT(E181,""[0-9.]+[,]+[0-9]+"")))"),27.9)</f>
        <v>27.9</v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2">
        <v>1946895.0</v>
      </c>
      <c r="C182" s="13">
        <v>46043.71047453704</v>
      </c>
      <c r="D182" s="179" t="s">
        <v>152</v>
      </c>
      <c r="E182" s="180" t="s">
        <v>7044</v>
      </c>
      <c r="F182" s="181"/>
      <c r="G182" s="179" t="s">
        <v>158</v>
      </c>
      <c r="H182" s="190"/>
      <c r="I182" s="190"/>
      <c r="J182" s="187" t="s">
        <v>2669</v>
      </c>
      <c r="K182" s="187"/>
      <c r="L182" s="270" t="str">
        <f>IFERROR(__xludf.DUMMYFUNCTION("IF(
  AND(D182=""Saída"", J182=""Sangria""),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2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>
        <f>IFERROR(__xludf.DUMMYFUNCTION("ifna(VALUE(REGEXEXTRACT(E182,""[0-9.]+[,]+[0-9]+"")))"),122.5)</f>
        <v>122.5</v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2">
        <v>1947250.0</v>
      </c>
      <c r="C183" s="13">
        <v>46043.81657407407</v>
      </c>
      <c r="D183" s="179" t="s">
        <v>81</v>
      </c>
      <c r="E183" s="180" t="s">
        <v>7047</v>
      </c>
      <c r="F183" s="181"/>
      <c r="G183" s="179" t="s">
        <v>313</v>
      </c>
      <c r="H183" s="190"/>
      <c r="I183" s="190"/>
      <c r="J183" s="187" t="s">
        <v>3151</v>
      </c>
      <c r="K183" s="187"/>
      <c r="L183" s="270" t="str">
        <f>IFERROR(__xludf.DUMMYFUNCTION("IF(
  AND(D183=""Saída"", J183=""Sangria""),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74" t="str">
        <f>IFERROR(__xludf.DUMMYFUNCTION("IF(J183=""Compra de Mercadorias"",
   IF(
      COUNTIF(ARRAYFORMULA(TRIM(CLEAN(TO_TEXT(Notas!BS:BS)))), TRIM(CLEAN(TO_TEXT(B183)))) &gt; 0,
      ""Encontrada"",
      ""Não Encontrada""
   ),
"""")"),"Não Encontrada")</f>
        <v>Não Encontrada</v>
      </c>
      <c r="N183" s="185">
        <f>IFERROR(__xludf.DUMMYFUNCTION("ifna(VALUE(REGEXEXTRACT(E183,""[0-9.]+[,]+[0-9]+"")))"),193.35)</f>
        <v>193.35</v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2">
        <v>1947253.0</v>
      </c>
      <c r="C184" s="13">
        <v>46043.81759259259</v>
      </c>
      <c r="D184" s="179" t="s">
        <v>81</v>
      </c>
      <c r="E184" s="180" t="s">
        <v>1228</v>
      </c>
      <c r="F184" s="181"/>
      <c r="G184" s="179" t="s">
        <v>381</v>
      </c>
      <c r="H184" s="190"/>
      <c r="I184" s="190"/>
      <c r="J184" s="187" t="s">
        <v>2735</v>
      </c>
      <c r="K184" s="187" t="s">
        <v>6576</v>
      </c>
      <c r="L184" s="270" t="str">
        <f>IFERROR(__xludf.DUMMYFUNCTION("IF(
  AND(D184=""Saída"", J184=""Sangria""),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"),"Confirmada")</f>
        <v>Confirmada</v>
      </c>
      <c r="M184" s="272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>
        <f>IFERROR(__xludf.DUMMYFUNCTION("ifna(VALUE(REGEXEXTRACT(E184,""[0-9.]+[,]+[0-9]+"")))"),950.0)</f>
        <v>950</v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2">
        <v>1947783.0</v>
      </c>
      <c r="C185" s="13">
        <v>46043.9324537037</v>
      </c>
      <c r="D185" s="179" t="s">
        <v>81</v>
      </c>
      <c r="E185" s="180" t="s">
        <v>6647</v>
      </c>
      <c r="F185" s="181"/>
      <c r="G185" s="179" t="s">
        <v>381</v>
      </c>
      <c r="H185" s="190"/>
      <c r="I185" s="190"/>
      <c r="J185" s="187" t="s">
        <v>2735</v>
      </c>
      <c r="K185" s="187" t="s">
        <v>6576</v>
      </c>
      <c r="L185" s="270" t="str">
        <f>IFERROR(__xludf.DUMMYFUNCTION("IF(
  AND(D185=""Saída"", J185=""Sangria""),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"),"Confirmada")</f>
        <v>Confirmada</v>
      </c>
      <c r="M185" s="274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>
        <f>IFERROR(__xludf.DUMMYFUNCTION("ifna(VALUE(REGEXEXTRACT(E185,""[0-9.]+[,]+[0-9]+"")))"),230.0)</f>
        <v>230</v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2">
        <v>1947801.0</v>
      </c>
      <c r="C186" s="13">
        <v>46043.9353587963</v>
      </c>
      <c r="D186" s="179" t="s">
        <v>152</v>
      </c>
      <c r="E186" s="180" t="s">
        <v>485</v>
      </c>
      <c r="F186" s="181"/>
      <c r="G186" s="179" t="s">
        <v>7055</v>
      </c>
      <c r="H186" s="190"/>
      <c r="I186" s="190"/>
      <c r="J186" s="187" t="s">
        <v>5195</v>
      </c>
      <c r="K186" s="187"/>
      <c r="L186" s="270" t="str">
        <f>IFERROR(__xludf.DUMMYFUNCTION("IF(
  AND(D186=""Saída"", J186=""Sangria""),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2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>
        <f>IFERROR(__xludf.DUMMYFUNCTION("ifna(VALUE(REGEXEXTRACT(E186,""[0-9.]+[,]+[0-9]+"")))"),60.0)</f>
        <v>60</v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2">
        <v>1948297.0</v>
      </c>
      <c r="C187" s="13">
        <v>46044.613969907405</v>
      </c>
      <c r="D187" s="179" t="s">
        <v>152</v>
      </c>
      <c r="E187" s="180" t="s">
        <v>5564</v>
      </c>
      <c r="F187" s="181"/>
      <c r="G187" s="179" t="s">
        <v>267</v>
      </c>
      <c r="H187" s="190"/>
      <c r="I187" s="190"/>
      <c r="J187" s="187" t="s">
        <v>2669</v>
      </c>
      <c r="K187" s="187"/>
      <c r="L187" s="270" t="str">
        <f>IFERROR(__xludf.DUMMYFUNCTION("IF(
  AND(D187=""Saída"", J187=""Sangria""),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74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>
        <f>IFERROR(__xludf.DUMMYFUNCTION("ifna(VALUE(REGEXEXTRACT(E187,""[0-9.]+[,]+[0-9]+"")))"),2.0)</f>
        <v>2</v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2">
        <v>1949555.0</v>
      </c>
      <c r="C188" s="13">
        <v>46044.95046296297</v>
      </c>
      <c r="D188" s="179" t="s">
        <v>81</v>
      </c>
      <c r="E188" s="180" t="s">
        <v>7058</v>
      </c>
      <c r="F188" s="181"/>
      <c r="G188" s="179" t="s">
        <v>7059</v>
      </c>
      <c r="H188" s="190"/>
      <c r="I188" s="190"/>
      <c r="J188" s="187" t="s">
        <v>2019</v>
      </c>
      <c r="K188" s="187" t="s">
        <v>2117</v>
      </c>
      <c r="L188" s="270" t="str">
        <f>IFERROR(__xludf.DUMMYFUNCTION("IF(
  AND(D188=""Saída"", J188=""Sangria""),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2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>
        <f>IFERROR(__xludf.DUMMYFUNCTION("ifna(VALUE(REGEXEXTRACT(E188,""[0-9.]+[,]+[0-9]+"")))"),42.39)</f>
        <v>42.39</v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2">
        <v>1949556.0</v>
      </c>
      <c r="C189" s="13">
        <v>46044.95071759259</v>
      </c>
      <c r="D189" s="179" t="s">
        <v>81</v>
      </c>
      <c r="E189" s="180" t="s">
        <v>146</v>
      </c>
      <c r="F189" s="181"/>
      <c r="G189" s="179" t="s">
        <v>381</v>
      </c>
      <c r="H189" s="190"/>
      <c r="I189" s="190"/>
      <c r="J189" s="187" t="s">
        <v>2735</v>
      </c>
      <c r="K189" s="187" t="s">
        <v>6576</v>
      </c>
      <c r="L189" s="270" t="str">
        <f>IFERROR(__xludf.DUMMYFUNCTION("IF(
  AND(D189=""Saída"", J189=""Sangria""),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"),"Confirmada")</f>
        <v>Confirmada</v>
      </c>
      <c r="M189" s="274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>
        <f>IFERROR(__xludf.DUMMYFUNCTION("ifna(VALUE(REGEXEXTRACT(E189,""[0-9.]+[,]+[0-9]+"")))"),400.0)</f>
        <v>400</v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2">
        <v>1949558.0</v>
      </c>
      <c r="C190" s="13">
        <v>46044.950833333336</v>
      </c>
      <c r="D190" s="179" t="s">
        <v>81</v>
      </c>
      <c r="E190" s="180" t="s">
        <v>446</v>
      </c>
      <c r="F190" s="188"/>
      <c r="G190" s="179" t="s">
        <v>267</v>
      </c>
      <c r="H190" s="190"/>
      <c r="I190" s="190"/>
      <c r="J190" s="187" t="s">
        <v>2669</v>
      </c>
      <c r="K190" s="187"/>
      <c r="L190" s="270" t="str">
        <f>IFERROR(__xludf.DUMMYFUNCTION("IF(
  AND(D190=""Saída"", J190=""Sangria""),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2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>
        <f>IFERROR(__xludf.DUMMYFUNCTION("ifna(VALUE(REGEXEXTRACT(E190,""[0-9.]+[,]+[0-9]+"")))"),700.0)</f>
        <v>700</v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2">
        <v>1950005.0</v>
      </c>
      <c r="C191" s="13">
        <v>46045.59952546296</v>
      </c>
      <c r="D191" s="179" t="s">
        <v>81</v>
      </c>
      <c r="E191" s="180" t="s">
        <v>6987</v>
      </c>
      <c r="F191" s="181"/>
      <c r="G191" s="179" t="s">
        <v>5727</v>
      </c>
      <c r="H191" s="190"/>
      <c r="I191" s="190"/>
      <c r="J191" s="187" t="s">
        <v>2436</v>
      </c>
      <c r="K191" s="187"/>
      <c r="L191" s="270" t="str">
        <f>IFERROR(__xludf.DUMMYFUNCTION("IF(
  AND(D191=""Saída"", J191=""Sangria""),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74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>
        <f>IFERROR(__xludf.DUMMYFUNCTION("ifna(VALUE(REGEXEXTRACT(E191,""[0-9.]+[,]+[0-9]+"")))"),167.0)</f>
        <v>167</v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2">
        <v>1951511.0</v>
      </c>
      <c r="C192" s="13">
        <v>46045.94987268518</v>
      </c>
      <c r="D192" s="179" t="s">
        <v>81</v>
      </c>
      <c r="E192" s="180" t="s">
        <v>7065</v>
      </c>
      <c r="F192" s="181"/>
      <c r="G192" s="179" t="s">
        <v>460</v>
      </c>
      <c r="H192" s="190"/>
      <c r="I192" s="190"/>
      <c r="J192" s="187" t="s">
        <v>3151</v>
      </c>
      <c r="K192" s="187"/>
      <c r="L192" s="270" t="str">
        <f>IFERROR(__xludf.DUMMYFUNCTION("IF(
  AND(D192=""Saída"", J192=""Sangria""),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2" t="str">
        <f>IFERROR(__xludf.DUMMYFUNCTION("IF(J192=""Compra de Mercadorias"",
   IF(
      COUNTIF(ARRAYFORMULA(TRIM(CLEAN(TO_TEXT(Notas!BS:BS)))), TRIM(CLEAN(TO_TEXT(B192)))) &gt; 0,
      ""Encontrada"",
      ""Não Encontrada""
   ),
"""")"),"Não Encontrada")</f>
        <v>Não Encontrada</v>
      </c>
      <c r="N192" s="185">
        <f>IFERROR(__xludf.DUMMYFUNCTION("ifna(VALUE(REGEXEXTRACT(E192,""[0-9.]+[,]+[0-9]+"")))"),52.87)</f>
        <v>52.87</v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2">
        <v>1951517.0</v>
      </c>
      <c r="C193" s="13">
        <v>46045.951365740744</v>
      </c>
      <c r="D193" s="179" t="s">
        <v>81</v>
      </c>
      <c r="E193" s="180" t="s">
        <v>7068</v>
      </c>
      <c r="F193" s="181"/>
      <c r="G193" s="179" t="s">
        <v>6743</v>
      </c>
      <c r="H193" s="190"/>
      <c r="I193" s="190"/>
      <c r="J193" s="187" t="s">
        <v>3151</v>
      </c>
      <c r="K193" s="187"/>
      <c r="L193" s="270" t="str">
        <f>IFERROR(__xludf.DUMMYFUNCTION("IF(
  AND(D193=""Saída"", J193=""Sangria""),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74" t="str">
        <f>IFERROR(__xludf.DUMMYFUNCTION("IF(J193=""Compra de Mercadorias"",
   IF(
      COUNTIF(ARRAYFORMULA(TRIM(CLEAN(TO_TEXT(Notas!BS:BS)))), TRIM(CLEAN(TO_TEXT(B193)))) &gt; 0,
      ""Encontrada"",
      ""Não Encontrada""
   ),
"""")"),"Não Encontrada")</f>
        <v>Não Encontrada</v>
      </c>
      <c r="N193" s="185">
        <f>IFERROR(__xludf.DUMMYFUNCTION("ifna(VALUE(REGEXEXTRACT(E193,""[0-9.]+[,]+[0-9]+"")))"),17.98)</f>
        <v>17.98</v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2">
        <v>1951565.0</v>
      </c>
      <c r="C194" s="13">
        <v>46045.96246527778</v>
      </c>
      <c r="D194" s="179" t="s">
        <v>81</v>
      </c>
      <c r="E194" s="180" t="s">
        <v>4106</v>
      </c>
      <c r="F194" s="181"/>
      <c r="G194" s="179" t="s">
        <v>381</v>
      </c>
      <c r="H194" s="190"/>
      <c r="I194" s="190"/>
      <c r="J194" s="187" t="s">
        <v>2735</v>
      </c>
      <c r="K194" s="187" t="s">
        <v>6576</v>
      </c>
      <c r="L194" s="270" t="str">
        <f>IFERROR(__xludf.DUMMYFUNCTION("IF(
  AND(D194=""Saída"", J194=""Sangria""),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"),"Confirmada")</f>
        <v>Confirmada</v>
      </c>
      <c r="M194" s="272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85">
        <f>IFERROR(__xludf.DUMMYFUNCTION("ifna(VALUE(REGEXEXTRACT(E194,""[0-9.]+[,]+[0-9]+"")))"),750.0)</f>
        <v>750</v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2">
        <v>1951568.0</v>
      </c>
      <c r="C195" s="13">
        <v>46045.962743055556</v>
      </c>
      <c r="D195" s="179" t="s">
        <v>81</v>
      </c>
      <c r="E195" s="180" t="s">
        <v>7072</v>
      </c>
      <c r="F195" s="181"/>
      <c r="G195" s="179" t="s">
        <v>4041</v>
      </c>
      <c r="H195" s="190"/>
      <c r="I195" s="190"/>
      <c r="J195" s="187" t="s">
        <v>3151</v>
      </c>
      <c r="K195" s="187"/>
      <c r="L195" s="270" t="str">
        <f>IFERROR(__xludf.DUMMYFUNCTION("IF(
  AND(D195=""Saída"", J195=""Sangria""),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74" t="str">
        <f>IFERROR(__xludf.DUMMYFUNCTION("IF(J195=""Compra de Mercadorias"",
   IF(
      COUNTIF(ARRAYFORMULA(TRIM(CLEAN(TO_TEXT(Notas!BS:BS)))), TRIM(CLEAN(TO_TEXT(B195)))) &gt; 0,
      ""Encontrada"",
      ""Não Encontrada""
   ),
"""")"),"Não Encontrada")</f>
        <v>Não Encontrada</v>
      </c>
      <c r="N195" s="185">
        <f>IFERROR(__xludf.DUMMYFUNCTION("ifna(VALUE(REGEXEXTRACT(E195,""[0-9.]+[,]+[0-9]+"")))"),92.51)</f>
        <v>92.51</v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2">
        <v>1953382.0</v>
      </c>
      <c r="C196" s="13">
        <v>46046.90756944445</v>
      </c>
      <c r="D196" s="179" t="s">
        <v>81</v>
      </c>
      <c r="E196" s="180" t="s">
        <v>7076</v>
      </c>
      <c r="F196" s="181"/>
      <c r="G196" s="179" t="s">
        <v>7077</v>
      </c>
      <c r="H196" s="190"/>
      <c r="I196" s="190"/>
      <c r="J196" s="187" t="s">
        <v>2438</v>
      </c>
      <c r="K196" s="187"/>
      <c r="L196" s="270" t="str">
        <f>IFERROR(__xludf.DUMMYFUNCTION("IF(
  AND(D196=""Saída"", J196=""Sangria""),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2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>
        <f>IFERROR(__xludf.DUMMYFUNCTION("ifna(VALUE(REGEXEXTRACT(E196,""[0-9.]+[,]+[0-9]+"")))"),101.14)</f>
        <v>101.14</v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2">
        <v>1954189.0</v>
      </c>
      <c r="C197" s="13">
        <v>46047.02533564815</v>
      </c>
      <c r="D197" s="179" t="s">
        <v>81</v>
      </c>
      <c r="E197" s="180" t="s">
        <v>343</v>
      </c>
      <c r="F197" s="181"/>
      <c r="G197" s="179" t="s">
        <v>7078</v>
      </c>
      <c r="H197" s="190"/>
      <c r="I197" s="190"/>
      <c r="J197" s="187" t="s">
        <v>2735</v>
      </c>
      <c r="K197" s="187" t="s">
        <v>6576</v>
      </c>
      <c r="L197" s="270" t="str">
        <f>IFERROR(__xludf.DUMMYFUNCTION("IF(
  AND(D197=""Saída"", J197=""Sangria""),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"),"Confirmada")</f>
        <v>Confirmada</v>
      </c>
      <c r="M197" s="274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>
        <f>IFERROR(__xludf.DUMMYFUNCTION("ifna(VALUE(REGEXEXTRACT(E197,""[0-9.]+[,]+[0-9]+"")))"),550.0)</f>
        <v>550</v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2">
        <v>1954197.0</v>
      </c>
      <c r="C198" s="13">
        <v>46047.02832175926</v>
      </c>
      <c r="D198" s="179" t="s">
        <v>81</v>
      </c>
      <c r="E198" s="180" t="s">
        <v>7079</v>
      </c>
      <c r="F198" s="181"/>
      <c r="G198" s="179" t="s">
        <v>267</v>
      </c>
      <c r="H198" s="190"/>
      <c r="I198" s="190"/>
      <c r="J198" s="187" t="s">
        <v>2669</v>
      </c>
      <c r="K198" s="187"/>
      <c r="L198" s="270" t="str">
        <f>IFERROR(__xludf.DUMMYFUNCTION("IF(
  AND(D198=""Saída"", J198=""Sangria""),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2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>
        <f>IFERROR(__xludf.DUMMYFUNCTION("ifna(VALUE(REGEXEXTRACT(E198,""[0-9.]+[,]+[0-9]+"")))"),271.0)</f>
        <v>271</v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2">
        <v>1954208.0</v>
      </c>
      <c r="C199" s="13">
        <v>46047.03260416666</v>
      </c>
      <c r="D199" s="179" t="s">
        <v>81</v>
      </c>
      <c r="E199" s="180" t="s">
        <v>378</v>
      </c>
      <c r="F199" s="181"/>
      <c r="G199" s="179" t="s">
        <v>7082</v>
      </c>
      <c r="H199" s="190"/>
      <c r="I199" s="190"/>
      <c r="J199" s="187" t="s">
        <v>2735</v>
      </c>
      <c r="K199" s="187" t="s">
        <v>6576</v>
      </c>
      <c r="L199" s="270" t="str">
        <f>IFERROR(__xludf.DUMMYFUNCTION("IF(
  AND(D199=""Saída"", J199=""Sangria""),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"),"Confirmada")</f>
        <v>Confirmada</v>
      </c>
      <c r="M199" s="274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>
        <f>IFERROR(__xludf.DUMMYFUNCTION("ifna(VALUE(REGEXEXTRACT(E199,""[0-9.]+[,]+[0-9]+"")))"),1350.0)</f>
        <v>1350</v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2">
        <v>1954508.0</v>
      </c>
      <c r="C200" s="13">
        <v>46047.61907407407</v>
      </c>
      <c r="D200" s="179" t="s">
        <v>81</v>
      </c>
      <c r="E200" s="180" t="s">
        <v>7086</v>
      </c>
      <c r="F200" s="188"/>
      <c r="G200" s="179" t="s">
        <v>114</v>
      </c>
      <c r="H200" s="190"/>
      <c r="I200" s="190"/>
      <c r="J200" s="187" t="s">
        <v>3151</v>
      </c>
      <c r="K200" s="187"/>
      <c r="L200" s="270" t="str">
        <f>IFERROR(__xludf.DUMMYFUNCTION("IF(
  AND(D200=""Saída"", J200=""Sangria""),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2" t="str">
        <f>IFERROR(__xludf.DUMMYFUNCTION("IF(J200=""Compra de Mercadorias"",
   IF(
      COUNTIF(ARRAYFORMULA(TRIM(CLEAN(TO_TEXT(Notas!BS:BS)))), TRIM(CLEAN(TO_TEXT(B200)))) &gt; 0,
      ""Encontrada"",
      ""Não Encontrada""
   ),
"""")"),"Não Encontrada")</f>
        <v>Não Encontrada</v>
      </c>
      <c r="N200" s="185">
        <f>IFERROR(__xludf.DUMMYFUNCTION("ifna(VALUE(REGEXEXTRACT(E200,""[0-9.]+[,]+[0-9]+"")))"),71.58)</f>
        <v>71.58</v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2">
        <v>1954671.0</v>
      </c>
      <c r="C201" s="13">
        <v>46047.66284722222</v>
      </c>
      <c r="D201" s="179" t="s">
        <v>152</v>
      </c>
      <c r="E201" s="180" t="s">
        <v>7088</v>
      </c>
      <c r="F201" s="181"/>
      <c r="G201" s="179" t="s">
        <v>158</v>
      </c>
      <c r="H201" s="190"/>
      <c r="I201" s="190"/>
      <c r="J201" s="187" t="s">
        <v>2669</v>
      </c>
      <c r="K201" s="187"/>
      <c r="L201" s="270" t="str">
        <f>IFERROR(__xludf.DUMMYFUNCTION("IF(
  AND(D201=""Saída"", J201=""Sangria""),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74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>
        <f>IFERROR(__xludf.DUMMYFUNCTION("ifna(VALUE(REGEXEXTRACT(E201,""[0-9.]+[,]+[0-9]+"")))"),154.4)</f>
        <v>154.4</v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2">
        <v>1957038.0</v>
      </c>
      <c r="C202" s="13">
        <v>46047.981886574074</v>
      </c>
      <c r="D202" s="179" t="s">
        <v>81</v>
      </c>
      <c r="E202" s="180" t="s">
        <v>7091</v>
      </c>
      <c r="F202" s="181"/>
      <c r="G202" s="179" t="s">
        <v>7092</v>
      </c>
      <c r="H202" s="190"/>
      <c r="I202" s="190"/>
      <c r="J202" s="187" t="s">
        <v>1782</v>
      </c>
      <c r="K202" s="187"/>
      <c r="L202" s="270" t="str">
        <f>IFERROR(__xludf.DUMMYFUNCTION("IF(
  AND(D202=""Saída"", J202=""Sangria""),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2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>
        <f>IFERROR(__xludf.DUMMYFUNCTION("ifna(VALUE(REGEXEXTRACT(E202,""[0-9.]+[,]+[0-9]+"")))"),71.0)</f>
        <v>71</v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2">
        <v>1957039.0</v>
      </c>
      <c r="C203" s="13">
        <v>46047.98211805556</v>
      </c>
      <c r="D203" s="179" t="s">
        <v>81</v>
      </c>
      <c r="E203" s="180" t="s">
        <v>7093</v>
      </c>
      <c r="F203" s="181"/>
      <c r="G203" s="179" t="s">
        <v>7094</v>
      </c>
      <c r="H203" s="190"/>
      <c r="I203" s="190"/>
      <c r="J203" s="187" t="s">
        <v>1782</v>
      </c>
      <c r="K203" s="187"/>
      <c r="L203" s="270" t="str">
        <f>IFERROR(__xludf.DUMMYFUNCTION("IF(
  AND(D203=""Saída"", J203=""Sangria""),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74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>
        <f>IFERROR(__xludf.DUMMYFUNCTION("ifna(VALUE(REGEXEXTRACT(E203,""[0-9.]+[,]+[0-9]+"")))"),195.25)</f>
        <v>195.25</v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2">
        <v>1957041.0</v>
      </c>
      <c r="C204" s="13">
        <v>46047.98234953704</v>
      </c>
      <c r="D204" s="179" t="s">
        <v>81</v>
      </c>
      <c r="E204" s="180" t="s">
        <v>416</v>
      </c>
      <c r="F204" s="181"/>
      <c r="G204" s="179" t="s">
        <v>7095</v>
      </c>
      <c r="H204" s="190"/>
      <c r="I204" s="190"/>
      <c r="J204" s="187" t="s">
        <v>1782</v>
      </c>
      <c r="K204" s="187"/>
      <c r="L204" s="270" t="str">
        <f>IFERROR(__xludf.DUMMYFUNCTION("IF(
  AND(D204=""Saída"", J204=""Sangria""),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2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>
        <f>IFERROR(__xludf.DUMMYFUNCTION("ifna(VALUE(REGEXEXTRACT(E204,""[0-9.]+[,]+[0-9]+"")))"),100.0)</f>
        <v>100</v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2">
        <v>1957043.0</v>
      </c>
      <c r="C205" s="13">
        <v>46047.98268518518</v>
      </c>
      <c r="D205" s="179" t="s">
        <v>81</v>
      </c>
      <c r="E205" s="180" t="s">
        <v>7096</v>
      </c>
      <c r="F205" s="181"/>
      <c r="G205" s="179" t="s">
        <v>7097</v>
      </c>
      <c r="H205" s="190"/>
      <c r="I205" s="190"/>
      <c r="J205" s="187" t="s">
        <v>1782</v>
      </c>
      <c r="K205" s="187"/>
      <c r="L205" s="270" t="str">
        <f>IFERROR(__xludf.DUMMYFUNCTION("IF(
  AND(D205=""Saída"", J205=""Sangria""),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74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>
        <f>IFERROR(__xludf.DUMMYFUNCTION("ifna(VALUE(REGEXEXTRACT(E205,""[0-9.]+[,]+[0-9]+"")))"),235.0)</f>
        <v>235</v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2">
        <v>1957049.0</v>
      </c>
      <c r="C206" s="13">
        <v>46047.98431712963</v>
      </c>
      <c r="D206" s="179" t="s">
        <v>81</v>
      </c>
      <c r="E206" s="180" t="s">
        <v>7099</v>
      </c>
      <c r="F206" s="188"/>
      <c r="G206" s="179" t="s">
        <v>381</v>
      </c>
      <c r="H206" s="190"/>
      <c r="I206" s="190"/>
      <c r="J206" s="187" t="s">
        <v>2735</v>
      </c>
      <c r="K206" s="187" t="s">
        <v>6576</v>
      </c>
      <c r="L206" s="270" t="str">
        <f>IFERROR(__xludf.DUMMYFUNCTION("IF(
  AND(D206=""Saída"", J206=""Sangria""),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"),"Confirmada")</f>
        <v>Confirmada</v>
      </c>
      <c r="M206" s="272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>
        <f>IFERROR(__xludf.DUMMYFUNCTION("ifna(VALUE(REGEXEXTRACT(E206,""[0-9.]+[,]+[0-9]+"")))"),2130.0)</f>
        <v>2130</v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270" t="str">
        <f>IFERROR(__xludf.DUMMYFUNCTION("IF(
  AND(D207=""Saída"", J207=""Sangria""),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74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270" t="str">
        <f>IFERROR(__xludf.DUMMYFUNCTION("IF(
  AND(D208=""Saída"", J208=""Sangria""),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2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270" t="str">
        <f>IFERROR(__xludf.DUMMYFUNCTION("IF(
  AND(D209=""Saída"", J209=""Sangria""),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74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270" t="str">
        <f>IFERROR(__xludf.DUMMYFUNCTION("IF(
  AND(D210=""Saída"", J210=""Sangria""),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2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270" t="str">
        <f>IFERROR(__xludf.DUMMYFUNCTION("IF(
  AND(D211=""Saída"", J211=""Sangria""),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74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270" t="str">
        <f>IFERROR(__xludf.DUMMYFUNCTION("IF(
  AND(D212=""Saída"", J212=""Sangria""),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2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270" t="str">
        <f>IFERROR(__xludf.DUMMYFUNCTION("IF(
  AND(D213=""Saída"", J213=""Sangria""),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74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270" t="str">
        <f>IFERROR(__xludf.DUMMYFUNCTION("IF(
  AND(D214=""Saída"", J214=""Sangria""),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2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270" t="str">
        <f>IFERROR(__xludf.DUMMYFUNCTION("IF(
  AND(D215=""Saída"", J215=""Sangria""),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74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270" t="str">
        <f>IFERROR(__xludf.DUMMYFUNCTION("IF(
  AND(D216=""Saída"", J216=""Sangria""),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2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270" t="str">
        <f>IFERROR(__xludf.DUMMYFUNCTION("IF(
  AND(D217=""Saída"", J217=""Sangria""),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74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270" t="str">
        <f>IFERROR(__xludf.DUMMYFUNCTION("IF(
  AND(D218=""Saída"", J218=""Sangria""),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2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270" t="str">
        <f>IFERROR(__xludf.DUMMYFUNCTION("IF(
  AND(D219=""Saída"", J219=""Sangria""),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74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270" t="str">
        <f>IFERROR(__xludf.DUMMYFUNCTION("IF(
  AND(D220=""Saída"", J220=""Sangria""),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2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270" t="str">
        <f>IFERROR(__xludf.DUMMYFUNCTION("IF(
  AND(D221=""Saída"", J221=""Sangria""),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74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270" t="str">
        <f>IFERROR(__xludf.DUMMYFUNCTION("IF(
  AND(D222=""Saída"", J222=""Sangria""),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2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270" t="str">
        <f>IFERROR(__xludf.DUMMYFUNCTION("IF(
  AND(D223=""Saída"", J223=""Sangria""),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74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270" t="str">
        <f>IFERROR(__xludf.DUMMYFUNCTION("IF(
  AND(D224=""Saída"", J224=""Sangria""),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2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270" t="str">
        <f>IFERROR(__xludf.DUMMYFUNCTION("IF(
  AND(D225=""Saída"", J225=""Sangria""),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74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270" t="str">
        <f>IFERROR(__xludf.DUMMYFUNCTION("IF(
  AND(D226=""Saída"", J226=""Sangria""),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2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270" t="str">
        <f>IFERROR(__xludf.DUMMYFUNCTION("IF(
  AND(D227=""Saída"", J227=""Sangria""),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74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270" t="str">
        <f>IFERROR(__xludf.DUMMYFUNCTION("IF(
  AND(D228=""Saída"", J228=""Sangria""),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2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270" t="str">
        <f>IFERROR(__xludf.DUMMYFUNCTION("IF(
  AND(D229=""Saída"", J229=""Sangria""),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74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270" t="str">
        <f>IFERROR(__xludf.DUMMYFUNCTION("IF(
  AND(D230=""Saída"", J230=""Sangria""),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2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270" t="str">
        <f>IFERROR(__xludf.DUMMYFUNCTION("IF(
  AND(D231=""Saída"", J231=""Sangria""),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74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270" t="str">
        <f>IFERROR(__xludf.DUMMYFUNCTION("IF(
  AND(D232=""Saída"", J232=""Sangria""),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2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270" t="str">
        <f>IFERROR(__xludf.DUMMYFUNCTION("IF(
  AND(D233=""Saída"", J233=""Sangria""),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74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270" t="str">
        <f>IFERROR(__xludf.DUMMYFUNCTION("IF(
  AND(D234=""Saída"", J234=""Sangria""),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2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270" t="str">
        <f>IFERROR(__xludf.DUMMYFUNCTION("IF(
  AND(D235=""Saída"", J235=""Sangria""),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74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270" t="str">
        <f>IFERROR(__xludf.DUMMYFUNCTION("IF(
  AND(D236=""Saída"", J236=""Sangria""),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2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270" t="str">
        <f>IFERROR(__xludf.DUMMYFUNCTION("IF(
  AND(D237=""Saída"", J237=""Sangria""),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74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270" t="str">
        <f>IFERROR(__xludf.DUMMYFUNCTION("IF(
  AND(D238=""Saída"", J238=""Sangria""),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2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270" t="str">
        <f>IFERROR(__xludf.DUMMYFUNCTION("IF(
  AND(D239=""Saída"", J239=""Sangria""),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74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270" t="str">
        <f>IFERROR(__xludf.DUMMYFUNCTION("IF(
  AND(D240=""Saída"", J240=""Sangria""),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2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270" t="str">
        <f>IFERROR(__xludf.DUMMYFUNCTION("IF(
  AND(D241=""Saída"", J241=""Sangria""),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74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270" t="str">
        <f>IFERROR(__xludf.DUMMYFUNCTION("IF(
  AND(D242=""Saída"", J242=""Sangria""),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2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270" t="str">
        <f>IFERROR(__xludf.DUMMYFUNCTION("IF(
  AND(D243=""Saída"", J243=""Sangria""),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74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270" t="str">
        <f>IFERROR(__xludf.DUMMYFUNCTION("IF(
  AND(D244=""Saída"", J244=""Sangria""),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2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270" t="str">
        <f>IFERROR(__xludf.DUMMYFUNCTION("IF(
  AND(D245=""Saída"", J245=""Sangria""),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74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270" t="str">
        <f>IFERROR(__xludf.DUMMYFUNCTION("IF(
  AND(D246=""Saída"", J246=""Sangria""),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2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270" t="str">
        <f>IFERROR(__xludf.DUMMYFUNCTION("IF(
  AND(D247=""Saída"", J247=""Sangria""),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74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270" t="str">
        <f>IFERROR(__xludf.DUMMYFUNCTION("IF(
  AND(D248=""Saída"", J248=""Sangria""),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2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270" t="str">
        <f>IFERROR(__xludf.DUMMYFUNCTION("IF(
  AND(D249=""Saída"", J249=""Sangria""),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74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270" t="str">
        <f>IFERROR(__xludf.DUMMYFUNCTION("IF(
  AND(D250=""Saída"", J250=""Sangria""),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2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270" t="str">
        <f>IFERROR(__xludf.DUMMYFUNCTION("IF(
  AND(D251=""Saída"", J251=""Sangria""),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74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270" t="str">
        <f>IFERROR(__xludf.DUMMYFUNCTION("IF(
  AND(D252=""Saída"", J252=""Sangria""),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2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270" t="str">
        <f>IFERROR(__xludf.DUMMYFUNCTION("IF(
  AND(D253=""Saída"", J253=""Sangria""),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74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270" t="str">
        <f>IFERROR(__xludf.DUMMYFUNCTION("IF(
  AND(D254=""Saída"", J254=""Sangria""),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2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270" t="str">
        <f>IFERROR(__xludf.DUMMYFUNCTION("IF(
  AND(D255=""Saída"", J255=""Sangria""),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74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270" t="str">
        <f>IFERROR(__xludf.DUMMYFUNCTION("IF(
  AND(D256=""Saída"", J256=""Sangria""),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2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270" t="str">
        <f>IFERROR(__xludf.DUMMYFUNCTION("IF(
  AND(D257=""Saída"", J257=""Sangria""),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74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270" t="str">
        <f>IFERROR(__xludf.DUMMYFUNCTION("IF(
  AND(D258=""Saída"", J258=""Sangria""),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2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270" t="str">
        <f>IFERROR(__xludf.DUMMYFUNCTION("IF(
  AND(D259=""Saída"", J259=""Sangria""),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74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270" t="str">
        <f>IFERROR(__xludf.DUMMYFUNCTION("IF(
  AND(D260=""Saída"", J260=""Sangria""),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2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270" t="str">
        <f>IFERROR(__xludf.DUMMYFUNCTION("IF(
  AND(D261=""Saída"", J261=""Sangria""),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74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270" t="str">
        <f>IFERROR(__xludf.DUMMYFUNCTION("IF(
  AND(D262=""Saída"", J262=""Sangria""),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2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270" t="str">
        <f>IFERROR(__xludf.DUMMYFUNCTION("IF(
  AND(D263=""Saída"", J263=""Sangria""),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74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270" t="str">
        <f>IFERROR(__xludf.DUMMYFUNCTION("IF(
  AND(D264=""Saída"", J264=""Sangria""),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2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270" t="str">
        <f>IFERROR(__xludf.DUMMYFUNCTION("IF(
  AND(D265=""Saída"", J265=""Sangria""),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74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270" t="str">
        <f>IFERROR(__xludf.DUMMYFUNCTION("IF(
  AND(D266=""Saída"", J266=""Sangria""),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2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270" t="str">
        <f>IFERROR(__xludf.DUMMYFUNCTION("IF(
  AND(D267=""Saída"", J267=""Sangria""),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74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270" t="str">
        <f>IFERROR(__xludf.DUMMYFUNCTION("IF(
  AND(D268=""Saída"", J268=""Sangria""),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2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270" t="str">
        <f>IFERROR(__xludf.DUMMYFUNCTION("IF(
  AND(D269=""Saída"", J269=""Sangria""),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74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270" t="str">
        <f>IFERROR(__xludf.DUMMYFUNCTION("IF(
  AND(D270=""Saída"", J270=""Sangria""),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2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270" t="str">
        <f>IFERROR(__xludf.DUMMYFUNCTION("IF(
  AND(D271=""Saída"", J271=""Sangria""),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74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270" t="str">
        <f>IFERROR(__xludf.DUMMYFUNCTION("IF(
  AND(D272=""Saída"", J272=""Sangria""),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2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270" t="str">
        <f>IFERROR(__xludf.DUMMYFUNCTION("IF(
  AND(D273=""Saída"", J273=""Sangria""),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74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270" t="str">
        <f>IFERROR(__xludf.DUMMYFUNCTION("IF(
  AND(D274=""Saída"", J274=""Sangria""),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2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270" t="str">
        <f>IFERROR(__xludf.DUMMYFUNCTION("IF(
  AND(D275=""Saída"", J275=""Sangria""),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74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270" t="str">
        <f>IFERROR(__xludf.DUMMYFUNCTION("IF(
  AND(D276=""Saída"", J276=""Sangria""),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2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270" t="str">
        <f>IFERROR(__xludf.DUMMYFUNCTION("IF(
  AND(D277=""Saída"", J277=""Sangria""),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74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270" t="str">
        <f>IFERROR(__xludf.DUMMYFUNCTION("IF(
  AND(D278=""Saída"", J278=""Sangria""),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2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270" t="str">
        <f>IFERROR(__xludf.DUMMYFUNCTION("IF(
  AND(D279=""Saída"", J279=""Sangria""),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74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270" t="str">
        <f>IFERROR(__xludf.DUMMYFUNCTION("IF(
  AND(D280=""Saída"", J280=""Sangria""),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2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270" t="str">
        <f>IFERROR(__xludf.DUMMYFUNCTION("IF(
  AND(D281=""Saída"", J281=""Sangria""),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74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270" t="str">
        <f>IFERROR(__xludf.DUMMYFUNCTION("IF(
  AND(D282=""Saída"", J282=""Sangria""),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2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270" t="str">
        <f>IFERROR(__xludf.DUMMYFUNCTION("IF(
  AND(D283=""Saída"", J283=""Sangria""),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74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270" t="str">
        <f>IFERROR(__xludf.DUMMYFUNCTION("IF(
  AND(D284=""Saída"", J284=""Sangria""),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2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270" t="str">
        <f>IFERROR(__xludf.DUMMYFUNCTION("IF(
  AND(D285=""Saída"", J285=""Sangria""),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74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270" t="str">
        <f>IFERROR(__xludf.DUMMYFUNCTION("IF(
  AND(D286=""Saída"", J286=""Sangria""),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2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270" t="str">
        <f>IFERROR(__xludf.DUMMYFUNCTION("IF(
  AND(D287=""Saída"", J287=""Sangria""),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74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270" t="str">
        <f>IFERROR(__xludf.DUMMYFUNCTION("IF(
  AND(D288=""Saída"", J288=""Sangria""),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2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270" t="str">
        <f>IFERROR(__xludf.DUMMYFUNCTION("IF(
  AND(D289=""Saída"", J289=""Sangria""),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74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270" t="str">
        <f>IFERROR(__xludf.DUMMYFUNCTION("IF(
  AND(D290=""Saída"", J290=""Sangria""),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2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270" t="str">
        <f>IFERROR(__xludf.DUMMYFUNCTION("IF(
  AND(D291=""Saída"", J291=""Sangria""),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74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270" t="str">
        <f>IFERROR(__xludf.DUMMYFUNCTION("IF(
  AND(D292=""Saída"", J292=""Sangria""),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2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270" t="str">
        <f>IFERROR(__xludf.DUMMYFUNCTION("IF(
  AND(D293=""Saída"", J293=""Sangria""),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74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270" t="str">
        <f>IFERROR(__xludf.DUMMYFUNCTION("IF(
  AND(D294=""Saída"", J294=""Sangria""),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2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270" t="str">
        <f>IFERROR(__xludf.DUMMYFUNCTION("IF(
  AND(D295=""Saída"", J295=""Sangria""),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74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270" t="str">
        <f>IFERROR(__xludf.DUMMYFUNCTION("IF(
  AND(D296=""Saída"", J296=""Sangria""),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2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270" t="str">
        <f>IFERROR(__xludf.DUMMYFUNCTION("IF(
  AND(D297=""Saída"", J297=""Sangria""),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74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270" t="str">
        <f>IFERROR(__xludf.DUMMYFUNCTION("IF(
  AND(D298=""Saída"", J298=""Sangria""),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2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270" t="str">
        <f>IFERROR(__xludf.DUMMYFUNCTION("IF(
  AND(D299=""Saída"", J299=""Sangria""),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74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270" t="str">
        <f>IFERROR(__xludf.DUMMYFUNCTION("IF(
  AND(D300=""Saída"", J300=""Sangria""),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2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270" t="str">
        <f>IFERROR(__xludf.DUMMYFUNCTION("IF(
  AND(D301=""Saída"", J301=""Sangria""),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74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270" t="str">
        <f>IFERROR(__xludf.DUMMYFUNCTION("IF(
  AND(D302=""Saída"", J302=""Sangria""),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2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270" t="str">
        <f>IFERROR(__xludf.DUMMYFUNCTION("IF(
  AND(D303=""Saída"", J303=""Sangria""),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74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270" t="str">
        <f>IFERROR(__xludf.DUMMYFUNCTION("IF(
  AND(D304=""Saída"", J304=""Sangria""),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2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270" t="str">
        <f>IFERROR(__xludf.DUMMYFUNCTION("IF(
  AND(D305=""Saída"", J305=""Sangria""),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74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270" t="str">
        <f>IFERROR(__xludf.DUMMYFUNCTION("IF(
  AND(D306=""Saída"", J306=""Sangria""),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2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270" t="str">
        <f>IFERROR(__xludf.DUMMYFUNCTION("IF(
  AND(D307=""Saída"", J307=""Sangria""),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74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270" t="str">
        <f>IFERROR(__xludf.DUMMYFUNCTION("IF(
  AND(D308=""Saída"", J308=""Sangria""),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2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270" t="str">
        <f>IFERROR(__xludf.DUMMYFUNCTION("IF(
  AND(D309=""Saída"", J309=""Sangria""),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74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270" t="str">
        <f>IFERROR(__xludf.DUMMYFUNCTION("IF(
  AND(D310=""Saída"", J310=""Sangria""),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2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270" t="str">
        <f>IFERROR(__xludf.DUMMYFUNCTION("IF(
  AND(D311=""Saída"", J311=""Sangria""),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74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270" t="str">
        <f>IFERROR(__xludf.DUMMYFUNCTION("IF(
  AND(D312=""Saída"", J312=""Sangria""),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2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270" t="str">
        <f>IFERROR(__xludf.DUMMYFUNCTION("IF(
  AND(D313=""Saída"", J313=""Sangria""),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74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270" t="str">
        <f>IFERROR(__xludf.DUMMYFUNCTION("IF(
  AND(D314=""Saída"", J314=""Sangria""),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2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270" t="str">
        <f>IFERROR(__xludf.DUMMYFUNCTION("IF(
  AND(D315=""Saída"", J315=""Sangria""),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74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270" t="str">
        <f>IFERROR(__xludf.DUMMYFUNCTION("IF(
  AND(D316=""Saída"", J316=""Sangria""),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2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270" t="str">
        <f>IFERROR(__xludf.DUMMYFUNCTION("IF(
  AND(D317=""Saída"", J317=""Sangria""),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74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270" t="str">
        <f>IFERROR(__xludf.DUMMYFUNCTION("IF(
  AND(D318=""Saída"", J318=""Sangria""),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2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270" t="str">
        <f>IFERROR(__xludf.DUMMYFUNCTION("IF(
  AND(D319=""Saída"", J319=""Sangria""),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74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270" t="str">
        <f>IFERROR(__xludf.DUMMYFUNCTION("IF(
  AND(D320=""Saída"", J320=""Sangria""),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2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270" t="str">
        <f>IFERROR(__xludf.DUMMYFUNCTION("IF(
  AND(D321=""Saída"", J321=""Sangria""),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74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270" t="str">
        <f>IFERROR(__xludf.DUMMYFUNCTION("IF(
  AND(D322=""Saída"", J322=""Sangria""),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2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270" t="str">
        <f>IFERROR(__xludf.DUMMYFUNCTION("IF(
  AND(D323=""Saída"", J323=""Sangria""),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74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270" t="str">
        <f>IFERROR(__xludf.DUMMYFUNCTION("IF(
  AND(D324=""Saída"", J324=""Sangria""),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2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270" t="str">
        <f>IFERROR(__xludf.DUMMYFUNCTION("IF(
  AND(D325=""Saída"", J325=""Sangria""),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74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270" t="str">
        <f>IFERROR(__xludf.DUMMYFUNCTION("IF(
  AND(D326=""Saída"", J326=""Sangria""),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2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270" t="str">
        <f>IFERROR(__xludf.DUMMYFUNCTION("IF(
  AND(D327=""Saída"", J327=""Sangria""),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74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270" t="str">
        <f>IFERROR(__xludf.DUMMYFUNCTION("IF(
  AND(D328=""Saída"", J328=""Sangria""),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2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270" t="str">
        <f>IFERROR(__xludf.DUMMYFUNCTION("IF(
  AND(D329=""Saída"", J329=""Sangria""),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74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270" t="str">
        <f>IFERROR(__xludf.DUMMYFUNCTION("IF(
  AND(D330=""Saída"", J330=""Sangria""),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2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270" t="str">
        <f>IFERROR(__xludf.DUMMYFUNCTION("IF(
  AND(D331=""Saída"", J331=""Sangria""),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74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270" t="str">
        <f>IFERROR(__xludf.DUMMYFUNCTION("IF(
  AND(D332=""Saída"", J332=""Sangria""),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2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270" t="str">
        <f>IFERROR(__xludf.DUMMYFUNCTION("IF(
  AND(D333=""Saída"", J333=""Sangria""),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74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270" t="str">
        <f>IFERROR(__xludf.DUMMYFUNCTION("IF(
  AND(D334=""Saída"", J334=""Sangria""),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2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270" t="str">
        <f>IFERROR(__xludf.DUMMYFUNCTION("IF(
  AND(D335=""Saída"", J335=""Sangria""),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74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270" t="str">
        <f>IFERROR(__xludf.DUMMYFUNCTION("IF(
  AND(D336=""Saída"", J336=""Sangria""),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2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270" t="str">
        <f>IFERROR(__xludf.DUMMYFUNCTION("IF(
  AND(D337=""Saída"", J337=""Sangria""),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74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270" t="str">
        <f>IFERROR(__xludf.DUMMYFUNCTION("IF(
  AND(D338=""Saída"", J338=""Sangria""),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2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270" t="str">
        <f>IFERROR(__xludf.DUMMYFUNCTION("IF(
  AND(D339=""Saída"", J339=""Sangria""),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74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270" t="str">
        <f>IFERROR(__xludf.DUMMYFUNCTION("IF(
  AND(D340=""Saída"", J340=""Sangria""),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2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270" t="str">
        <f>IFERROR(__xludf.DUMMYFUNCTION("IF(
  AND(D341=""Saída"", J341=""Sangria""),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74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270" t="str">
        <f>IFERROR(__xludf.DUMMYFUNCTION("IF(
  AND(D342=""Saída"", J342=""Sangria""),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2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270" t="str">
        <f>IFERROR(__xludf.DUMMYFUNCTION("IF(
  AND(D343=""Saída"", J343=""Sangria""),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74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270" t="str">
        <f>IFERROR(__xludf.DUMMYFUNCTION("IF(
  AND(D344=""Saída"", J344=""Sangria""),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2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270" t="str">
        <f>IFERROR(__xludf.DUMMYFUNCTION("IF(
  AND(D345=""Saída"", J345=""Sangria""),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74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270" t="str">
        <f>IFERROR(__xludf.DUMMYFUNCTION("IF(
  AND(D346=""Saída"", J346=""Sangria""),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2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270" t="str">
        <f>IFERROR(__xludf.DUMMYFUNCTION("IF(
  AND(D347=""Saída"", J347=""Sangria""),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74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270" t="str">
        <f>IFERROR(__xludf.DUMMYFUNCTION("IF(
  AND(D348=""Saída"", J348=""Sangria""),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2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270" t="str">
        <f>IFERROR(__xludf.DUMMYFUNCTION("IF(
  AND(D349=""Saída"", J349=""Sangria""),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74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270" t="str">
        <f>IFERROR(__xludf.DUMMYFUNCTION("IF(
  AND(D350=""Saída"", J350=""Sangria""),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2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270" t="str">
        <f>IFERROR(__xludf.DUMMYFUNCTION("IF(
  AND(D351=""Saída"", J351=""Sangria""),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74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270" t="str">
        <f>IFERROR(__xludf.DUMMYFUNCTION("IF(
  AND(D352=""Saída"", J352=""Sangria""),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2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270" t="str">
        <f>IFERROR(__xludf.DUMMYFUNCTION("IF(
  AND(D353=""Saída"", J353=""Sangria""),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74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270" t="str">
        <f>IFERROR(__xludf.DUMMYFUNCTION("IF(
  AND(D354=""Saída"", J354=""Sangria""),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2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270" t="str">
        <f>IFERROR(__xludf.DUMMYFUNCTION("IF(
  AND(D355=""Saída"", J355=""Sangria""),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74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270" t="str">
        <f>IFERROR(__xludf.DUMMYFUNCTION("IF(
  AND(D356=""Saída"", J356=""Sangria""),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2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270" t="str">
        <f>IFERROR(__xludf.DUMMYFUNCTION("IF(
  AND(D357=""Saída"", J357=""Sangria""),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74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270" t="str">
        <f>IFERROR(__xludf.DUMMYFUNCTION("IF(
  AND(D358=""Saída"", J358=""Sangria""),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2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270" t="str">
        <f>IFERROR(__xludf.DUMMYFUNCTION("IF(
  AND(D359=""Saída"", J359=""Sangria""),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74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270" t="str">
        <f>IFERROR(__xludf.DUMMYFUNCTION("IF(
  AND(D360=""Saída"", J360=""Sangria""),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2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270" t="str">
        <f>IFERROR(__xludf.DUMMYFUNCTION("IF(
  AND(D361=""Saída"", J361=""Sangria""),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74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270" t="str">
        <f>IFERROR(__xludf.DUMMYFUNCTION("IF(
  AND(D362=""Saída"", J362=""Sangria""),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2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270" t="str">
        <f>IFERROR(__xludf.DUMMYFUNCTION("IF(
  AND(D363=""Saída"", J363=""Sangria""),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74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270" t="str">
        <f>IFERROR(__xludf.DUMMYFUNCTION("IF(
  AND(D364=""Saída"", J364=""Sangria""),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2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270" t="str">
        <f>IFERROR(__xludf.DUMMYFUNCTION("IF(
  AND(D365=""Saída"", J365=""Sangria""),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74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270" t="str">
        <f>IFERROR(__xludf.DUMMYFUNCTION("IF(
  AND(D366=""Saída"", J366=""Sangria""),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2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270" t="str">
        <f>IFERROR(__xludf.DUMMYFUNCTION("IF(
  AND(D367=""Saída"", J367=""Sangria""),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74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270" t="str">
        <f>IFERROR(__xludf.DUMMYFUNCTION("IF(
  AND(D368=""Saída"", J368=""Sangria""),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2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270" t="str">
        <f>IFERROR(__xludf.DUMMYFUNCTION("IF(
  AND(D369=""Saída"", J369=""Sangria""),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74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270" t="str">
        <f>IFERROR(__xludf.DUMMYFUNCTION("IF(
  AND(D370=""Saída"", J370=""Sangria""),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2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270" t="str">
        <f>IFERROR(__xludf.DUMMYFUNCTION("IF(
  AND(D371=""Saída"", J371=""Sangria""),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74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270" t="str">
        <f>IFERROR(__xludf.DUMMYFUNCTION("IF(
  AND(D372=""Saída"", J372=""Sangria""),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2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270" t="str">
        <f>IFERROR(__xludf.DUMMYFUNCTION("IF(
  AND(D373=""Saída"", J373=""Sangria""),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74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270" t="str">
        <f>IFERROR(__xludf.DUMMYFUNCTION("IF(
  AND(D374=""Saída"", J374=""Sangria""),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2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270" t="str">
        <f>IFERROR(__xludf.DUMMYFUNCTION("IF(
  AND(D375=""Saída"", J375=""Sangria""),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74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270" t="str">
        <f>IFERROR(__xludf.DUMMYFUNCTION("IF(
  AND(D376=""Saída"", J376=""Sangria""),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2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270" t="str">
        <f>IFERROR(__xludf.DUMMYFUNCTION("IF(
  AND(D377=""Saída"", J377=""Sangria""),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74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270" t="str">
        <f>IFERROR(__xludf.DUMMYFUNCTION("IF(
  AND(D378=""Saída"", J378=""Sangria""),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2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270" t="str">
        <f>IFERROR(__xludf.DUMMYFUNCTION("IF(
  AND(D379=""Saída"", J379=""Sangria""),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74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270" t="str">
        <f>IFERROR(__xludf.DUMMYFUNCTION("IF(
  AND(D380=""Saída"", J380=""Sangria""),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2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270" t="str">
        <f>IFERROR(__xludf.DUMMYFUNCTION("IF(
  AND(D381=""Saída"", J381=""Sangria""),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74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270" t="str">
        <f>IFERROR(__xludf.DUMMYFUNCTION("IF(
  AND(D382=""Saída"", J382=""Sangria""),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2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270" t="str">
        <f>IFERROR(__xludf.DUMMYFUNCTION("IF(
  AND(D383=""Saída"", J383=""Sangria""),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74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270" t="str">
        <f>IFERROR(__xludf.DUMMYFUNCTION("IF(
  AND(D384=""Saída"", J384=""Sangria""),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2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270" t="str">
        <f>IFERROR(__xludf.DUMMYFUNCTION("IF(
  AND(D385=""Saída"", J385=""Sangria""),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74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270" t="str">
        <f>IFERROR(__xludf.DUMMYFUNCTION("IF(
  AND(D386=""Saída"", J386=""Sangria""),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2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270" t="str">
        <f>IFERROR(__xludf.DUMMYFUNCTION("IF(
  AND(D387=""Saída"", J387=""Sangria""),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74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270" t="str">
        <f>IFERROR(__xludf.DUMMYFUNCTION("IF(
  AND(D388=""Saída"", J388=""Sangria""),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2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270" t="str">
        <f>IFERROR(__xludf.DUMMYFUNCTION("IF(
  AND(D389=""Saída"", J389=""Sangria""),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74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270" t="str">
        <f>IFERROR(__xludf.DUMMYFUNCTION("IF(
  AND(D390=""Saída"", J390=""Sangria""),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2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270" t="str">
        <f>IFERROR(__xludf.DUMMYFUNCTION("IF(
  AND(D391=""Saída"", J391=""Sangria""),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74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270" t="str">
        <f>IFERROR(__xludf.DUMMYFUNCTION("IF(
  AND(D392=""Saída"", J392=""Sangria""),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2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270" t="str">
        <f>IFERROR(__xludf.DUMMYFUNCTION("IF(
  AND(D393=""Saída"", J393=""Sangria""),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74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270" t="str">
        <f>IFERROR(__xludf.DUMMYFUNCTION("IF(
  AND(D394=""Saída"", J394=""Sangria""),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2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270" t="str">
        <f>IFERROR(__xludf.DUMMYFUNCTION("IF(
  AND(D395=""Saída"", J395=""Sangria""),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74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270" t="str">
        <f>IFERROR(__xludf.DUMMYFUNCTION("IF(
  AND(D396=""Saída"", J396=""Sangria""),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2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270" t="str">
        <f>IFERROR(__xludf.DUMMYFUNCTION("IF(
  AND(D397=""Saída"", J397=""Sangria""),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74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270" t="str">
        <f>IFERROR(__xludf.DUMMYFUNCTION("IF(
  AND(D398=""Saída"", J398=""Sangria""),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2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270" t="str">
        <f>IFERROR(__xludf.DUMMYFUNCTION("IF(
  AND(D399=""Saída"", J399=""Sangria""),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74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270" t="str">
        <f>IFERROR(__xludf.DUMMYFUNCTION("IF(
  AND(D400=""Saída"", J400=""Sangria""),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2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270" t="str">
        <f>IFERROR(__xludf.DUMMYFUNCTION("IF(
  AND(D401=""Saída"", J401=""Sangria""),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74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270" t="str">
        <f>IFERROR(__xludf.DUMMYFUNCTION("IF(
  AND(D402=""Saída"", J402=""Sangria""),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2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270" t="str">
        <f>IFERROR(__xludf.DUMMYFUNCTION("IF(
  AND(D403=""Saída"", J403=""Sangria""),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74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270" t="str">
        <f>IFERROR(__xludf.DUMMYFUNCTION("IF(
  AND(D404=""Saída"", J404=""Sangria""),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2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270" t="str">
        <f>IFERROR(__xludf.DUMMYFUNCTION("IF(
  AND(D405=""Saída"", J405=""Sangria""),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74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270" t="str">
        <f>IFERROR(__xludf.DUMMYFUNCTION("IF(
  AND(D406=""Saída"", J406=""Sangria""),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2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270" t="str">
        <f>IFERROR(__xludf.DUMMYFUNCTION("IF(
  AND(D407=""Saída"", J407=""Sangria""),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74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270" t="str">
        <f>IFERROR(__xludf.DUMMYFUNCTION("IF(
  AND(D408=""Saída"", J408=""Sangria""),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2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270" t="str">
        <f>IFERROR(__xludf.DUMMYFUNCTION("IF(
  AND(D409=""Saída"", J409=""Sangria""),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74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270" t="str">
        <f>IFERROR(__xludf.DUMMYFUNCTION("IF(
  AND(D410=""Saída"", J410=""Sangria""),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2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270" t="str">
        <f>IFERROR(__xludf.DUMMYFUNCTION("IF(
  AND(D411=""Saída"", J411=""Sangria""),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74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270" t="str">
        <f>IFERROR(__xludf.DUMMYFUNCTION("IF(
  AND(D412=""Saída"", J412=""Sangria""),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2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270" t="str">
        <f>IFERROR(__xludf.DUMMYFUNCTION("IF(
  AND(D413=""Saída"", J413=""Sangria""),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74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270" t="str">
        <f>IFERROR(__xludf.DUMMYFUNCTION("IF(
  AND(D414=""Saída"", J414=""Sangria""),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2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270" t="str">
        <f>IFERROR(__xludf.DUMMYFUNCTION("IF(
  AND(D415=""Saída"", J415=""Sangria""),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74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270" t="str">
        <f>IFERROR(__xludf.DUMMYFUNCTION("IF(
  AND(D416=""Saída"", J416=""Sangria""),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2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270" t="str">
        <f>IFERROR(__xludf.DUMMYFUNCTION("IF(
  AND(D417=""Saída"", J417=""Sangria""),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74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270" t="str">
        <f>IFERROR(__xludf.DUMMYFUNCTION("IF(
  AND(D418=""Saída"", J418=""Sangria""),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2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270" t="str">
        <f>IFERROR(__xludf.DUMMYFUNCTION("IF(
  AND(D419=""Saída"", J419=""Sangria""),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74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270" t="str">
        <f>IFERROR(__xludf.DUMMYFUNCTION("IF(
  AND(D420=""Saída"", J420=""Sangria""),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2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270" t="str">
        <f>IFERROR(__xludf.DUMMYFUNCTION("IF(
  AND(D421=""Saída"", J421=""Sangria""),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74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270" t="str">
        <f>IFERROR(__xludf.DUMMYFUNCTION("IF(
  AND(D422=""Saída"", J422=""Sangria""),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2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270" t="str">
        <f>IFERROR(__xludf.DUMMYFUNCTION("IF(
  AND(D423=""Saída"", J423=""Sangria""),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74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270" t="str">
        <f>IFERROR(__xludf.DUMMYFUNCTION("IF(
  AND(D424=""Saída"", J424=""Sangria""),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2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270" t="str">
        <f>IFERROR(__xludf.DUMMYFUNCTION("IF(
  AND(D425=""Saída"", J425=""Sangria""),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74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270" t="str">
        <f>IFERROR(__xludf.DUMMYFUNCTION("IF(
  AND(D426=""Saída"", J426=""Sangria""),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2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270" t="str">
        <f>IFERROR(__xludf.DUMMYFUNCTION("IF(
  AND(D427=""Saída"", J427=""Sangria""),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74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270" t="str">
        <f>IFERROR(__xludf.DUMMYFUNCTION("IF(
  AND(D428=""Saída"", J428=""Sangria""),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2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270" t="str">
        <f>IFERROR(__xludf.DUMMYFUNCTION("IF(
  AND(D429=""Saída"", J429=""Sangria""),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74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270" t="str">
        <f>IFERROR(__xludf.DUMMYFUNCTION("IF(
  AND(D430=""Saída"", J430=""Sangria""),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2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270" t="str">
        <f>IFERROR(__xludf.DUMMYFUNCTION("IF(
  AND(D431=""Saída"", J431=""Sangria""),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74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270" t="str">
        <f>IFERROR(__xludf.DUMMYFUNCTION("IF(
  AND(D432=""Saída"", J432=""Sangria""),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2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270" t="str">
        <f>IFERROR(__xludf.DUMMYFUNCTION("IF(
  AND(D433=""Saída"", J433=""Sangria""),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74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270" t="str">
        <f>IFERROR(__xludf.DUMMYFUNCTION("IF(
  AND(D434=""Saída"", J434=""Sangria""),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2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270" t="str">
        <f>IFERROR(__xludf.DUMMYFUNCTION("IF(
  AND(D435=""Saída"", J435=""Sangria""),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74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270" t="str">
        <f>IFERROR(__xludf.DUMMYFUNCTION("IF(
  AND(D436=""Saída"", J436=""Sangria""),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2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270" t="str">
        <f>IFERROR(__xludf.DUMMYFUNCTION("IF(
  AND(D437=""Saída"", J437=""Sangria""),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74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270" t="str">
        <f>IFERROR(__xludf.DUMMYFUNCTION("IF(
  AND(D438=""Saída"", J438=""Sangria""),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2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270" t="str">
        <f>IFERROR(__xludf.DUMMYFUNCTION("IF(
  AND(D439=""Saída"", J439=""Sangria""),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74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270" t="str">
        <f>IFERROR(__xludf.DUMMYFUNCTION("IF(
  AND(D440=""Saída"", J440=""Sangria""),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2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270" t="str">
        <f>IFERROR(__xludf.DUMMYFUNCTION("IF(
  AND(D441=""Saída"", J441=""Sangria""),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74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270" t="str">
        <f>IFERROR(__xludf.DUMMYFUNCTION("IF(
  AND(D442=""Saída"", J442=""Sangria""),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2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270" t="str">
        <f>IFERROR(__xludf.DUMMYFUNCTION("IF(
  AND(D443=""Saída"", J443=""Sangria""),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74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270" t="str">
        <f>IFERROR(__xludf.DUMMYFUNCTION("IF(
  AND(D444=""Saída"", J444=""Sangria""),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2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270" t="str">
        <f>IFERROR(__xludf.DUMMYFUNCTION("IF(
  AND(D445=""Saída"", J445=""Sangria""),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74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270" t="str">
        <f>IFERROR(__xludf.DUMMYFUNCTION("IF(
  AND(D446=""Saída"", J446=""Sangria""),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2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270" t="str">
        <f>IFERROR(__xludf.DUMMYFUNCTION("IF(
  AND(D447=""Saída"", J447=""Sangria""),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74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270" t="str">
        <f>IFERROR(__xludf.DUMMYFUNCTION("IF(
  AND(D448=""Saída"", J448=""Sangria""),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2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270" t="str">
        <f>IFERROR(__xludf.DUMMYFUNCTION("IF(
  AND(D449=""Saída"", J449=""Sangria""),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74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270" t="str">
        <f>IFERROR(__xludf.DUMMYFUNCTION("IF(
  AND(D450=""Saída"", J450=""Sangria""),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2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270" t="str">
        <f>IFERROR(__xludf.DUMMYFUNCTION("IF(
  AND(D451=""Saída"", J451=""Sangria""),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74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270" t="str">
        <f>IFERROR(__xludf.DUMMYFUNCTION("IF(
  AND(D452=""Saída"", J452=""Sangria""),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2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270" t="str">
        <f>IFERROR(__xludf.DUMMYFUNCTION("IF(
  AND(D453=""Saída"", J453=""Sangria""),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74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270" t="str">
        <f>IFERROR(__xludf.DUMMYFUNCTION("IF(
  AND(D454=""Saída"", J454=""Sangria""),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2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270" t="str">
        <f>IFERROR(__xludf.DUMMYFUNCTION("IF(
  AND(D455=""Saída"", J455=""Sangria""),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74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270" t="str">
        <f>IFERROR(__xludf.DUMMYFUNCTION("IF(
  AND(D456=""Saída"", J456=""Sangria""),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2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270" t="str">
        <f>IFERROR(__xludf.DUMMYFUNCTION("IF(
  AND(D457=""Saída"", J457=""Sangria""),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74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270" t="str">
        <f>IFERROR(__xludf.DUMMYFUNCTION("IF(
  AND(D458=""Saída"", J458=""Sangria""),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2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270" t="str">
        <f>IFERROR(__xludf.DUMMYFUNCTION("IF(
  AND(D459=""Saída"", J459=""Sangria""),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74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270" t="str">
        <f>IFERROR(__xludf.DUMMYFUNCTION("IF(
  AND(D460=""Saída"", J460=""Sangria""),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2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270" t="str">
        <f>IFERROR(__xludf.DUMMYFUNCTION("IF(
  AND(D461=""Saída"", J461=""Sangria""),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74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270" t="str">
        <f>IFERROR(__xludf.DUMMYFUNCTION("IF(
  AND(D462=""Saída"", J462=""Sangria""),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2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270" t="str">
        <f>IFERROR(__xludf.DUMMYFUNCTION("IF(
  AND(D463=""Saída"", J463=""Sangria""),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74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270" t="str">
        <f>IFERROR(__xludf.DUMMYFUNCTION("IF(
  AND(D464=""Saída"", J464=""Sangria""),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2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270" t="str">
        <f>IFERROR(__xludf.DUMMYFUNCTION("IF(
  AND(D465=""Saída"", J465=""Sangria""),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74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270" t="str">
        <f>IFERROR(__xludf.DUMMYFUNCTION("IF(
  AND(D466=""Saída"", J466=""Sangria""),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2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270" t="str">
        <f>IFERROR(__xludf.DUMMYFUNCTION("IF(
  AND(D467=""Saída"", J467=""Sangria""),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74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270" t="str">
        <f>IFERROR(__xludf.DUMMYFUNCTION("IF(
  AND(D468=""Saída"", J468=""Sangria""),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2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270" t="str">
        <f>IFERROR(__xludf.DUMMYFUNCTION("IF(
  AND(D469=""Saída"", J469=""Sangria""),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74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270" t="str">
        <f>IFERROR(__xludf.DUMMYFUNCTION("IF(
  AND(D470=""Saída"", J470=""Sangria""),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2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270" t="str">
        <f>IFERROR(__xludf.DUMMYFUNCTION("IF(
  AND(D471=""Saída"", J471=""Sangria""),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74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270" t="str">
        <f>IFERROR(__xludf.DUMMYFUNCTION("IF(
  AND(D472=""Saída"", J472=""Sangria""),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2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270" t="str">
        <f>IFERROR(__xludf.DUMMYFUNCTION("IF(
  AND(D473=""Saída"", J473=""Sangria""),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74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270" t="str">
        <f>IFERROR(__xludf.DUMMYFUNCTION("IF(
  AND(D474=""Saída"", J474=""Sangria""),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2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270" t="str">
        <f>IFERROR(__xludf.DUMMYFUNCTION("IF(
  AND(D475=""Saída"", J475=""Sangria""),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74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270" t="str">
        <f>IFERROR(__xludf.DUMMYFUNCTION("IF(
  AND(D476=""Saída"", J476=""Sangria""),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2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270" t="str">
        <f>IFERROR(__xludf.DUMMYFUNCTION("IF(
  AND(D477=""Saída"", J477=""Sangria""),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74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270" t="str">
        <f>IFERROR(__xludf.DUMMYFUNCTION("IF(
  AND(D478=""Saída"", J478=""Sangria""),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2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270" t="str">
        <f>IFERROR(__xludf.DUMMYFUNCTION("IF(
  AND(D479=""Saída"", J479=""Sangria""),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74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270" t="str">
        <f>IFERROR(__xludf.DUMMYFUNCTION("IF(
  AND(D480=""Saída"", J480=""Sangria""),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2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270" t="str">
        <f>IFERROR(__xludf.DUMMYFUNCTION("IF(
  AND(D481=""Saída"", J481=""Sangria""),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74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270" t="str">
        <f>IFERROR(__xludf.DUMMYFUNCTION("IF(
  AND(D482=""Saída"", J482=""Sangria""),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2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270" t="str">
        <f>IFERROR(__xludf.DUMMYFUNCTION("IF(
  AND(D483=""Saída"", J483=""Sangria""),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74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270" t="str">
        <f>IFERROR(__xludf.DUMMYFUNCTION("IF(
  AND(D484=""Saída"", J484=""Sangria""),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2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270" t="str">
        <f>IFERROR(__xludf.DUMMYFUNCTION("IF(
  AND(D485=""Saída"", J485=""Sangria""),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74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270" t="str">
        <f>IFERROR(__xludf.DUMMYFUNCTION("IF(
  AND(D486=""Saída"", J486=""Sangria""),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2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270" t="str">
        <f>IFERROR(__xludf.DUMMYFUNCTION("IF(
  AND(D487=""Saída"", J487=""Sangria""),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74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270" t="str">
        <f>IFERROR(__xludf.DUMMYFUNCTION("IF(
  AND(D488=""Saída"", J488=""Sangria""),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2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270" t="str">
        <f>IFERROR(__xludf.DUMMYFUNCTION("IF(
  AND(D489=""Saída"", J489=""Sangria""),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74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270" t="str">
        <f>IFERROR(__xludf.DUMMYFUNCTION("IF(
  AND(D490=""Saída"", J490=""Sangria""),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2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270" t="str">
        <f>IFERROR(__xludf.DUMMYFUNCTION("IF(
  AND(D491=""Saída"", J491=""Sangria""),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74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270" t="str">
        <f>IFERROR(__xludf.DUMMYFUNCTION("IF(
  AND(D492=""Saída"", J492=""Sangria""),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2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270" t="str">
        <f>IFERROR(__xludf.DUMMYFUNCTION("IF(
  AND(D493=""Saída"", J493=""Sangria""),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74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270" t="str">
        <f>IFERROR(__xludf.DUMMYFUNCTION("IF(
  AND(D494=""Saída"", J494=""Sangria""),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2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270" t="str">
        <f>IFERROR(__xludf.DUMMYFUNCTION("IF(
  AND(D495=""Saída"", J495=""Sangria""),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74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270" t="str">
        <f>IFERROR(__xludf.DUMMYFUNCTION("IF(
  AND(D496=""Saída"", J496=""Sangria""),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2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270" t="str">
        <f>IFERROR(__xludf.DUMMYFUNCTION("IF(
  AND(D497=""Saída"", J497=""Sangria""),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74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270" t="str">
        <f>IFERROR(__xludf.DUMMYFUNCTION("IF(
  AND(D498=""Saída"", J498=""Sangria""),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2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270" t="str">
        <f>IFERROR(__xludf.DUMMYFUNCTION("IF(
  AND(D499=""Saída"", J499=""Sangria""),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74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270" t="str">
        <f>IFERROR(__xludf.DUMMYFUNCTION("IF(
  AND(D500=""Saída"", J500=""Sangria""),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2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270" t="str">
        <f>IFERROR(__xludf.DUMMYFUNCTION("IF(
  AND(D501=""Saída"", J501=""Sangria""),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74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270" t="str">
        <f>IFERROR(__xludf.DUMMYFUNCTION("IF(
  AND(D502=""Saída"", J502=""Sangria""),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2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270" t="str">
        <f>IFERROR(__xludf.DUMMYFUNCTION("IF(
  AND(D503=""Saída"", J503=""Sangria""),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74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270" t="str">
        <f>IFERROR(__xludf.DUMMYFUNCTION("IF(
  AND(D504=""Saída"", J504=""Sangria""),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2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5"/>
      <c r="B505" s="320"/>
      <c r="C505" s="255"/>
      <c r="D505" s="190"/>
      <c r="E505" s="257"/>
      <c r="F505" s="190"/>
      <c r="G505" s="258"/>
      <c r="H505" s="190"/>
      <c r="I505" s="190"/>
      <c r="J505" s="189"/>
      <c r="K505" s="189"/>
      <c r="L505" s="270" t="str">
        <f>IFERROR(__xludf.DUMMYFUNCTION("IF(
  AND(D505=""Saída"", J505=""Sangria""),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74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5"/>
      <c r="B506" s="320"/>
      <c r="C506" s="255"/>
      <c r="D506" s="190"/>
      <c r="E506" s="257"/>
      <c r="F506" s="190"/>
      <c r="G506" s="258"/>
      <c r="H506" s="190"/>
      <c r="I506" s="190"/>
      <c r="J506" s="189"/>
      <c r="K506" s="189"/>
      <c r="L506" s="270" t="str">
        <f>IFERROR(__xludf.DUMMYFUNCTION("IF(
  AND(D506=""Saída"", J506=""Sangria""),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2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5"/>
      <c r="B507" s="320"/>
      <c r="C507" s="255"/>
      <c r="D507" s="190"/>
      <c r="E507" s="257"/>
      <c r="F507" s="190"/>
      <c r="G507" s="258"/>
      <c r="H507" s="190"/>
      <c r="I507" s="190"/>
      <c r="J507" s="189"/>
      <c r="K507" s="189"/>
      <c r="L507" s="270" t="str">
        <f>IFERROR(__xludf.DUMMYFUNCTION("IF(
  AND(D507=""Saída"", J507=""Sangria""),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74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7:R37"/>
    <mergeCell ref="O59:T60"/>
    <mergeCell ref="S61:T61"/>
    <mergeCell ref="O106:V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52:U152"/>
    <mergeCell ref="S153:U153"/>
    <mergeCell ref="S154:U154"/>
    <mergeCell ref="S155:U155"/>
    <mergeCell ref="S156:U156"/>
    <mergeCell ref="S157:U157"/>
    <mergeCell ref="S158:U158"/>
    <mergeCell ref="S145:U145"/>
    <mergeCell ref="S146:U146"/>
    <mergeCell ref="S147:U147"/>
    <mergeCell ref="S148:U148"/>
    <mergeCell ref="S149:U149"/>
    <mergeCell ref="S150:U150"/>
    <mergeCell ref="S151:U151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7:W37"/>
  </mergeCells>
  <conditionalFormatting sqref="E29:E213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W4 L11 D20 O20:W20 O38:W38 U58:W58">
    <cfRule type="cellIs" dxfId="6" priority="10" operator="greaterThanOrEqual">
      <formula>500</formula>
    </cfRule>
  </conditionalFormatting>
  <conditionalFormatting sqref="L4:W4 L11 D20 O20:W20 O38:W38 U58:W58">
    <cfRule type="cellIs" dxfId="7" priority="11" operator="between">
      <formula>400</formula>
      <formula>500</formula>
    </cfRule>
  </conditionalFormatting>
  <conditionalFormatting sqref="E29:E507">
    <cfRule type="containsText" dxfId="9" priority="12" operator="containsText" text="R$">
      <formula>NOT(ISERROR(SEARCH(("R$"),(E29))))</formula>
    </cfRule>
  </conditionalFormatting>
  <conditionalFormatting sqref="B29:K507">
    <cfRule type="expression" dxfId="5" priority="13">
      <formula>and($J$29:$J$504="Sangria",$D$29:$D$504="Saída")</formula>
    </cfRule>
  </conditionalFormatting>
  <conditionalFormatting sqref="K29:K507">
    <cfRule type="expression" dxfId="10" priority="14">
      <formula>or($J$29:$J$218="Compra Moedas",$J$29:$J$218="Cortesias",$J$29:$J$218="Troco")</formula>
    </cfRule>
  </conditionalFormatting>
  <conditionalFormatting sqref="K29:K507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7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1">
      <formula>and($C$29:$C$218="",or($D$29:$D$218="Entrada",$D$29:$D$218="Saída"))</formula>
    </cfRule>
  </conditionalFormatting>
  <conditionalFormatting sqref="I29:I507">
    <cfRule type="expression" dxfId="8" priority="22">
      <formula>and(K29 = "",or(J29="Consumo",J29="Adiantamento"))</formula>
    </cfRule>
  </conditionalFormatting>
  <conditionalFormatting sqref="M29:M507">
    <cfRule type="cellIs" dxfId="8" priority="23" operator="equal">
      <formula>"Não Encontrada"</formula>
    </cfRule>
  </conditionalFormatting>
  <conditionalFormatting sqref="L29:L507">
    <cfRule type="cellIs" dxfId="8" priority="24" operator="equal">
      <formula>"Caixa Sangria"</formula>
    </cfRule>
  </conditionalFormatting>
  <dataValidations>
    <dataValidation type="list" allowBlank="1" showErrorMessage="1" sqref="K29:K507">
      <formula1>'JANEIRO 2026'!$B$4:$B$16</formula1>
    </dataValidation>
    <dataValidation type="list" allowBlank="1" showErrorMessage="1" sqref="J29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3.25"/>
    <col customWidth="1" min="15" max="15" width="10.13"/>
    <col customWidth="1" min="16" max="16" width="12.0"/>
    <col customWidth="1" min="17" max="17" width="12.75"/>
    <col customWidth="1" min="18" max="18" width="14.63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26"/>
      <c r="O2" s="30" t="s">
        <v>1840</v>
      </c>
      <c r="P2" s="28"/>
      <c r="Q2" s="28"/>
      <c r="R2" s="28"/>
      <c r="S2" s="28"/>
      <c r="T2" s="28"/>
      <c r="U2" s="28"/>
      <c r="V2" s="28"/>
      <c r="W2" s="29"/>
    </row>
    <row r="3">
      <c r="A3" s="31" t="s">
        <v>1847</v>
      </c>
      <c r="B3" s="32"/>
      <c r="C3" s="33" t="str">
        <f>B4</f>
        <v>Marcelo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>Helena Cardoso</v>
      </c>
      <c r="J3" s="32"/>
      <c r="K3" s="34" t="str">
        <f>B8</f>
        <v>Gabriel Azevedo</v>
      </c>
      <c r="L3" s="35"/>
      <c r="M3" s="36"/>
      <c r="N3" s="36"/>
      <c r="O3" s="37" t="str">
        <f>B4</f>
        <v>Marcelo</v>
      </c>
      <c r="P3" s="28"/>
      <c r="Q3" s="28"/>
      <c r="R3" s="29"/>
      <c r="S3" s="38"/>
      <c r="T3" s="39" t="str">
        <f>B5</f>
        <v>Mariane</v>
      </c>
      <c r="U3" s="28"/>
      <c r="V3" s="28"/>
      <c r="W3" s="29"/>
    </row>
    <row r="4" ht="15.75" customHeight="1">
      <c r="A4" s="40" t="s">
        <v>132</v>
      </c>
      <c r="B4" s="41" t="s">
        <v>6576</v>
      </c>
      <c r="C4" s="42" t="s">
        <v>1900</v>
      </c>
      <c r="D4" s="43">
        <f>SUMIFS(N29:N504,J29:J504,C4,K29:K504,C3)+SUMIF(Q62:Q104,A4,R62:R104)+D9</f>
        <v>0</v>
      </c>
      <c r="E4" s="44" t="s">
        <v>1900</v>
      </c>
      <c r="F4" s="43">
        <f>SUMIFS(N29:N504,J29:J504,E4,K29:K504,E3)+SUMIF(Q62:Q104,A5,R62:R104)+F9</f>
        <v>0</v>
      </c>
      <c r="G4" s="44" t="s">
        <v>1900</v>
      </c>
      <c r="H4" s="43">
        <f>SUMIFS(N29:N504,J29:J504,C4,K29:K504,G3)+SUMIF(Q62:Q104,A6,R62:R104)+H9</f>
        <v>0</v>
      </c>
      <c r="I4" s="44" t="s">
        <v>1900</v>
      </c>
      <c r="J4" s="43">
        <f>SUMIFS(N29:N504,J29:J504,C4,K29:K504,I3)+SUMIF(Q62:Q104,A7,R62:R104)+J9</f>
        <v>0</v>
      </c>
      <c r="K4" s="44" t="s">
        <v>1900</v>
      </c>
      <c r="L4" s="45">
        <f>SUMIFS(N29:N504,J29:J504,C4,K29:K504,K3)+SUMIF(Q62:Q104,A8,R62:R104)+L9</f>
        <v>0</v>
      </c>
      <c r="M4" s="26"/>
      <c r="N4" s="26"/>
      <c r="O4" s="46" t="str">
        <f>IFERROR(__xludf.DUMMYFUNCTION("query(C28:L507,""select Col1,Col3,Col8,Col9 where (Col8 = 'Adiantamento' or Col8 = 'Consumo') and Col9 = '""&amp;B4&amp;""'"",1)"),"Data")</f>
        <v>Data</v>
      </c>
      <c r="P4" s="47" t="str">
        <f>IFERROR(__xludf.DUMMYFUNCTION("""COMPUTED_VALUE"""),"Valor ")</f>
        <v>Valor </v>
      </c>
      <c r="Q4" s="47" t="str">
        <f>IFERROR(__xludf.DUMMYFUNCTION("""COMPUTED_VALUE"""),"Tipo")</f>
        <v>Tipo</v>
      </c>
      <c r="R4" s="48" t="str">
        <f>IFERROR(__xludf.DUMMYFUNCTION("""COMPUTED_VALUE"""),"Funcionário")</f>
        <v>Funcionário</v>
      </c>
      <c r="S4" s="49"/>
      <c r="T4" s="50" t="str">
        <f>IFERROR(__xludf.DUMMYFUNCTION("query(C28:L507,""select Col1,Col3,Col8,Col9 where (Col8 = 'Adiantamento' or Col8 = 'Consumo') and Col9 = '""&amp;B5&amp;""'"",1)"),"Data")</f>
        <v>Data</v>
      </c>
      <c r="U4" s="50" t="str">
        <f>IFERROR(__xludf.DUMMYFUNCTION("""COMPUTED_VALUE"""),"Valor ")</f>
        <v>Valor </v>
      </c>
      <c r="V4" s="50" t="str">
        <f>IFERROR(__xludf.DUMMYFUNCTION("""COMPUTED_VALUE"""),"Tipo")</f>
        <v>Tipo</v>
      </c>
      <c r="W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SUMIFS(N29:N504,J29:J504,C5,K29:K504,C3)</f>
        <v>0</v>
      </c>
      <c r="E5" s="44" t="s">
        <v>2019</v>
      </c>
      <c r="F5" s="43">
        <f>SUMIFS(N29:N504,J29:J504,C5,K29:K504,E3)</f>
        <v>0</v>
      </c>
      <c r="G5" s="44" t="s">
        <v>2019</v>
      </c>
      <c r="H5" s="43">
        <f>SUMIFS(N29:N504,J29:J504,C5,K29:K504,G3)</f>
        <v>112.29</v>
      </c>
      <c r="I5" s="44" t="s">
        <v>2019</v>
      </c>
      <c r="J5" s="43">
        <f>SUMIFS(N29:N504,J29:J504,C5,K29:K504,I3)</f>
        <v>42.24</v>
      </c>
      <c r="K5" s="44" t="s">
        <v>2019</v>
      </c>
      <c r="L5" s="45">
        <f>SUMIFS(N29:N504,J29:J504,C5,K29:K504,K3)</f>
        <v>167.64</v>
      </c>
      <c r="M5" s="26"/>
      <c r="N5" s="26"/>
      <c r="O5" s="52"/>
      <c r="P5" s="53"/>
      <c r="Q5" s="53"/>
      <c r="R5" s="54"/>
      <c r="S5" s="55"/>
      <c r="T5" s="53"/>
      <c r="U5" s="53"/>
      <c r="V5" s="53"/>
      <c r="W5" s="54"/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0</v>
      </c>
      <c r="G6" s="44" t="s">
        <v>2079</v>
      </c>
      <c r="H6" s="43">
        <f>H5*0.8</f>
        <v>89.832</v>
      </c>
      <c r="I6" s="44" t="s">
        <v>2079</v>
      </c>
      <c r="J6" s="43">
        <f>J5*0.8</f>
        <v>33.792</v>
      </c>
      <c r="K6" s="57" t="s">
        <v>2079</v>
      </c>
      <c r="L6" s="45">
        <f>L5*0.8</f>
        <v>134.112</v>
      </c>
      <c r="M6" s="26"/>
      <c r="N6" s="26"/>
      <c r="O6" s="52"/>
      <c r="P6" s="53"/>
      <c r="Q6" s="53"/>
      <c r="R6" s="54"/>
      <c r="S6" s="55"/>
      <c r="T6" s="53"/>
      <c r="U6" s="53"/>
      <c r="V6" s="53"/>
      <c r="W6" s="54"/>
    </row>
    <row r="7" ht="14.25" customHeight="1">
      <c r="A7" s="40" t="s">
        <v>754</v>
      </c>
      <c r="B7" s="41" t="s">
        <v>2117</v>
      </c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62"/>
      <c r="O7" s="52"/>
      <c r="P7" s="53"/>
      <c r="Q7" s="53"/>
      <c r="R7" s="54"/>
      <c r="S7" s="55"/>
      <c r="T7" s="53"/>
      <c r="U7" s="53"/>
      <c r="V7" s="53"/>
      <c r="W7" s="54"/>
    </row>
    <row r="8" ht="14.25" customHeight="1">
      <c r="A8" s="16" t="s">
        <v>6077</v>
      </c>
      <c r="B8" s="41" t="s">
        <v>6745</v>
      </c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69"/>
      <c r="O8" s="52"/>
      <c r="P8" s="53"/>
      <c r="Q8" s="53"/>
      <c r="R8" s="54"/>
      <c r="S8" s="55"/>
      <c r="T8" s="53"/>
      <c r="U8" s="53"/>
      <c r="V8" s="53"/>
      <c r="W8" s="54"/>
    </row>
    <row r="9">
      <c r="A9" s="40" t="s">
        <v>6086</v>
      </c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69"/>
      <c r="O9" s="52"/>
      <c r="P9" s="53"/>
      <c r="Q9" s="53"/>
      <c r="R9" s="54"/>
      <c r="S9" s="55"/>
      <c r="T9" s="53"/>
      <c r="U9" s="53"/>
      <c r="V9" s="53"/>
      <c r="W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25"/>
      <c r="O10" s="52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1900</v>
      </c>
      <c r="D11" s="85">
        <f>SUMIFS(N29:N514,J29:J514,C11,K29:K514,C10)+SUMIF(Q62:Q104,A9,R62:R104)+D16</f>
        <v>0</v>
      </c>
      <c r="E11" s="86" t="s">
        <v>1900</v>
      </c>
      <c r="F11" s="85">
        <f>SUMIFS(N29:N514,J29:J514,E11,K29:K514,E10)+SUMIF(Q62:Q104,A10,R62:R104)+F16</f>
        <v>0</v>
      </c>
      <c r="G11" s="86" t="s">
        <v>1900</v>
      </c>
      <c r="H11" s="85">
        <f>SUMIFS(N29:N514,J29:J514,C11,K29:K514,G10)+SUMIF(Q62:Q104,A11,R62:R104)+H16</f>
        <v>0</v>
      </c>
      <c r="I11" s="86" t="s">
        <v>1900</v>
      </c>
      <c r="J11" s="85">
        <f>SUMIFS(N29:N514,J29:J514,C11,K29:K514,I10)+SUMIF(Q62:Q104,A11,R62:R104)+J16</f>
        <v>0</v>
      </c>
      <c r="K11" s="86" t="s">
        <v>1900</v>
      </c>
      <c r="L11" s="87">
        <f>SUMIFS(N29:N514,J29:J514,C11,K29:K514,K10)+SUMIF(Q62:Q104,A13,R62:R104)+L16</f>
        <v>0</v>
      </c>
      <c r="M11" s="25"/>
      <c r="N11" s="25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2019</v>
      </c>
      <c r="D12" s="85">
        <f>SUMIFS(N36:N514,J36:J514,C12,K36:K514,C10)</f>
        <v>0</v>
      </c>
      <c r="E12" s="86" t="s">
        <v>2019</v>
      </c>
      <c r="F12" s="85">
        <f>SUMIFS(N29:N514,J29:J514,C12,K29:K514,E10)</f>
        <v>0</v>
      </c>
      <c r="G12" s="86" t="s">
        <v>2019</v>
      </c>
      <c r="H12" s="85">
        <f>SUMIFS(N36:N514,J36:J514,C12,K36:K514,G10)</f>
        <v>0</v>
      </c>
      <c r="I12" s="86" t="s">
        <v>2019</v>
      </c>
      <c r="J12" s="85">
        <f>SUMIFS(N29:N514,J29:J514,C12,K29:K514,I10)</f>
        <v>0</v>
      </c>
      <c r="K12" s="86" t="s">
        <v>2019</v>
      </c>
      <c r="L12" s="87">
        <f>SUMIFS(N29:N514,J29:J514,C12,K29:K514,K10)</f>
        <v>0</v>
      </c>
      <c r="M12" s="25"/>
      <c r="N12" s="25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25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25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25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25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25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25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4"/>
      <c r="B19" s="24"/>
      <c r="C19" s="112"/>
      <c r="D19" s="113"/>
      <c r="E19" s="112"/>
      <c r="F19" s="114"/>
      <c r="G19" s="266" t="s">
        <v>6509</v>
      </c>
      <c r="H19" s="116">
        <f>SUMIF(L29:L499,G19,N29:N499)</f>
        <v>0</v>
      </c>
      <c r="I19" s="117" t="s">
        <v>2436</v>
      </c>
      <c r="J19" s="118" t="s">
        <v>2438</v>
      </c>
      <c r="K19" s="119" t="s">
        <v>2440</v>
      </c>
      <c r="L19" s="113"/>
      <c r="M19" s="25"/>
      <c r="N19" s="25"/>
      <c r="O19" s="123" t="str">
        <f>B6</f>
        <v>Isabeli Grassmann</v>
      </c>
      <c r="P19" s="106"/>
      <c r="Q19" s="106"/>
      <c r="R19" s="124"/>
      <c r="S19" s="122"/>
      <c r="T19" s="123" t="str">
        <f>B7</f>
        <v>Helena Cardoso</v>
      </c>
      <c r="U19" s="106"/>
      <c r="V19" s="106"/>
      <c r="W19" s="124"/>
    </row>
    <row r="20">
      <c r="A20" s="125"/>
      <c r="B20" s="125"/>
      <c r="C20" s="126" t="s">
        <v>1900</v>
      </c>
      <c r="D20" s="127">
        <f>SUMIFS(N29:N504,J29:J504,C20,K29:K504,C19)+SUMIF(Q68:Q104,A9,R68:R104)+D25</f>
        <v>0</v>
      </c>
      <c r="E20" s="126" t="s">
        <v>1900</v>
      </c>
      <c r="F20" s="128">
        <f>SUMIFS(N29:N504,J29:J504,C20,K29:K504,E19)+SUMIF(Q68:Q104,A10,R68:R104)+F25</f>
        <v>0</v>
      </c>
      <c r="G20" s="129" t="s">
        <v>2473</v>
      </c>
      <c r="H20" s="130">
        <v>8450.0</v>
      </c>
      <c r="I20" s="131">
        <f>SUMIF(J29:J504,I19,N29:N504)</f>
        <v>0</v>
      </c>
      <c r="J20" s="132">
        <f>SUMIF(J29:J504,J19,N29:N504)</f>
        <v>691.5</v>
      </c>
      <c r="K20" s="133" t="s">
        <v>2491</v>
      </c>
      <c r="L20" s="134"/>
      <c r="M20" s="25"/>
      <c r="N20" s="25"/>
      <c r="O20" s="50" t="str">
        <f>IFERROR(__xludf.DUMMYFUNCTION("query(C28:L507,""select Col1,Col3,Col8,Col9 where (Col8 = 'Adiantamento' or Col8 = 'Consumo') and Col9 = '""&amp;B6&amp;""'"",1)"),"Data")</f>
        <v>Data</v>
      </c>
      <c r="P20" s="50" t="str">
        <f>IFERROR(__xludf.DUMMYFUNCTION("""COMPUTED_VALUE"""),"Valor ")</f>
        <v>Valor </v>
      </c>
      <c r="Q20" s="50" t="str">
        <f>IFERROR(__xludf.DUMMYFUNCTION("""COMPUTED_VALUE"""),"Tipo")</f>
        <v>Tipo</v>
      </c>
      <c r="R20" s="51" t="str">
        <f>IFERROR(__xludf.DUMMYFUNCTION("""COMPUTED_VALUE"""),"Funcionário")</f>
        <v>Funcionário</v>
      </c>
      <c r="S20" s="49"/>
      <c r="T20" s="50" t="str">
        <f>IFERROR(__xludf.DUMMYFUNCTION("query(C28:L507,""select Col1,Col3,Col8,Col9 where (Col8 = 'Adiantamento' or Col8 = 'Consumo') and Col9 = '""&amp;B7&amp;""'"",1)"),"Data")</f>
        <v>Data</v>
      </c>
      <c r="U20" s="50" t="str">
        <f>IFERROR(__xludf.DUMMYFUNCTION("""COMPUTED_VALUE"""),"Valor ")</f>
        <v>Valor </v>
      </c>
      <c r="V20" s="50" t="str">
        <f>IFERROR(__xludf.DUMMYFUNCTION("""COMPUTED_VALUE"""),"Tipo")</f>
        <v>Tipo</v>
      </c>
      <c r="W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SUMIFS(N29:N504,J29:J504,C21,K29:K504,C19)</f>
        <v>0</v>
      </c>
      <c r="E21" s="126" t="s">
        <v>2019</v>
      </c>
      <c r="F21" s="128">
        <f>SUMIFS(N29:N504,J29:J504,E21,K29:K504,E19)</f>
        <v>0</v>
      </c>
      <c r="G21" s="86" t="s">
        <v>2522</v>
      </c>
      <c r="H21" s="127">
        <f>SUMIFS(N29:N504,D29:D504,"Saída",J29:J504,"Sangria")</f>
        <v>36750</v>
      </c>
      <c r="I21" s="138"/>
      <c r="J21" s="139"/>
      <c r="K21" s="133" t="s">
        <v>2530</v>
      </c>
      <c r="L21" s="134"/>
      <c r="M21" s="25"/>
      <c r="N21" s="25"/>
      <c r="O21" s="238">
        <f>IFERROR(__xludf.DUMMYFUNCTION("""COMPUTED_VALUE"""),46055.783171296294)</f>
        <v>46055.78317</v>
      </c>
      <c r="P21" s="53" t="str">
        <f>IFERROR(__xludf.DUMMYFUNCTION("""COMPUTED_VALUE"""),"R$ 14,97")</f>
        <v>R$ 14,97</v>
      </c>
      <c r="Q21" s="53" t="str">
        <f>IFERROR(__xludf.DUMMYFUNCTION("""COMPUTED_VALUE"""),"Consumo")</f>
        <v>Consumo</v>
      </c>
      <c r="R21" s="54" t="str">
        <f>IFERROR(__xludf.DUMMYFUNCTION("""COMPUTED_VALUE"""),"Isabeli Grassmann")</f>
        <v>Isabeli Grassmann</v>
      </c>
      <c r="S21" s="55"/>
      <c r="T21" s="238">
        <f>IFERROR(__xludf.DUMMYFUNCTION("""COMPUTED_VALUE"""),46055.78921296296)</f>
        <v>46055.78921</v>
      </c>
      <c r="U21" s="53" t="str">
        <f>IFERROR(__xludf.DUMMYFUNCTION("""COMPUTED_VALUE"""),"R$ 22,14")</f>
        <v>R$ 22,14</v>
      </c>
      <c r="V21" s="53" t="str">
        <f>IFERROR(__xludf.DUMMYFUNCTION("""COMPUTED_VALUE"""),"Consumo")</f>
        <v>Consumo</v>
      </c>
      <c r="W21" s="54" t="str">
        <f>IFERROR(__xludf.DUMMYFUNCTION("""COMPUTED_VALUE"""),"Helena Cardoso")</f>
        <v>Helena Cardoso</v>
      </c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SUMIFS(N29:N504,D29:D504,"Entrada",J29:J504,"Sangria")</f>
        <v>0</v>
      </c>
      <c r="I22" s="144" t="s">
        <v>2556</v>
      </c>
      <c r="J22" s="145"/>
      <c r="K22" s="133" t="s">
        <v>2559</v>
      </c>
      <c r="L22" s="134"/>
      <c r="M22" s="25"/>
      <c r="N22" s="25"/>
      <c r="O22" s="238">
        <f>IFERROR(__xludf.DUMMYFUNCTION("""COMPUTED_VALUE"""),46056.82346064815)</f>
        <v>46056.82346</v>
      </c>
      <c r="P22" s="53" t="str">
        <f>IFERROR(__xludf.DUMMYFUNCTION("""COMPUTED_VALUE"""),"R$ 15,10")</f>
        <v>R$ 15,10</v>
      </c>
      <c r="Q22" s="53" t="str">
        <f>IFERROR(__xludf.DUMMYFUNCTION("""COMPUTED_VALUE"""),"Consumo")</f>
        <v>Consumo</v>
      </c>
      <c r="R22" s="54" t="str">
        <f>IFERROR(__xludf.DUMMYFUNCTION("""COMPUTED_VALUE"""),"Isabeli Grassmann")</f>
        <v>Isabeli Grassmann</v>
      </c>
      <c r="S22" s="55"/>
      <c r="T22" s="238">
        <f>IFERROR(__xludf.DUMMYFUNCTION("""COMPUTED_VALUE"""),46056.821805555555)</f>
        <v>46056.82181</v>
      </c>
      <c r="U22" s="53" t="str">
        <f>IFERROR(__xludf.DUMMYFUNCTION("""COMPUTED_VALUE"""),"R$ 20,10")</f>
        <v>R$ 20,10</v>
      </c>
      <c r="V22" s="53" t="str">
        <f>IFERROR(__xludf.DUMMYFUNCTION("""COMPUTED_VALUE"""),"Consumo")</f>
        <v>Consumo</v>
      </c>
      <c r="W22" s="54" t="str">
        <f>IFERROR(__xludf.DUMMYFUNCTION("""COMPUTED_VALUE"""),"Helena Cardoso")</f>
        <v>Helena Cardoso</v>
      </c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SUMIF(J29:J504,I22,N29:N504)</f>
        <v>0</v>
      </c>
      <c r="J23" s="152"/>
      <c r="K23" s="133" t="s">
        <v>2578</v>
      </c>
      <c r="L23" s="134"/>
      <c r="M23" s="25"/>
      <c r="N23" s="25"/>
      <c r="O23" s="238">
        <f>IFERROR(__xludf.DUMMYFUNCTION("""COMPUTED_VALUE"""),46057.82469907407)</f>
        <v>46057.8247</v>
      </c>
      <c r="P23" s="53" t="str">
        <f>IFERROR(__xludf.DUMMYFUNCTION("""COMPUTED_VALUE"""),"R$ 18,37")</f>
        <v>R$ 18,37</v>
      </c>
      <c r="Q23" s="53" t="str">
        <f>IFERROR(__xludf.DUMMYFUNCTION("""COMPUTED_VALUE"""),"Consumo")</f>
        <v>Consumo</v>
      </c>
      <c r="R23" s="54" t="str">
        <f>IFERROR(__xludf.DUMMYFUNCTION("""COMPUTED_VALUE"""),"Isabeli Grassmann")</f>
        <v>Isabeli Grassmann</v>
      </c>
      <c r="S23" s="55"/>
      <c r="T23" s="53"/>
      <c r="U23" s="53"/>
      <c r="V23" s="53"/>
      <c r="W23" s="54"/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SUMIF(L29:L504,G24,N29:N504)</f>
        <v>0</v>
      </c>
      <c r="I24" s="157" t="s">
        <v>2593</v>
      </c>
      <c r="J24" s="150"/>
      <c r="K24" s="133" t="s">
        <v>2594</v>
      </c>
      <c r="L24" s="134"/>
      <c r="M24" s="25"/>
      <c r="N24" s="25"/>
      <c r="O24" s="238">
        <f>IFERROR(__xludf.DUMMYFUNCTION("""COMPUTED_VALUE"""),46059.83627314815)</f>
        <v>46059.83627</v>
      </c>
      <c r="P24" s="53" t="str">
        <f>IFERROR(__xludf.DUMMYFUNCTION("""COMPUTED_VALUE"""),"R$ 22,36")</f>
        <v>R$ 22,36</v>
      </c>
      <c r="Q24" s="53" t="str">
        <f>IFERROR(__xludf.DUMMYFUNCTION("""COMPUTED_VALUE"""),"Consumo")</f>
        <v>Consumo</v>
      </c>
      <c r="R24" s="54" t="str">
        <f>IFERROR(__xludf.DUMMYFUNCTION("""COMPUTED_VALUE"""),"Isabeli Grassmann")</f>
        <v>Isabeli Grassmann</v>
      </c>
      <c r="S24" s="55"/>
      <c r="T24" s="53"/>
      <c r="U24" s="53"/>
      <c r="V24" s="53"/>
      <c r="W24" s="54"/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SUMIF(L29:L504,G25,N29:N504)</f>
        <v>0</v>
      </c>
      <c r="I25" s="151">
        <f>SUMIF(J29:J504,I24,N29:N504)</f>
        <v>0</v>
      </c>
      <c r="J25" s="152"/>
      <c r="K25" s="162"/>
      <c r="L25" s="163"/>
      <c r="M25" s="26"/>
      <c r="N25" s="26"/>
      <c r="O25" s="238">
        <f>IFERROR(__xludf.DUMMYFUNCTION("""COMPUTED_VALUE"""),46061.91383101852)</f>
        <v>46061.91383</v>
      </c>
      <c r="P25" s="53" t="str">
        <f>IFERROR(__xludf.DUMMYFUNCTION("""COMPUTED_VALUE"""),"R$ 5,00")</f>
        <v>R$ 5,00</v>
      </c>
      <c r="Q25" s="53" t="str">
        <f>IFERROR(__xludf.DUMMYFUNCTION("""COMPUTED_VALUE"""),"Consumo")</f>
        <v>Consumo</v>
      </c>
      <c r="R25" s="54" t="str">
        <f>IFERROR(__xludf.DUMMYFUNCTION("""COMPUTED_VALUE"""),"Isabeli Grassmann")</f>
        <v>Isabeli Grassmann</v>
      </c>
      <c r="S25" s="55"/>
      <c r="T25" s="53"/>
      <c r="U25" s="53"/>
      <c r="V25" s="53"/>
      <c r="W25" s="54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238">
        <f>IFERROR(__xludf.DUMMYFUNCTION("""COMPUTED_VALUE"""),46062.947430555556)</f>
        <v>46062.94743</v>
      </c>
      <c r="P26" s="79" t="str">
        <f>IFERROR(__xludf.DUMMYFUNCTION("""COMPUTED_VALUE"""),"R$ 3,00")</f>
        <v>R$ 3,00</v>
      </c>
      <c r="Q26" s="79" t="str">
        <f>IFERROR(__xludf.DUMMYFUNCTION("""COMPUTED_VALUE"""),"Consumo")</f>
        <v>Consumo</v>
      </c>
      <c r="R26" s="80" t="str">
        <f>IFERROR(__xludf.DUMMYFUNCTION("""COMPUTED_VALUE"""),"Isabeli Grassmann")</f>
        <v>Isabeli Grassmann</v>
      </c>
      <c r="S26" s="81"/>
      <c r="T26" s="79"/>
      <c r="U26" s="79"/>
      <c r="V26" s="79"/>
      <c r="W26" s="80"/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04"/>
      <c r="N27" s="167"/>
      <c r="O27" s="267">
        <f>IFERROR(__xludf.DUMMYFUNCTION("""COMPUTED_VALUE"""),46065.91153935185)</f>
        <v>46065.91154</v>
      </c>
      <c r="P27" s="89" t="str">
        <f>IFERROR(__xludf.DUMMYFUNCTION("""COMPUTED_VALUE"""),"R$ 3,00")</f>
        <v>R$ 3,00</v>
      </c>
      <c r="Q27" s="89" t="str">
        <f>IFERROR(__xludf.DUMMYFUNCTION("""COMPUTED_VALUE"""),"Consumo")</f>
        <v>Consumo</v>
      </c>
      <c r="R27" s="90" t="str">
        <f>IFERROR(__xludf.DUMMYFUNCTION("""COMPUTED_VALUE"""),"Isabeli Grassmann")</f>
        <v>Isabeli Grassmann</v>
      </c>
      <c r="S27" s="91"/>
      <c r="T27" s="89"/>
      <c r="U27" s="89"/>
      <c r="V27" s="89"/>
      <c r="W27" s="90"/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268" t="s">
        <v>2647</v>
      </c>
      <c r="M28" s="269" t="s">
        <v>8</v>
      </c>
      <c r="N28" s="167"/>
      <c r="O28" s="267">
        <f>IFERROR(__xludf.DUMMYFUNCTION("""COMPUTED_VALUE"""),46066.671701388885)</f>
        <v>46066.6717</v>
      </c>
      <c r="P28" s="89" t="str">
        <f>IFERROR(__xludf.DUMMYFUNCTION("""COMPUTED_VALUE"""),"R$ 3,00")</f>
        <v>R$ 3,00</v>
      </c>
      <c r="Q28" s="89" t="str">
        <f>IFERROR(__xludf.DUMMYFUNCTION("""COMPUTED_VALUE"""),"Consumo")</f>
        <v>Consumo</v>
      </c>
      <c r="R28" s="90" t="str">
        <f>IFERROR(__xludf.DUMMYFUNCTION("""COMPUTED_VALUE"""),"Isabeli Grassmann")</f>
        <v>Isabeli Grassmann</v>
      </c>
      <c r="S28" s="91"/>
      <c r="T28" s="89"/>
      <c r="U28" s="89"/>
      <c r="V28" s="89"/>
      <c r="W28" s="90"/>
    </row>
    <row r="29" ht="14.25" customHeight="1">
      <c r="A29" s="178"/>
      <c r="B29" s="12">
        <v>1959175.0</v>
      </c>
      <c r="C29" s="13">
        <v>46049.026504629626</v>
      </c>
      <c r="D29" s="179" t="s">
        <v>81</v>
      </c>
      <c r="E29" s="180" t="s">
        <v>220</v>
      </c>
      <c r="F29" s="181"/>
      <c r="G29" s="179" t="s">
        <v>128</v>
      </c>
      <c r="H29" s="182"/>
      <c r="I29" s="182"/>
      <c r="J29" s="183" t="s">
        <v>2735</v>
      </c>
      <c r="K29" s="183" t="s">
        <v>6576</v>
      </c>
      <c r="L29" s="270" t="str">
        <f>IFERROR(__xludf.DUMMYFUNCTION("IF(
  AND(D29=""Saída"", J29=""Sangria""),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"),"Confirmada")</f>
        <v>Confirmada</v>
      </c>
      <c r="M29" s="27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IFERROR(__xludf.DUMMYFUNCTION("ifna(VALUE(REGEXEXTRACT(E29,""[0-9.]+[,]+[0-9]+"")))"),1400.0)</f>
        <v>1400</v>
      </c>
      <c r="O29" s="267">
        <f>IFERROR(__xludf.DUMMYFUNCTION("""COMPUTED_VALUE"""),46071.79394675926)</f>
        <v>46071.79395</v>
      </c>
      <c r="P29" s="89" t="str">
        <f>IFERROR(__xludf.DUMMYFUNCTION("""COMPUTED_VALUE"""),"R$ 3,00")</f>
        <v>R$ 3,00</v>
      </c>
      <c r="Q29" s="89" t="str">
        <f>IFERROR(__xludf.DUMMYFUNCTION("""COMPUTED_VALUE"""),"Consumo")</f>
        <v>Consumo</v>
      </c>
      <c r="R29" s="90" t="str">
        <f>IFERROR(__xludf.DUMMYFUNCTION("""COMPUTED_VALUE"""),"Isabeli Grassmann")</f>
        <v>Isabeli Grassmann</v>
      </c>
      <c r="S29" s="91"/>
      <c r="T29" s="89"/>
      <c r="U29" s="89"/>
      <c r="V29" s="89"/>
      <c r="W29" s="90"/>
    </row>
    <row r="30" ht="14.25" customHeight="1">
      <c r="A30" s="178"/>
      <c r="B30" s="12">
        <v>1959176.0</v>
      </c>
      <c r="C30" s="13">
        <v>46049.02724537037</v>
      </c>
      <c r="D30" s="179" t="s">
        <v>81</v>
      </c>
      <c r="E30" s="180" t="s">
        <v>5289</v>
      </c>
      <c r="F30" s="181"/>
      <c r="G30" s="179" t="s">
        <v>6903</v>
      </c>
      <c r="H30" s="186"/>
      <c r="I30" s="186"/>
      <c r="J30" s="187"/>
      <c r="K30" s="187"/>
      <c r="L30" s="270" t="str">
        <f>IFERROR(__xludf.DUMMYFUNCTION("IF(
  AND(D30=""Saída"", J30=""Sangria""),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2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85">
        <f>IFERROR(__xludf.DUMMYFUNCTION("ifna(VALUE(REGEXEXTRACT(E30,""[0-9.]+[,]+[0-9]+"")))"),0.01)</f>
        <v>0.01</v>
      </c>
      <c r="O30" s="267">
        <f>IFERROR(__xludf.DUMMYFUNCTION("""COMPUTED_VALUE"""),46071.81144675926)</f>
        <v>46071.81145</v>
      </c>
      <c r="P30" s="89" t="str">
        <f>IFERROR(__xludf.DUMMYFUNCTION("""COMPUTED_VALUE"""),"R$ 8,68")</f>
        <v>R$ 8,68</v>
      </c>
      <c r="Q30" s="89" t="str">
        <f>IFERROR(__xludf.DUMMYFUNCTION("""COMPUTED_VALUE"""),"Consumo")</f>
        <v>Consumo</v>
      </c>
      <c r="R30" s="90" t="str">
        <f>IFERROR(__xludf.DUMMYFUNCTION("""COMPUTED_VALUE"""),"Isabeli Grassmann")</f>
        <v>Isabeli Grassmann</v>
      </c>
      <c r="S30" s="91"/>
      <c r="T30" s="89"/>
      <c r="U30" s="89"/>
      <c r="V30" s="89"/>
      <c r="W30" s="90"/>
    </row>
    <row r="31" ht="14.25" customHeight="1">
      <c r="A31" s="178"/>
      <c r="B31" s="12">
        <v>1959178.0</v>
      </c>
      <c r="C31" s="13">
        <v>46049.027974537035</v>
      </c>
      <c r="D31" s="179" t="s">
        <v>81</v>
      </c>
      <c r="E31" s="180" t="s">
        <v>200</v>
      </c>
      <c r="F31" s="188"/>
      <c r="G31" s="179" t="s">
        <v>6905</v>
      </c>
      <c r="H31" s="186"/>
      <c r="I31" s="186"/>
      <c r="J31" s="187" t="s">
        <v>2735</v>
      </c>
      <c r="K31" s="187" t="s">
        <v>6576</v>
      </c>
      <c r="L31" s="270" t="str">
        <f>IFERROR(__xludf.DUMMYFUNCTION("IF(
  AND(D31=""Saída"", J31=""Sangria""),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"),"Confirmada")</f>
        <v>Confirmada</v>
      </c>
      <c r="M31" s="273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IFERROR(__xludf.DUMMYFUNCTION("ifna(VALUE(REGEXEXTRACT(E31,""[0-9.]+[,]+[0-9]+"")))"),300.0)</f>
        <v>300</v>
      </c>
      <c r="O31" s="267">
        <f>IFERROR(__xludf.DUMMYFUNCTION("""COMPUTED_VALUE"""),46073.869421296295)</f>
        <v>46073.86942</v>
      </c>
      <c r="P31" s="89" t="str">
        <f>IFERROR(__xludf.DUMMYFUNCTION("""COMPUTED_VALUE"""),"R$ 3,00")</f>
        <v>R$ 3,00</v>
      </c>
      <c r="Q31" s="89" t="str">
        <f>IFERROR(__xludf.DUMMYFUNCTION("""COMPUTED_VALUE"""),"Consumo")</f>
        <v>Consumo</v>
      </c>
      <c r="R31" s="90" t="str">
        <f>IFERROR(__xludf.DUMMYFUNCTION("""COMPUTED_VALUE"""),"Isabeli Grassmann")</f>
        <v>Isabeli Grassmann</v>
      </c>
      <c r="S31" s="91"/>
      <c r="T31" s="89"/>
      <c r="U31" s="89"/>
      <c r="V31" s="89"/>
      <c r="W31" s="90"/>
    </row>
    <row r="32" ht="14.25" customHeight="1">
      <c r="A32" s="178"/>
      <c r="B32" s="12">
        <v>1961576.0</v>
      </c>
      <c r="C32" s="13">
        <v>46050.50900462963</v>
      </c>
      <c r="D32" s="179" t="s">
        <v>81</v>
      </c>
      <c r="E32" s="180" t="s">
        <v>5289</v>
      </c>
      <c r="F32" s="181"/>
      <c r="G32" s="179" t="s">
        <v>6907</v>
      </c>
      <c r="H32" s="186"/>
      <c r="I32" s="186"/>
      <c r="J32" s="187"/>
      <c r="K32" s="187"/>
      <c r="L32" s="270" t="str">
        <f>IFERROR(__xludf.DUMMYFUNCTION("IF(
  AND(D32=""Saída"", J32=""Sangria""),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2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IFERROR(__xludf.DUMMYFUNCTION("ifna(VALUE(REGEXEXTRACT(E32,""[0-9.]+[,]+[0-9]+"")))"),0.01)</f>
        <v>0.01</v>
      </c>
      <c r="O32" s="267">
        <f>IFERROR(__xludf.DUMMYFUNCTION("""COMPUTED_VALUE"""),46075.95082175926)</f>
        <v>46075.95082</v>
      </c>
      <c r="P32" s="89" t="str">
        <f>IFERROR(__xludf.DUMMYFUNCTION("""COMPUTED_VALUE"""),"R$ 3,00")</f>
        <v>R$ 3,00</v>
      </c>
      <c r="Q32" s="89" t="str">
        <f>IFERROR(__xludf.DUMMYFUNCTION("""COMPUTED_VALUE"""),"Consumo")</f>
        <v>Consumo</v>
      </c>
      <c r="R32" s="90" t="str">
        <f>IFERROR(__xludf.DUMMYFUNCTION("""COMPUTED_VALUE"""),"Isabeli Grassmann")</f>
        <v>Isabeli Grassmann</v>
      </c>
      <c r="S32" s="91"/>
      <c r="T32" s="89"/>
      <c r="U32" s="89"/>
      <c r="V32" s="89"/>
      <c r="W32" s="90"/>
    </row>
    <row r="33" ht="14.25" customHeight="1">
      <c r="A33" s="178"/>
      <c r="B33" s="12">
        <v>1961577.0</v>
      </c>
      <c r="C33" s="13">
        <v>46050.5090162037</v>
      </c>
      <c r="D33" s="179" t="s">
        <v>81</v>
      </c>
      <c r="E33" s="180" t="s">
        <v>5890</v>
      </c>
      <c r="F33" s="181"/>
      <c r="G33" s="179" t="s">
        <v>629</v>
      </c>
      <c r="H33" s="186"/>
      <c r="I33" s="186"/>
      <c r="J33" s="187" t="s">
        <v>2438</v>
      </c>
      <c r="K33" s="187"/>
      <c r="L33" s="270" t="str">
        <f>IFERROR(__xludf.DUMMYFUNCTION("IF(
  AND(D33=""Saída"", J33=""Sangria""),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4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IFERROR(__xludf.DUMMYFUNCTION("ifna(VALUE(REGEXEXTRACT(E33,""[0-9.]+[,]+[0-9]+"")))"),15.1)</f>
        <v>15.1</v>
      </c>
      <c r="O33" s="267">
        <f>IFERROR(__xludf.DUMMYFUNCTION("""COMPUTED_VALUE"""),46076.92361111111)</f>
        <v>46076.92361</v>
      </c>
      <c r="P33" s="89" t="str">
        <f>IFERROR(__xludf.DUMMYFUNCTION("""COMPUTED_VALUE"""),"R$ 9,81")</f>
        <v>R$ 9,81</v>
      </c>
      <c r="Q33" s="89" t="str">
        <f>IFERROR(__xludf.DUMMYFUNCTION("""COMPUTED_VALUE"""),"Consumo")</f>
        <v>Consumo</v>
      </c>
      <c r="R33" s="90" t="str">
        <f>IFERROR(__xludf.DUMMYFUNCTION("""COMPUTED_VALUE"""),"Isabeli Grassmann")</f>
        <v>Isabeli Grassmann</v>
      </c>
      <c r="S33" s="91"/>
      <c r="T33" s="89"/>
      <c r="U33" s="89"/>
      <c r="V33" s="89"/>
      <c r="W33" s="90"/>
    </row>
    <row r="34" ht="14.25" customHeight="1">
      <c r="A34" s="178"/>
      <c r="B34" s="12">
        <v>1961578.0</v>
      </c>
      <c r="C34" s="13">
        <v>46050.5090162037</v>
      </c>
      <c r="D34" s="179" t="s">
        <v>81</v>
      </c>
      <c r="E34" s="180" t="s">
        <v>6909</v>
      </c>
      <c r="F34" s="181"/>
      <c r="G34" s="179" t="s">
        <v>6910</v>
      </c>
      <c r="H34" s="186"/>
      <c r="I34" s="186"/>
      <c r="J34" s="187" t="s">
        <v>3151</v>
      </c>
      <c r="K34" s="187"/>
      <c r="L34" s="270" t="str">
        <f>IFERROR(__xludf.DUMMYFUNCTION("IF(
  AND(D34=""Saída"", J34=""Sangria""),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2" t="str">
        <f>IFERROR(__xludf.DUMMYFUNCTION("IF(J34=""Compra de Mercadorias"",
   IF(
      COUNTIF(ARRAYFORMULA(TRIM(CLEAN(TO_TEXT(Notas!BS:BS)))), TRIM(CLEAN(TO_TEXT(B34)))) &gt; 0,
      ""Encontrada"",
      ""Não Encontrada""
   ),
"""")"),"Não Encontrada")</f>
        <v>Não Encontrada</v>
      </c>
      <c r="N34" s="185">
        <f>IFERROR(__xludf.DUMMYFUNCTION("ifna(VALUE(REGEXEXTRACT(E34,""[0-9.]+[,]+[0-9]+"")))"),25.8)</f>
        <v>25.8</v>
      </c>
      <c r="O34" s="109"/>
      <c r="P34" s="109"/>
      <c r="Q34" s="109"/>
      <c r="R34" s="111"/>
      <c r="S34" s="110"/>
      <c r="T34" s="109"/>
      <c r="U34" s="109"/>
      <c r="V34" s="109"/>
      <c r="W34" s="111"/>
    </row>
    <row r="35" ht="18.75" customHeight="1">
      <c r="A35" s="178"/>
      <c r="B35" s="12">
        <v>1961579.0</v>
      </c>
      <c r="C35" s="13">
        <v>46050.5090162037</v>
      </c>
      <c r="D35" s="179" t="s">
        <v>81</v>
      </c>
      <c r="E35" s="180" t="s">
        <v>6306</v>
      </c>
      <c r="F35" s="181"/>
      <c r="G35" s="179" t="s">
        <v>381</v>
      </c>
      <c r="H35" s="186"/>
      <c r="I35" s="186"/>
      <c r="J35" s="187" t="s">
        <v>2735</v>
      </c>
      <c r="K35" s="187" t="s">
        <v>6576</v>
      </c>
      <c r="L35" s="270" t="str">
        <f>IFERROR(__xludf.DUMMYFUNCTION("IF(
  AND(D35=""Saída"", J35=""Sangria""),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"),"Confirmada")</f>
        <v>Confirmada</v>
      </c>
      <c r="M35" s="274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IFERROR(__xludf.DUMMYFUNCTION("ifna(VALUE(REGEXEXTRACT(E35,""[0-9.]+[,]+[0-9]+"")))"),1650.0)</f>
        <v>1650</v>
      </c>
      <c r="O35" s="275"/>
      <c r="P35" s="25"/>
      <c r="Q35" s="25"/>
      <c r="R35" s="25"/>
      <c r="S35" s="110"/>
      <c r="T35" s="25"/>
      <c r="U35" s="25"/>
      <c r="V35" s="25"/>
      <c r="W35" s="25"/>
    </row>
    <row r="36" ht="14.25" customHeight="1">
      <c r="A36" s="178"/>
      <c r="B36" s="12">
        <v>1961580.0</v>
      </c>
      <c r="C36" s="13">
        <v>46050.5090162037</v>
      </c>
      <c r="D36" s="179" t="s">
        <v>81</v>
      </c>
      <c r="E36" s="180" t="s">
        <v>6913</v>
      </c>
      <c r="F36" s="181"/>
      <c r="G36" s="179" t="s">
        <v>6914</v>
      </c>
      <c r="H36" s="186"/>
      <c r="I36" s="186"/>
      <c r="J36" s="187" t="s">
        <v>3151</v>
      </c>
      <c r="K36" s="187"/>
      <c r="L36" s="270" t="str">
        <f>IFERROR(__xludf.DUMMYFUNCTION("IF(
  AND(D36=""Saída"", J36=""Sangria""),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2" t="str">
        <f>IFERROR(__xludf.DUMMYFUNCTION("IF(J36=""Compra de Mercadorias"",
   IF(
      COUNTIF(ARRAYFORMULA(TRIM(CLEAN(TO_TEXT(Notas!BS:BS)))), TRIM(CLEAN(TO_TEXT(B36)))) &gt; 0,
      ""Encontrada"",
      ""Não Encontrada""
   ),
"""")"),"Não Encontrada")</f>
        <v>Não Encontrada</v>
      </c>
      <c r="N36" s="185">
        <f>IFERROR(__xludf.DUMMYFUNCTION("ifna(VALUE(REGEXEXTRACT(E36,""[0-9.]+[,]+[0-9]+"")))"),89.37)</f>
        <v>89.37</v>
      </c>
      <c r="O36" s="25"/>
      <c r="P36" s="25"/>
      <c r="Q36" s="25"/>
      <c r="R36" s="25"/>
      <c r="S36" s="110"/>
      <c r="T36" s="25"/>
      <c r="U36" s="25"/>
      <c r="V36" s="25"/>
      <c r="W36" s="25"/>
    </row>
    <row r="37" ht="14.25" customHeight="1">
      <c r="A37" s="178"/>
      <c r="B37" s="12">
        <v>1963873.0</v>
      </c>
      <c r="C37" s="13">
        <v>46051.0077662037</v>
      </c>
      <c r="D37" s="179" t="s">
        <v>81</v>
      </c>
      <c r="E37" s="180" t="s">
        <v>5410</v>
      </c>
      <c r="F37" s="188"/>
      <c r="G37" s="179" t="s">
        <v>381</v>
      </c>
      <c r="H37" s="186"/>
      <c r="I37" s="186"/>
      <c r="J37" s="187" t="s">
        <v>2735</v>
      </c>
      <c r="K37" s="187" t="s">
        <v>6576</v>
      </c>
      <c r="L37" s="270" t="str">
        <f>IFERROR(__xludf.DUMMYFUNCTION("IF(
  AND(D37=""Saída"", J37=""Sangria""),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"),"Confirmada")</f>
        <v>Confirmada</v>
      </c>
      <c r="M37" s="274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IFERROR(__xludf.DUMMYFUNCTION("ifna(VALUE(REGEXEXTRACT(E37,""[0-9.]+[,]+[0-9]+"")))"),1550.0)</f>
        <v>1550</v>
      </c>
      <c r="O37" s="193" t="str">
        <f>B8</f>
        <v>Gabriel Azevedo</v>
      </c>
      <c r="P37" s="106"/>
      <c r="Q37" s="106"/>
      <c r="R37" s="106"/>
      <c r="S37" s="110"/>
      <c r="T37" s="123" t="str">
        <f>B9</f>
        <v/>
      </c>
      <c r="U37" s="106"/>
      <c r="V37" s="106"/>
      <c r="W37" s="124"/>
    </row>
    <row r="38" ht="14.25" customHeight="1">
      <c r="A38" s="178"/>
      <c r="B38" s="12">
        <v>1963884.0</v>
      </c>
      <c r="C38" s="13">
        <v>46051.01472222222</v>
      </c>
      <c r="D38" s="179" t="s">
        <v>81</v>
      </c>
      <c r="E38" s="180" t="s">
        <v>416</v>
      </c>
      <c r="F38" s="181"/>
      <c r="G38" s="179" t="s">
        <v>267</v>
      </c>
      <c r="H38" s="186"/>
      <c r="I38" s="186"/>
      <c r="J38" s="187" t="s">
        <v>2669</v>
      </c>
      <c r="K38" s="187"/>
      <c r="L38" s="270" t="str">
        <f>IFERROR(__xludf.DUMMYFUNCTION("IF(
  AND(D38=""Saída"", J38=""Sangria""),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2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IFERROR(__xludf.DUMMYFUNCTION("ifna(VALUE(REGEXEXTRACT(E38,""[0-9.]+[,]+[0-9]+"")))"),100.0)</f>
        <v>100</v>
      </c>
      <c r="O38" s="46" t="str">
        <f>IFERROR(__xludf.DUMMYFUNCTION("query(C28:L507,""select Col1,Col3,Col8,Col9 where (Col8 = 'Adiantamento' or Col8 = 'Consumo') and Col9 = '""&amp;B8&amp;""'"",1)"),"Data")</f>
        <v>Data</v>
      </c>
      <c r="P38" s="47" t="str">
        <f>IFERROR(__xludf.DUMMYFUNCTION("""COMPUTED_VALUE"""),"Valor ")</f>
        <v>Valor </v>
      </c>
      <c r="Q38" s="47" t="str">
        <f>IFERROR(__xludf.DUMMYFUNCTION("""COMPUTED_VALUE"""),"Tipo")</f>
        <v>Tipo</v>
      </c>
      <c r="R38" s="47" t="str">
        <f>IFERROR(__xludf.DUMMYFUNCTION("""COMPUTED_VALUE"""),"Funcionário")</f>
        <v>Funcionário</v>
      </c>
      <c r="S38" s="49"/>
      <c r="T38" s="50" t="str">
        <f>IFERROR(__xludf.DUMMYFUNCTION("query(C28:L507,""select Col1,Col3,Col8,Col9 where (Col8 = 'Adiantamento' or Col8 = 'Consumo') and Col9 = '""&amp;B9&amp;""'"",1)"),"Data")</f>
        <v>Data</v>
      </c>
      <c r="U38" s="50" t="str">
        <f>IFERROR(__xludf.DUMMYFUNCTION("""COMPUTED_VALUE"""),"Valor ")</f>
        <v>Valor </v>
      </c>
      <c r="V38" s="50" t="str">
        <f>IFERROR(__xludf.DUMMYFUNCTION("""COMPUTED_VALUE"""),"Tipo")</f>
        <v>Tipo</v>
      </c>
      <c r="W38" s="51" t="str">
        <f>IFERROR(__xludf.DUMMYFUNCTION("""COMPUTED_VALUE"""),"Funcionário")</f>
        <v>Funcionário</v>
      </c>
    </row>
    <row r="39" ht="21.75" customHeight="1">
      <c r="A39" s="178"/>
      <c r="B39" s="12">
        <v>1965839.0</v>
      </c>
      <c r="C39" s="13">
        <v>46052.40458333334</v>
      </c>
      <c r="D39" s="179" t="s">
        <v>81</v>
      </c>
      <c r="E39" s="180" t="s">
        <v>443</v>
      </c>
      <c r="F39" s="181"/>
      <c r="G39" s="179" t="s">
        <v>6918</v>
      </c>
      <c r="H39" s="186"/>
      <c r="I39" s="186"/>
      <c r="J39" s="187" t="s">
        <v>2735</v>
      </c>
      <c r="K39" s="187" t="s">
        <v>6576</v>
      </c>
      <c r="L39" s="270" t="str">
        <f>IFERROR(__xludf.DUMMYFUNCTION("IF(
  AND(D39=""Saída"", J39=""Sangria""),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"),"Confirmada")</f>
        <v>Confirmada</v>
      </c>
      <c r="M39" s="274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IFERROR(__xludf.DUMMYFUNCTION("ifna(VALUE(REGEXEXTRACT(E39,""[0-9.]+[,]+[0-9]+"")))"),900.0)</f>
        <v>900</v>
      </c>
      <c r="O39" s="52">
        <f>IFERROR(__xludf.DUMMYFUNCTION("""COMPUTED_VALUE"""),46056.82215277778)</f>
        <v>46056.82215</v>
      </c>
      <c r="P39" s="53" t="str">
        <f>IFERROR(__xludf.DUMMYFUNCTION("""COMPUTED_VALUE"""),"R$ 16,23")</f>
        <v>R$ 16,23</v>
      </c>
      <c r="Q39" s="53" t="str">
        <f>IFERROR(__xludf.DUMMYFUNCTION("""COMPUTED_VALUE"""),"Consumo")</f>
        <v>Consumo</v>
      </c>
      <c r="R39" s="53" t="str">
        <f>IFERROR(__xludf.DUMMYFUNCTION("""COMPUTED_VALUE"""),"Gabriel Azevedo")</f>
        <v>Gabriel Azevedo</v>
      </c>
      <c r="S39" s="55"/>
      <c r="T39" s="53"/>
      <c r="U39" s="53"/>
      <c r="V39" s="53"/>
      <c r="W39" s="54"/>
    </row>
    <row r="40" ht="14.25" customHeight="1">
      <c r="A40" s="178"/>
      <c r="B40" s="12">
        <v>1965840.0</v>
      </c>
      <c r="C40" s="13">
        <v>46052.40589120371</v>
      </c>
      <c r="D40" s="179" t="s">
        <v>152</v>
      </c>
      <c r="E40" s="180" t="s">
        <v>416</v>
      </c>
      <c r="F40" s="181"/>
      <c r="G40" s="179" t="s">
        <v>158</v>
      </c>
      <c r="H40" s="186"/>
      <c r="I40" s="186"/>
      <c r="J40" s="187" t="s">
        <v>5195</v>
      </c>
      <c r="K40" s="187"/>
      <c r="L40" s="270" t="str">
        <f>IFERROR(__xludf.DUMMYFUNCTION("IF(
  AND(D40=""Saída"", J40=""Sangria""),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2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85">
        <f>IFERROR(__xludf.DUMMYFUNCTION("ifna(VALUE(REGEXEXTRACT(E40,""[0-9.]+[,]+[0-9]+"")))"),100.0)</f>
        <v>100</v>
      </c>
      <c r="O40" s="52">
        <f>IFERROR(__xludf.DUMMYFUNCTION("""COMPUTED_VALUE"""),46057.61640046297)</f>
        <v>46057.6164</v>
      </c>
      <c r="P40" s="53" t="str">
        <f>IFERROR(__xludf.DUMMYFUNCTION("""COMPUTED_VALUE"""),"R$ 71,80")</f>
        <v>R$ 71,80</v>
      </c>
      <c r="Q40" s="53" t="str">
        <f>IFERROR(__xludf.DUMMYFUNCTION("""COMPUTED_VALUE"""),"Consumo")</f>
        <v>Consumo</v>
      </c>
      <c r="R40" s="53" t="str">
        <f>IFERROR(__xludf.DUMMYFUNCTION("""COMPUTED_VALUE"""),"Gabriel Azevedo")</f>
        <v>Gabriel Azevedo</v>
      </c>
      <c r="S40" s="55"/>
      <c r="T40" s="53"/>
      <c r="U40" s="53"/>
      <c r="V40" s="53"/>
      <c r="W40" s="54"/>
    </row>
    <row r="41" ht="14.25" customHeight="1">
      <c r="A41" s="178"/>
      <c r="B41" s="12">
        <v>1965843.0</v>
      </c>
      <c r="C41" s="13">
        <v>46052.410520833335</v>
      </c>
      <c r="D41" s="179" t="s">
        <v>152</v>
      </c>
      <c r="E41" s="180" t="s">
        <v>5289</v>
      </c>
      <c r="F41" s="181"/>
      <c r="G41" s="179" t="s">
        <v>6920</v>
      </c>
      <c r="H41" s="186"/>
      <c r="I41" s="186"/>
      <c r="J41" s="187"/>
      <c r="K41" s="187"/>
      <c r="L41" s="270" t="str">
        <f>IFERROR(__xludf.DUMMYFUNCTION("IF(
  AND(D41=""Saída"", J41=""Sangria""),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74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IFERROR(__xludf.DUMMYFUNCTION("ifna(VALUE(REGEXEXTRACT(E41,""[0-9.]+[,]+[0-9]+"")))"),0.01)</f>
        <v>0.01</v>
      </c>
      <c r="O41" s="52">
        <f>IFERROR(__xludf.DUMMYFUNCTION("""COMPUTED_VALUE"""),46057.824965277774)</f>
        <v>46057.82497</v>
      </c>
      <c r="P41" s="53" t="str">
        <f>IFERROR(__xludf.DUMMYFUNCTION("""COMPUTED_VALUE"""),"R$ 12,08")</f>
        <v>R$ 12,08</v>
      </c>
      <c r="Q41" s="53" t="str">
        <f>IFERROR(__xludf.DUMMYFUNCTION("""COMPUTED_VALUE"""),"Consumo")</f>
        <v>Consumo</v>
      </c>
      <c r="R41" s="53" t="str">
        <f>IFERROR(__xludf.DUMMYFUNCTION("""COMPUTED_VALUE"""),"Gabriel Azevedo")</f>
        <v>Gabriel Azevedo</v>
      </c>
      <c r="S41" s="55"/>
      <c r="T41" s="53"/>
      <c r="U41" s="53"/>
      <c r="V41" s="53"/>
      <c r="W41" s="54"/>
    </row>
    <row r="42" ht="14.25" customHeight="1">
      <c r="A42" s="178"/>
      <c r="B42" s="12">
        <v>1967952.0</v>
      </c>
      <c r="C42" s="13">
        <v>46053.43164351852</v>
      </c>
      <c r="D42" s="179" t="s">
        <v>81</v>
      </c>
      <c r="E42" s="180" t="s">
        <v>6922</v>
      </c>
      <c r="F42" s="181"/>
      <c r="G42" s="179" t="s">
        <v>6923</v>
      </c>
      <c r="H42" s="186"/>
      <c r="I42" s="186"/>
      <c r="J42" s="187" t="s">
        <v>2438</v>
      </c>
      <c r="K42" s="187"/>
      <c r="L42" s="270" t="str">
        <f>IFERROR(__xludf.DUMMYFUNCTION("IF(
  AND(D42=""Saída"", J42=""Sangria""),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76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IFERROR(__xludf.DUMMYFUNCTION("ifna(VALUE(REGEXEXTRACT(E42,""[0-9.]+[,]+[0-9]+"")))"),152.34)</f>
        <v>152.34</v>
      </c>
      <c r="O42" s="52">
        <f>IFERROR(__xludf.DUMMYFUNCTION("""COMPUTED_VALUE"""),46058.7836574074)</f>
        <v>46058.78366</v>
      </c>
      <c r="P42" s="53" t="str">
        <f>IFERROR(__xludf.DUMMYFUNCTION("""COMPUTED_VALUE"""),"R$ 20,44")</f>
        <v>R$ 20,44</v>
      </c>
      <c r="Q42" s="53" t="str">
        <f>IFERROR(__xludf.DUMMYFUNCTION("""COMPUTED_VALUE"""),"Consumo")</f>
        <v>Consumo</v>
      </c>
      <c r="R42" s="53" t="str">
        <f>IFERROR(__xludf.DUMMYFUNCTION("""COMPUTED_VALUE"""),"Gabriel Azevedo")</f>
        <v>Gabriel Azevedo</v>
      </c>
      <c r="S42" s="55"/>
      <c r="T42" s="53"/>
      <c r="U42" s="53"/>
      <c r="V42" s="53"/>
      <c r="W42" s="54"/>
    </row>
    <row r="43" ht="14.25" customHeight="1">
      <c r="A43" s="178"/>
      <c r="B43" s="12">
        <v>1967954.0</v>
      </c>
      <c r="C43" s="13">
        <v>46053.439930555556</v>
      </c>
      <c r="D43" s="179" t="s">
        <v>81</v>
      </c>
      <c r="E43" s="180" t="s">
        <v>6556</v>
      </c>
      <c r="F43" s="181"/>
      <c r="G43" s="179" t="s">
        <v>6925</v>
      </c>
      <c r="H43" s="189"/>
      <c r="I43" s="189"/>
      <c r="J43" s="187" t="s">
        <v>2735</v>
      </c>
      <c r="K43" s="187" t="s">
        <v>6576</v>
      </c>
      <c r="L43" s="270" t="str">
        <f>IFERROR(__xludf.DUMMYFUNCTION("IF(
  AND(D43=""Saída"", J43=""Sangria""),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"),"Confirmada")</f>
        <v>Confirmada</v>
      </c>
      <c r="M43" s="274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IFERROR(__xludf.DUMMYFUNCTION("ifna(VALUE(REGEXEXTRACT(E43,""[0-9.]+[,]+[0-9]+"")))"),1100.0)</f>
        <v>1100</v>
      </c>
      <c r="O43" s="52">
        <f>IFERROR(__xludf.DUMMYFUNCTION("""COMPUTED_VALUE"""),46059.8350462963)</f>
        <v>46059.83505</v>
      </c>
      <c r="P43" s="53" t="str">
        <f>IFERROR(__xludf.DUMMYFUNCTION("""COMPUTED_VALUE"""),"R$ 5,00")</f>
        <v>R$ 5,00</v>
      </c>
      <c r="Q43" s="53" t="str">
        <f>IFERROR(__xludf.DUMMYFUNCTION("""COMPUTED_VALUE"""),"Consumo")</f>
        <v>Consumo</v>
      </c>
      <c r="R43" s="53" t="str">
        <f>IFERROR(__xludf.DUMMYFUNCTION("""COMPUTED_VALUE"""),"Gabriel Azevedo")</f>
        <v>Gabriel Azevedo</v>
      </c>
      <c r="S43" s="55"/>
      <c r="T43" s="53"/>
      <c r="U43" s="53"/>
      <c r="V43" s="53"/>
      <c r="W43" s="54"/>
    </row>
    <row r="44" ht="14.25" customHeight="1">
      <c r="A44" s="178"/>
      <c r="B44" s="12">
        <v>1967955.0</v>
      </c>
      <c r="C44" s="13">
        <v>46053.44127314815</v>
      </c>
      <c r="D44" s="179" t="s">
        <v>81</v>
      </c>
      <c r="E44" s="180" t="s">
        <v>1432</v>
      </c>
      <c r="F44" s="188"/>
      <c r="G44" s="179" t="s">
        <v>6596</v>
      </c>
      <c r="H44" s="189"/>
      <c r="I44" s="189"/>
      <c r="J44" s="187" t="s">
        <v>3151</v>
      </c>
      <c r="K44" s="187"/>
      <c r="L44" s="270" t="str">
        <f>IFERROR(__xludf.DUMMYFUNCTION("IF(
  AND(D44=""Saída"", J44=""Sangria""),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2" t="str">
        <f>IFERROR(__xludf.DUMMYFUNCTION("IF(J44=""Compra de Mercadorias"",
   IF(
      COUNTIF(ARRAYFORMULA(TRIM(CLEAN(TO_TEXT(Notas!BS:BS)))), TRIM(CLEAN(TO_TEXT(B44)))) &gt; 0,
      ""Encontrada"",
      ""Não Encontrada""
   ),
"""")"),"Não Encontrada")</f>
        <v>Não Encontrada</v>
      </c>
      <c r="N44" s="185">
        <f>IFERROR(__xludf.DUMMYFUNCTION("ifna(VALUE(REGEXEXTRACT(E44,""[0-9.]+[,]+[0-9]+"")))"),13.0)</f>
        <v>13</v>
      </c>
      <c r="O44" s="52">
        <f>IFERROR(__xludf.DUMMYFUNCTION("""COMPUTED_VALUE"""),46060.800682870366)</f>
        <v>46060.80068</v>
      </c>
      <c r="P44" s="79" t="str">
        <f>IFERROR(__xludf.DUMMYFUNCTION("""COMPUTED_VALUE"""),"R$ 3,00")</f>
        <v>R$ 3,00</v>
      </c>
      <c r="Q44" s="79" t="str">
        <f>IFERROR(__xludf.DUMMYFUNCTION("""COMPUTED_VALUE"""),"Consumo")</f>
        <v>Consumo</v>
      </c>
      <c r="R44" s="79" t="str">
        <f>IFERROR(__xludf.DUMMYFUNCTION("""COMPUTED_VALUE"""),"Gabriel Azevedo")</f>
        <v>Gabriel Azevedo</v>
      </c>
      <c r="S44" s="81"/>
      <c r="T44" s="79"/>
      <c r="U44" s="79"/>
      <c r="V44" s="79"/>
      <c r="W44" s="80"/>
    </row>
    <row r="45" ht="14.25" customHeight="1">
      <c r="A45" s="178"/>
      <c r="B45" s="12">
        <v>1969070.0</v>
      </c>
      <c r="C45" s="13">
        <v>46053.81150462963</v>
      </c>
      <c r="D45" s="179" t="s">
        <v>81</v>
      </c>
      <c r="E45" s="180" t="s">
        <v>3905</v>
      </c>
      <c r="F45" s="181"/>
      <c r="G45" s="179" t="s">
        <v>381</v>
      </c>
      <c r="H45" s="190"/>
      <c r="I45" s="190"/>
      <c r="J45" s="187" t="s">
        <v>2735</v>
      </c>
      <c r="K45" s="187" t="s">
        <v>6576</v>
      </c>
      <c r="L45" s="270" t="str">
        <f>IFERROR(__xludf.DUMMYFUNCTION("IF(
  AND(D45=""Saída"", J45=""Sangria""),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"),"Confirmada")</f>
        <v>Confirmada</v>
      </c>
      <c r="M45" s="274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IFERROR(__xludf.DUMMYFUNCTION("ifna(VALUE(REGEXEXTRACT(E45,""[0-9.]+[,]+[0-9]+"")))"),1050.0)</f>
        <v>1050</v>
      </c>
      <c r="O45" s="318">
        <f>IFERROR(__xludf.DUMMYFUNCTION("""COMPUTED_VALUE"""),46062.947118055556)</f>
        <v>46062.94712</v>
      </c>
      <c r="P45" s="89" t="str">
        <f>IFERROR(__xludf.DUMMYFUNCTION("""COMPUTED_VALUE"""),"R$ 16,61")</f>
        <v>R$ 16,61</v>
      </c>
      <c r="Q45" s="89" t="str">
        <f>IFERROR(__xludf.DUMMYFUNCTION("""COMPUTED_VALUE"""),"Consumo")</f>
        <v>Consumo</v>
      </c>
      <c r="R45" s="89" t="str">
        <f>IFERROR(__xludf.DUMMYFUNCTION("""COMPUTED_VALUE"""),"Gabriel Azevedo")</f>
        <v>Gabriel Azevedo</v>
      </c>
      <c r="S45" s="91"/>
      <c r="T45" s="89"/>
      <c r="U45" s="89"/>
      <c r="V45" s="89"/>
      <c r="W45" s="90"/>
    </row>
    <row r="46" ht="18.75" customHeight="1">
      <c r="A46" s="178"/>
      <c r="B46" s="12">
        <v>1970178.0</v>
      </c>
      <c r="C46" s="13">
        <v>46053.96356481482</v>
      </c>
      <c r="D46" s="179" t="s">
        <v>81</v>
      </c>
      <c r="E46" s="180" t="s">
        <v>5759</v>
      </c>
      <c r="F46" s="181"/>
      <c r="G46" s="179" t="s">
        <v>6928</v>
      </c>
      <c r="H46" s="190"/>
      <c r="I46" s="190"/>
      <c r="J46" s="187" t="s">
        <v>1782</v>
      </c>
      <c r="K46" s="187"/>
      <c r="L46" s="270" t="str">
        <f>IFERROR(__xludf.DUMMYFUNCTION("IF(
  AND(D46=""Saída"", J46=""Sangria""),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2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85">
        <f>IFERROR(__xludf.DUMMYFUNCTION("ifna(VALUE(REGEXEXTRACT(E46,""[0-9.]+[,]+[0-9]+"")))"),57.0)</f>
        <v>57</v>
      </c>
      <c r="O46" s="318">
        <f>IFERROR(__xludf.DUMMYFUNCTION("""COMPUTED_VALUE"""),46065.91201388889)</f>
        <v>46065.91201</v>
      </c>
      <c r="P46" s="89" t="str">
        <f>IFERROR(__xludf.DUMMYFUNCTION("""COMPUTED_VALUE"""),"R$ 16,48")</f>
        <v>R$ 16,48</v>
      </c>
      <c r="Q46" s="89" t="str">
        <f>IFERROR(__xludf.DUMMYFUNCTION("""COMPUTED_VALUE"""),"Consumo")</f>
        <v>Consumo</v>
      </c>
      <c r="R46" s="89" t="str">
        <f>IFERROR(__xludf.DUMMYFUNCTION("""COMPUTED_VALUE"""),"Gabriel Azevedo")</f>
        <v>Gabriel Azevedo</v>
      </c>
      <c r="S46" s="91"/>
      <c r="T46" s="89"/>
      <c r="U46" s="89"/>
      <c r="V46" s="89"/>
      <c r="W46" s="90"/>
    </row>
    <row r="47" ht="14.25" customHeight="1">
      <c r="A47" s="178"/>
      <c r="B47" s="12">
        <v>1970242.0</v>
      </c>
      <c r="C47" s="13">
        <v>46053.96952546296</v>
      </c>
      <c r="D47" s="179" t="s">
        <v>81</v>
      </c>
      <c r="E47" s="180" t="s">
        <v>457</v>
      </c>
      <c r="F47" s="181"/>
      <c r="G47" s="179" t="s">
        <v>381</v>
      </c>
      <c r="H47" s="190"/>
      <c r="I47" s="190"/>
      <c r="J47" s="187" t="s">
        <v>2735</v>
      </c>
      <c r="K47" s="187" t="s">
        <v>6576</v>
      </c>
      <c r="L47" s="270" t="str">
        <f>IFERROR(__xludf.DUMMYFUNCTION("IF(
  AND(D47=""Saída"", J47=""Sangria""),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"),"Confirmada")</f>
        <v>Confirmada</v>
      </c>
      <c r="M47" s="274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IFERROR(__xludf.DUMMYFUNCTION("ifna(VALUE(REGEXEXTRACT(E47,""[0-9.]+[,]+[0-9]+"")))"),200.0)</f>
        <v>200</v>
      </c>
      <c r="O47" s="318">
        <f>IFERROR(__xludf.DUMMYFUNCTION("""COMPUTED_VALUE"""),46070.82189814815)</f>
        <v>46070.8219</v>
      </c>
      <c r="P47" s="89" t="str">
        <f>IFERROR(__xludf.DUMMYFUNCTION("""COMPUTED_VALUE"""),"R$ 3,00")</f>
        <v>R$ 3,00</v>
      </c>
      <c r="Q47" s="89" t="str">
        <f>IFERROR(__xludf.DUMMYFUNCTION("""COMPUTED_VALUE"""),"Consumo")</f>
        <v>Consumo</v>
      </c>
      <c r="R47" s="89" t="str">
        <f>IFERROR(__xludf.DUMMYFUNCTION("""COMPUTED_VALUE"""),"Gabriel Azevedo")</f>
        <v>Gabriel Azevedo</v>
      </c>
      <c r="S47" s="91"/>
      <c r="T47" s="89"/>
      <c r="U47" s="89"/>
      <c r="V47" s="89"/>
      <c r="W47" s="90"/>
    </row>
    <row r="48">
      <c r="A48" s="178"/>
      <c r="B48" s="12">
        <v>1972960.0</v>
      </c>
      <c r="C48" s="13">
        <v>46054.96009259259</v>
      </c>
      <c r="D48" s="179" t="s">
        <v>81</v>
      </c>
      <c r="E48" s="180" t="s">
        <v>6930</v>
      </c>
      <c r="F48" s="181"/>
      <c r="G48" s="179" t="s">
        <v>6931</v>
      </c>
      <c r="H48" s="190"/>
      <c r="I48" s="190"/>
      <c r="J48" s="187" t="s">
        <v>1782</v>
      </c>
      <c r="K48" s="187"/>
      <c r="L48" s="270" t="str">
        <f>IFERROR(__xludf.DUMMYFUNCTION("IF(
  AND(D48=""Saída"", J48=""Sangria""),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2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IFERROR(__xludf.DUMMYFUNCTION("ifna(VALUE(REGEXEXTRACT(E48,""[0-9.]+[,]+[0-9]+"")))"),234.0)</f>
        <v>234</v>
      </c>
      <c r="O48" s="318">
        <f>IFERROR(__xludf.DUMMYFUNCTION("""COMPUTED_VALUE"""),46077.91578703704)</f>
        <v>46077.91579</v>
      </c>
      <c r="P48" s="89" t="str">
        <f>IFERROR(__xludf.DUMMYFUNCTION("""COMPUTED_VALUE"""),"R$ 3,00")</f>
        <v>R$ 3,00</v>
      </c>
      <c r="Q48" s="89" t="str">
        <f>IFERROR(__xludf.DUMMYFUNCTION("""COMPUTED_VALUE"""),"Consumo")</f>
        <v>Consumo</v>
      </c>
      <c r="R48" s="89" t="str">
        <f>IFERROR(__xludf.DUMMYFUNCTION("""COMPUTED_VALUE"""),"Gabriel Azevedo")</f>
        <v>Gabriel Azevedo</v>
      </c>
      <c r="S48" s="91"/>
      <c r="T48" s="89"/>
      <c r="U48" s="89"/>
      <c r="V48" s="89"/>
      <c r="W48" s="90"/>
    </row>
    <row r="49" ht="14.25" customHeight="1">
      <c r="A49" s="178"/>
      <c r="B49" s="12">
        <v>1972968.0</v>
      </c>
      <c r="C49" s="13">
        <v>46054.960497685184</v>
      </c>
      <c r="D49" s="179" t="s">
        <v>81</v>
      </c>
      <c r="E49" s="180" t="s">
        <v>6932</v>
      </c>
      <c r="F49" s="181"/>
      <c r="G49" s="179" t="s">
        <v>6933</v>
      </c>
      <c r="H49" s="190"/>
      <c r="I49" s="190"/>
      <c r="J49" s="187" t="s">
        <v>1782</v>
      </c>
      <c r="K49" s="187"/>
      <c r="L49" s="270" t="str">
        <f>IFERROR(__xludf.DUMMYFUNCTION("IF(
  AND(D49=""Saída"", J49=""Sangria""),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74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IFERROR(__xludf.DUMMYFUNCTION("ifna(VALUE(REGEXEXTRACT(E49,""[0-9.]+[,]+[0-9]+"")))"),478.25)</f>
        <v>478.25</v>
      </c>
      <c r="O49" s="194"/>
      <c r="P49" s="195"/>
      <c r="Q49" s="196"/>
      <c r="R49" s="197"/>
      <c r="S49" s="91"/>
      <c r="T49" s="89"/>
      <c r="U49" s="89"/>
      <c r="V49" s="89"/>
      <c r="W49" s="90"/>
    </row>
    <row r="50" ht="14.25" customHeight="1">
      <c r="A50" s="178"/>
      <c r="B50" s="12">
        <v>1972976.0</v>
      </c>
      <c r="C50" s="13">
        <v>46054.96108796296</v>
      </c>
      <c r="D50" s="179" t="s">
        <v>81</v>
      </c>
      <c r="E50" s="180" t="s">
        <v>1026</v>
      </c>
      <c r="F50" s="181"/>
      <c r="G50" s="179" t="s">
        <v>6934</v>
      </c>
      <c r="H50" s="190"/>
      <c r="I50" s="190"/>
      <c r="J50" s="187" t="s">
        <v>1782</v>
      </c>
      <c r="K50" s="187"/>
      <c r="L50" s="270" t="str">
        <f>IFERROR(__xludf.DUMMYFUNCTION("IF(
  AND(D50=""Saída"", J50=""Sangria""),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2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IFERROR(__xludf.DUMMYFUNCTION("ifna(VALUE(REGEXEXTRACT(E50,""[0-9.]+[,]+[0-9]+"")))"),118.0)</f>
        <v>118</v>
      </c>
      <c r="O50" s="88"/>
      <c r="P50" s="89"/>
      <c r="Q50" s="89"/>
      <c r="R50" s="89"/>
      <c r="S50" s="91"/>
      <c r="T50" s="89"/>
      <c r="U50" s="89"/>
      <c r="V50" s="89"/>
      <c r="W50" s="90"/>
    </row>
    <row r="51" ht="19.5" customHeight="1">
      <c r="A51" s="178"/>
      <c r="B51" s="12">
        <v>1973010.0</v>
      </c>
      <c r="C51" s="13">
        <v>46054.965266203704</v>
      </c>
      <c r="D51" s="179" t="s">
        <v>81</v>
      </c>
      <c r="E51" s="180" t="s">
        <v>6935</v>
      </c>
      <c r="F51" s="181"/>
      <c r="G51" s="179" t="s">
        <v>381</v>
      </c>
      <c r="H51" s="190"/>
      <c r="I51" s="190"/>
      <c r="J51" s="187" t="s">
        <v>2735</v>
      </c>
      <c r="K51" s="187" t="s">
        <v>6576</v>
      </c>
      <c r="L51" s="270" t="str">
        <f>IFERROR(__xludf.DUMMYFUNCTION("IF(
  AND(D51=""Saída"", J51=""Sangria""),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"),"Confirmada")</f>
        <v>Confirmada</v>
      </c>
      <c r="M51" s="276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IFERROR(__xludf.DUMMYFUNCTION("ifna(VALUE(REGEXEXTRACT(E51,""[0-9.]+[,]+[0-9]+"")))"),1280.0)</f>
        <v>1280</v>
      </c>
      <c r="O51" s="88"/>
      <c r="P51" s="89"/>
      <c r="Q51" s="89"/>
      <c r="R51" s="89"/>
      <c r="S51" s="91"/>
      <c r="T51" s="89"/>
      <c r="U51" s="89"/>
      <c r="V51" s="89"/>
      <c r="W51" s="90"/>
    </row>
    <row r="52" ht="14.25" customHeight="1">
      <c r="A52" s="178"/>
      <c r="B52" s="12">
        <v>1974182.0</v>
      </c>
      <c r="C52" s="13">
        <v>46055.783171296294</v>
      </c>
      <c r="D52" s="179" t="s">
        <v>81</v>
      </c>
      <c r="E52" s="180" t="s">
        <v>6936</v>
      </c>
      <c r="F52" s="181"/>
      <c r="G52" s="179" t="s">
        <v>544</v>
      </c>
      <c r="H52" s="190"/>
      <c r="I52" s="190"/>
      <c r="J52" s="187" t="s">
        <v>2019</v>
      </c>
      <c r="K52" s="187" t="s">
        <v>2078</v>
      </c>
      <c r="L52" s="270" t="str">
        <f>IFERROR(__xludf.DUMMYFUNCTION("IF(
  AND(D52=""Saída"", J52=""Sangria""),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3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IFERROR(__xludf.DUMMYFUNCTION("ifna(VALUE(REGEXEXTRACT(E52,""[0-9.]+[,]+[0-9]+"")))"),14.97)</f>
        <v>14.97</v>
      </c>
      <c r="O52" s="108"/>
      <c r="P52" s="109"/>
      <c r="Q52" s="109"/>
      <c r="R52" s="109"/>
      <c r="S52" s="110"/>
      <c r="T52" s="109"/>
      <c r="U52" s="109"/>
      <c r="V52" s="109"/>
      <c r="W52" s="111"/>
    </row>
    <row r="53" ht="14.25" customHeight="1">
      <c r="A53" s="178"/>
      <c r="B53" s="12">
        <v>1974204.0</v>
      </c>
      <c r="C53" s="13">
        <v>46055.78921296296</v>
      </c>
      <c r="D53" s="179" t="s">
        <v>81</v>
      </c>
      <c r="E53" s="180" t="s">
        <v>6937</v>
      </c>
      <c r="F53" s="181"/>
      <c r="G53" s="179" t="s">
        <v>5861</v>
      </c>
      <c r="H53" s="190"/>
      <c r="I53" s="190"/>
      <c r="J53" s="187" t="s">
        <v>2019</v>
      </c>
      <c r="K53" s="187" t="s">
        <v>2117</v>
      </c>
      <c r="L53" s="270" t="str">
        <f>IFERROR(__xludf.DUMMYFUNCTION("IF(
  AND(D53=""Saída"", J53=""Sangria""),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74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85">
        <f>IFERROR(__xludf.DUMMYFUNCTION("ifna(VALUE(REGEXEXTRACT(E53,""[0-9.]+[,]+[0-9]+"")))"),22.14)</f>
        <v>22.14</v>
      </c>
      <c r="S53" s="25"/>
    </row>
    <row r="54" ht="14.25" customHeight="1">
      <c r="A54" s="178"/>
      <c r="B54" s="12">
        <v>1974380.0</v>
      </c>
      <c r="C54" s="13">
        <v>46055.84045138889</v>
      </c>
      <c r="D54" s="179" t="s">
        <v>81</v>
      </c>
      <c r="E54" s="180" t="s">
        <v>6938</v>
      </c>
      <c r="F54" s="181"/>
      <c r="G54" s="179" t="s">
        <v>313</v>
      </c>
      <c r="H54" s="190"/>
      <c r="I54" s="190"/>
      <c r="J54" s="187" t="s">
        <v>3151</v>
      </c>
      <c r="K54" s="187"/>
      <c r="L54" s="270" t="str">
        <f>IFERROR(__xludf.DUMMYFUNCTION("IF(
  AND(D54=""Saída"", J54=""Sangria""),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2" t="str">
        <f>IFERROR(__xludf.DUMMYFUNCTION("IF(J54=""Compra de Mercadorias"",
   IF(
      COUNTIF(ARRAYFORMULA(TRIM(CLEAN(TO_TEXT(Notas!BS:BS)))), TRIM(CLEAN(TO_TEXT(B54)))) &gt; 0,
      ""Encontrada"",
      ""Não Encontrada""
   ),
"""")"),"Não Encontrada")</f>
        <v>Não Encontrada</v>
      </c>
      <c r="N54" s="185">
        <f>IFERROR(__xludf.DUMMYFUNCTION("ifna(VALUE(REGEXEXTRACT(E54,""[0-9.]+[,]+[0-9]+"")))"),90.45)</f>
        <v>90.45</v>
      </c>
      <c r="S54" s="25"/>
    </row>
    <row r="55" ht="14.25" customHeight="1">
      <c r="A55" s="178"/>
      <c r="B55" s="12">
        <v>1974949.0</v>
      </c>
      <c r="C55" s="13">
        <v>46055.94128472222</v>
      </c>
      <c r="D55" s="179" t="s">
        <v>81</v>
      </c>
      <c r="E55" s="180" t="s">
        <v>1228</v>
      </c>
      <c r="F55" s="181"/>
      <c r="G55" s="179" t="s">
        <v>381</v>
      </c>
      <c r="H55" s="190"/>
      <c r="I55" s="190"/>
      <c r="J55" s="187" t="s">
        <v>2735</v>
      </c>
      <c r="K55" s="187" t="s">
        <v>6576</v>
      </c>
      <c r="L55" s="270" t="str">
        <f>IFERROR(__xludf.DUMMYFUNCTION("IF(
  AND(D55=""Saída"", J55=""Sangria""),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"),"Confirmada")</f>
        <v>Confirmada</v>
      </c>
      <c r="M55" s="273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IFERROR(__xludf.DUMMYFUNCTION("ifna(VALUE(REGEXEXTRACT(E55,""[0-9.]+[,]+[0-9]+"")))"),950.0)</f>
        <v>950</v>
      </c>
      <c r="S55" s="25"/>
    </row>
    <row r="56" ht="14.25" customHeight="1">
      <c r="A56" s="178"/>
      <c r="B56" s="12">
        <v>1976130.0</v>
      </c>
      <c r="C56" s="13">
        <v>46056.821805555555</v>
      </c>
      <c r="D56" s="179" t="s">
        <v>81</v>
      </c>
      <c r="E56" s="180" t="s">
        <v>6940</v>
      </c>
      <c r="F56" s="181"/>
      <c r="G56" s="179" t="s">
        <v>5861</v>
      </c>
      <c r="H56" s="190"/>
      <c r="I56" s="190"/>
      <c r="J56" s="187" t="s">
        <v>2019</v>
      </c>
      <c r="K56" s="187" t="s">
        <v>2117</v>
      </c>
      <c r="L56" s="270" t="str">
        <f>IFERROR(__xludf.DUMMYFUNCTION("IF(
  AND(D56=""Saída"", J56=""Sangria""),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2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IFERROR(__xludf.DUMMYFUNCTION("ifna(VALUE(REGEXEXTRACT(E56,""[0-9.]+[,]+[0-9]+"")))"),20.1)</f>
        <v>20.1</v>
      </c>
      <c r="S56" s="25"/>
    </row>
    <row r="57" ht="17.25" customHeight="1">
      <c r="A57" s="178"/>
      <c r="B57" s="12">
        <v>1976132.0</v>
      </c>
      <c r="C57" s="13">
        <v>46056.82215277778</v>
      </c>
      <c r="D57" s="179" t="s">
        <v>81</v>
      </c>
      <c r="E57" s="180" t="s">
        <v>6941</v>
      </c>
      <c r="F57" s="181"/>
      <c r="G57" s="179" t="s">
        <v>6779</v>
      </c>
      <c r="H57" s="190"/>
      <c r="I57" s="190"/>
      <c r="J57" s="187" t="s">
        <v>2019</v>
      </c>
      <c r="K57" s="187" t="s">
        <v>6745</v>
      </c>
      <c r="L57" s="270" t="str">
        <f>IFERROR(__xludf.DUMMYFUNCTION("IF(
  AND(D57=""Saída"", J57=""Sangria""),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74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IFERROR(__xludf.DUMMYFUNCTION("ifna(VALUE(REGEXEXTRACT(E57,""[0-9.]+[,]+[0-9]+"")))"),16.23)</f>
        <v>16.23</v>
      </c>
      <c r="O57" s="25"/>
      <c r="P57" s="25"/>
      <c r="Q57" s="25"/>
      <c r="R57" s="25"/>
      <c r="S57" s="25"/>
      <c r="T57" s="25"/>
      <c r="U57" s="122"/>
      <c r="V57" s="122"/>
      <c r="W57" s="277"/>
    </row>
    <row r="58" ht="14.25" customHeight="1">
      <c r="A58" s="178"/>
      <c r="B58" s="12">
        <v>1976134.0</v>
      </c>
      <c r="C58" s="13">
        <v>46056.82346064815</v>
      </c>
      <c r="D58" s="179" t="s">
        <v>81</v>
      </c>
      <c r="E58" s="180" t="s">
        <v>5890</v>
      </c>
      <c r="F58" s="181"/>
      <c r="G58" s="179" t="s">
        <v>544</v>
      </c>
      <c r="H58" s="190"/>
      <c r="I58" s="190"/>
      <c r="J58" s="187" t="s">
        <v>2019</v>
      </c>
      <c r="K58" s="187" t="s">
        <v>2078</v>
      </c>
      <c r="L58" s="270" t="str">
        <f>IFERROR(__xludf.DUMMYFUNCTION("IF(
  AND(D58=""Saída"", J58=""Sangria""),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2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IFERROR(__xludf.DUMMYFUNCTION("ifna(VALUE(REGEXEXTRACT(E58,""[0-9.]+[,]+[0-9]+"")))"),15.1)</f>
        <v>15.1</v>
      </c>
      <c r="O58" s="25"/>
      <c r="P58" s="25"/>
      <c r="Q58" s="25"/>
      <c r="R58" s="25"/>
      <c r="S58" s="25"/>
      <c r="T58" s="25"/>
      <c r="U58" s="278"/>
      <c r="V58" s="278"/>
      <c r="W58" s="279"/>
    </row>
    <row r="59" ht="14.25" customHeight="1">
      <c r="A59" s="178"/>
      <c r="B59" s="12">
        <v>1976207.0</v>
      </c>
      <c r="C59" s="13">
        <v>46056.86121527778</v>
      </c>
      <c r="D59" s="179" t="s">
        <v>81</v>
      </c>
      <c r="E59" s="180" t="s">
        <v>457</v>
      </c>
      <c r="F59" s="181"/>
      <c r="G59" s="179" t="s">
        <v>6942</v>
      </c>
      <c r="H59" s="190"/>
      <c r="I59" s="190"/>
      <c r="J59" s="187" t="s">
        <v>5195</v>
      </c>
      <c r="K59" s="187"/>
      <c r="L59" s="270" t="str">
        <f>IFERROR(__xludf.DUMMYFUNCTION("IF(
  AND(D59=""Saída"", J59=""Sangria""),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73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IFERROR(__xludf.DUMMYFUNCTION("ifna(VALUE(REGEXEXTRACT(E59,""[0-9.]+[,]+[0-9]+"")))"),200.0)</f>
        <v>200</v>
      </c>
      <c r="O59" s="209" t="s">
        <v>3799</v>
      </c>
      <c r="P59" s="210"/>
      <c r="Q59" s="210"/>
      <c r="R59" s="210"/>
      <c r="S59" s="210"/>
      <c r="T59" s="59"/>
      <c r="U59" s="280"/>
      <c r="V59" s="280"/>
      <c r="W59" s="281"/>
    </row>
    <row r="60" ht="14.25" customHeight="1">
      <c r="A60" s="178"/>
      <c r="B60" s="12">
        <v>1976420.0</v>
      </c>
      <c r="C60" s="13">
        <v>46056.910729166666</v>
      </c>
      <c r="D60" s="179" t="s">
        <v>81</v>
      </c>
      <c r="E60" s="180" t="s">
        <v>162</v>
      </c>
      <c r="F60" s="188"/>
      <c r="G60" s="179" t="s">
        <v>381</v>
      </c>
      <c r="H60" s="190"/>
      <c r="I60" s="190"/>
      <c r="J60" s="187" t="s">
        <v>2735</v>
      </c>
      <c r="K60" s="187" t="s">
        <v>6576</v>
      </c>
      <c r="L60" s="270" t="str">
        <f>IFERROR(__xludf.DUMMYFUNCTION("IF(
  AND(D60=""Saída"", J60=""Sangria""),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"),"Confirmada")</f>
        <v>Confirmada</v>
      </c>
      <c r="M60" s="273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IFERROR(__xludf.DUMMYFUNCTION("ifna(VALUE(REGEXEXTRACT(E60,""[0-9.]+[,]+[0-9]+"")))"),150.0)</f>
        <v>150</v>
      </c>
      <c r="O60" s="211"/>
      <c r="T60" s="212"/>
      <c r="U60" s="280"/>
      <c r="V60" s="280"/>
      <c r="W60" s="281"/>
    </row>
    <row r="61" ht="14.25" customHeight="1">
      <c r="A61" s="178"/>
      <c r="B61" s="12">
        <v>1977148.0</v>
      </c>
      <c r="C61" s="13">
        <v>46057.613125</v>
      </c>
      <c r="D61" s="179" t="s">
        <v>152</v>
      </c>
      <c r="E61" s="180" t="s">
        <v>6946</v>
      </c>
      <c r="F61" s="181"/>
      <c r="G61" s="179" t="s">
        <v>158</v>
      </c>
      <c r="H61" s="190"/>
      <c r="I61" s="190"/>
      <c r="J61" s="187" t="s">
        <v>5195</v>
      </c>
      <c r="K61" s="187"/>
      <c r="L61" s="270" t="str">
        <f>IFERROR(__xludf.DUMMYFUNCTION("IF(
  AND(D61=""Saída"", J61=""Sangria""),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74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IFERROR(__xludf.DUMMYFUNCTION("ifna(VALUE(REGEXEXTRACT(E61,""[0-9.]+[,]+[0-9]+"")))"),48.6)</f>
        <v>48.6</v>
      </c>
      <c r="O61" s="213" t="s">
        <v>1</v>
      </c>
      <c r="P61" s="214" t="s">
        <v>2</v>
      </c>
      <c r="Q61" s="214" t="s">
        <v>3830</v>
      </c>
      <c r="R61" s="214" t="s">
        <v>46</v>
      </c>
      <c r="S61" s="215" t="s">
        <v>33</v>
      </c>
      <c r="T61" s="212"/>
      <c r="U61" s="280"/>
      <c r="V61" s="280"/>
      <c r="W61" s="281"/>
    </row>
    <row r="62" ht="14.25" customHeight="1">
      <c r="A62" s="178"/>
      <c r="B62" s="12">
        <v>1977163.0</v>
      </c>
      <c r="C62" s="13">
        <v>46057.61640046296</v>
      </c>
      <c r="D62" s="179" t="s">
        <v>81</v>
      </c>
      <c r="E62" s="180" t="s">
        <v>6947</v>
      </c>
      <c r="F62" s="181"/>
      <c r="G62" s="179" t="s">
        <v>6838</v>
      </c>
      <c r="H62" s="190"/>
      <c r="I62" s="190"/>
      <c r="J62" s="187" t="s">
        <v>2019</v>
      </c>
      <c r="K62" s="187" t="s">
        <v>6745</v>
      </c>
      <c r="L62" s="270" t="str">
        <f>IFERROR(__xludf.DUMMYFUNCTION("IF(
  AND(D62=""Saída"", J62=""Sangria""),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2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IFERROR(__xludf.DUMMYFUNCTION("ifna(VALUE(REGEXEXTRACT(E62,""[0-9.]+[,]+[0-9]+"")))"),71.8)</f>
        <v>71.8</v>
      </c>
      <c r="O62" s="216"/>
      <c r="P62" s="195"/>
      <c r="Q62" s="196"/>
      <c r="R62" s="196"/>
      <c r="S62" s="217"/>
      <c r="T62" s="218"/>
      <c r="U62" s="280"/>
      <c r="V62" s="280"/>
      <c r="W62" s="281"/>
    </row>
    <row r="63" ht="14.25" customHeight="1">
      <c r="A63" s="178"/>
      <c r="B63" s="12">
        <v>1977940.0</v>
      </c>
      <c r="C63" s="13">
        <v>46057.82469907407</v>
      </c>
      <c r="D63" s="179" t="s">
        <v>81</v>
      </c>
      <c r="E63" s="180" t="s">
        <v>6622</v>
      </c>
      <c r="F63" s="181"/>
      <c r="G63" s="179" t="s">
        <v>544</v>
      </c>
      <c r="H63" s="190"/>
      <c r="I63" s="190"/>
      <c r="J63" s="187" t="s">
        <v>2019</v>
      </c>
      <c r="K63" s="187" t="s">
        <v>2078</v>
      </c>
      <c r="L63" s="270" t="str">
        <f>IFERROR(__xludf.DUMMYFUNCTION("IF(
  AND(D63=""Saída"", J63=""Sangria""),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74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IFERROR(__xludf.DUMMYFUNCTION("ifna(VALUE(REGEXEXTRACT(E63,""[0-9.]+[,]+[0-9]+"")))"),18.37)</f>
        <v>18.37</v>
      </c>
      <c r="O63" s="216"/>
      <c r="P63" s="195"/>
      <c r="Q63" s="196"/>
      <c r="R63" s="197"/>
      <c r="S63" s="219"/>
      <c r="T63" s="218"/>
      <c r="U63" s="280"/>
      <c r="V63" s="280"/>
      <c r="W63" s="281"/>
    </row>
    <row r="64" ht="14.25" customHeight="1">
      <c r="A64" s="178"/>
      <c r="B64" s="12">
        <v>1977941.0</v>
      </c>
      <c r="C64" s="13">
        <v>46057.82496527778</v>
      </c>
      <c r="D64" s="179" t="s">
        <v>81</v>
      </c>
      <c r="E64" s="180" t="s">
        <v>1022</v>
      </c>
      <c r="F64" s="181"/>
      <c r="G64" s="179" t="s">
        <v>6779</v>
      </c>
      <c r="H64" s="190"/>
      <c r="I64" s="190"/>
      <c r="J64" s="187" t="s">
        <v>2019</v>
      </c>
      <c r="K64" s="187" t="s">
        <v>6745</v>
      </c>
      <c r="L64" s="270" t="str">
        <f>IFERROR(__xludf.DUMMYFUNCTION("IF(
  AND(D64=""Saída"", J64=""Sangria""),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2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IFERROR(__xludf.DUMMYFUNCTION("ifna(VALUE(REGEXEXTRACT(E64,""[0-9.]+[,]+[0-9]+"")))"),12.08)</f>
        <v>12.08</v>
      </c>
      <c r="O64" s="216"/>
      <c r="P64" s="195"/>
      <c r="Q64" s="196"/>
      <c r="R64" s="197"/>
      <c r="S64" s="220"/>
      <c r="T64" s="218" t="str">
        <f t="shared" ref="T64:T82" si="1">IFERROR(VLOOKUP(Q64, $A$4:$B$11, 2, FALSE), "")</f>
        <v/>
      </c>
      <c r="U64" s="282"/>
      <c r="V64" s="282"/>
      <c r="W64" s="283"/>
    </row>
    <row r="65" ht="14.25" customHeight="1">
      <c r="A65" s="178"/>
      <c r="B65" s="12">
        <v>1977944.0</v>
      </c>
      <c r="C65" s="13">
        <v>46057.825474537036</v>
      </c>
      <c r="D65" s="179" t="s">
        <v>81</v>
      </c>
      <c r="E65" s="180" t="s">
        <v>6952</v>
      </c>
      <c r="F65" s="181"/>
      <c r="G65" s="179" t="s">
        <v>6954</v>
      </c>
      <c r="H65" s="190"/>
      <c r="I65" s="190"/>
      <c r="J65" s="187" t="s">
        <v>2438</v>
      </c>
      <c r="K65" s="187"/>
      <c r="L65" s="270" t="str">
        <f>IFERROR(__xludf.DUMMYFUNCTION("IF(
  AND(D65=""Saída"", J65=""Sangria""),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74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IFERROR(__xludf.DUMMYFUNCTION("ifna(VALUE(REGEXEXTRACT(E65,""[0-9.]+[,]+[0-9]+"")))"),109.8)</f>
        <v>109.8</v>
      </c>
      <c r="O65" s="216"/>
      <c r="P65" s="195"/>
      <c r="Q65" s="196"/>
      <c r="R65" s="197"/>
      <c r="S65" s="221"/>
      <c r="T65" s="218" t="str">
        <f t="shared" si="1"/>
        <v/>
      </c>
      <c r="U65" s="284"/>
      <c r="V65" s="284"/>
      <c r="W65" s="285"/>
    </row>
    <row r="66" ht="14.25" customHeight="1">
      <c r="A66" s="178"/>
      <c r="B66" s="12">
        <v>1977955.0</v>
      </c>
      <c r="C66" s="13">
        <v>46057.82890046296</v>
      </c>
      <c r="D66" s="179" t="s">
        <v>81</v>
      </c>
      <c r="E66" s="180" t="s">
        <v>2730</v>
      </c>
      <c r="F66" s="181"/>
      <c r="G66" s="179" t="s">
        <v>381</v>
      </c>
      <c r="H66" s="190"/>
      <c r="I66" s="190"/>
      <c r="J66" s="187" t="s">
        <v>2735</v>
      </c>
      <c r="K66" s="187" t="s">
        <v>6576</v>
      </c>
      <c r="L66" s="270" t="str">
        <f>IFERROR(__xludf.DUMMYFUNCTION("IF(
  AND(D66=""Saída"", J66=""Sangria""),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"),"Confirmada")</f>
        <v>Confirmada</v>
      </c>
      <c r="M66" s="272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IFERROR(__xludf.DUMMYFUNCTION("ifna(VALUE(REGEXEXTRACT(E66,""[0-9.]+[,]+[0-9]+"")))"),1600.0)</f>
        <v>1600</v>
      </c>
      <c r="O66" s="216"/>
      <c r="P66" s="195"/>
      <c r="Q66" s="196"/>
      <c r="R66" s="197"/>
      <c r="S66" s="220"/>
      <c r="T66" s="218" t="str">
        <f t="shared" si="1"/>
        <v/>
      </c>
      <c r="U66" s="284"/>
      <c r="V66" s="284"/>
      <c r="W66" s="285"/>
    </row>
    <row r="67" ht="14.25" customHeight="1">
      <c r="A67" s="178"/>
      <c r="B67" s="12">
        <v>1978616.0</v>
      </c>
      <c r="C67" s="13">
        <v>46057.956712962965</v>
      </c>
      <c r="D67" s="179" t="s">
        <v>81</v>
      </c>
      <c r="E67" s="180" t="s">
        <v>162</v>
      </c>
      <c r="F67" s="181"/>
      <c r="G67" s="179" t="s">
        <v>381</v>
      </c>
      <c r="H67" s="190"/>
      <c r="I67" s="190"/>
      <c r="J67" s="187" t="s">
        <v>2735</v>
      </c>
      <c r="K67" s="187" t="s">
        <v>6576</v>
      </c>
      <c r="L67" s="270" t="str">
        <f>IFERROR(__xludf.DUMMYFUNCTION("IF(
  AND(D67=""Saída"", J67=""Sangria""),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"),"Confirmada")</f>
        <v>Confirmada</v>
      </c>
      <c r="M67" s="273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IFERROR(__xludf.DUMMYFUNCTION("ifna(VALUE(REGEXEXTRACT(E67,""[0-9.]+[,]+[0-9]+"")))"),150.0)</f>
        <v>150</v>
      </c>
      <c r="O67" s="222"/>
      <c r="P67" s="223"/>
      <c r="Q67" s="224"/>
      <c r="R67" s="225"/>
      <c r="S67" s="221"/>
      <c r="T67" s="218" t="str">
        <f t="shared" si="1"/>
        <v/>
      </c>
      <c r="U67" s="284"/>
      <c r="V67" s="284"/>
      <c r="W67" s="285"/>
    </row>
    <row r="68">
      <c r="A68" s="178"/>
      <c r="B68" s="12">
        <v>1979621.0</v>
      </c>
      <c r="C68" s="13">
        <v>46058.78365740741</v>
      </c>
      <c r="D68" s="179" t="s">
        <v>81</v>
      </c>
      <c r="E68" s="180" t="s">
        <v>6957</v>
      </c>
      <c r="F68" s="181"/>
      <c r="G68" s="179" t="s">
        <v>6779</v>
      </c>
      <c r="H68" s="190"/>
      <c r="I68" s="190"/>
      <c r="J68" s="187" t="s">
        <v>2019</v>
      </c>
      <c r="K68" s="187" t="s">
        <v>6745</v>
      </c>
      <c r="L68" s="270" t="str">
        <f>IFERROR(__xludf.DUMMYFUNCTION("IF(
  AND(D68=""Saída"", J68=""Sangria""),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2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IFERROR(__xludf.DUMMYFUNCTION("ifna(VALUE(REGEXEXTRACT(E68,""[0-9.]+[,]+[0-9]+"")))"),20.44)</f>
        <v>20.44</v>
      </c>
      <c r="O68" s="226"/>
      <c r="P68" s="227"/>
      <c r="Q68" s="220"/>
      <c r="R68" s="228" t="str">
        <f t="shared" ref="R68:R104" si="2">IFERROR(VLOOKUP(Q68, $B$4:$C$18, 2, FALSE), "")</f>
        <v/>
      </c>
      <c r="S68" s="220" t="str">
        <f t="shared" ref="S68:S104" si="3">IFERROR(VLOOKUP(Q68, $A$4:$B$18, 2, FALSE), "")</f>
        <v/>
      </c>
      <c r="T68" s="218" t="str">
        <f t="shared" si="1"/>
        <v/>
      </c>
      <c r="U68" s="284"/>
      <c r="V68" s="284"/>
      <c r="W68" s="285"/>
    </row>
    <row r="69" ht="14.25" customHeight="1">
      <c r="A69" s="178"/>
      <c r="B69" s="12">
        <v>1980379.0</v>
      </c>
      <c r="C69" s="13">
        <v>46058.94149305556</v>
      </c>
      <c r="D69" s="179" t="s">
        <v>81</v>
      </c>
      <c r="E69" s="180" t="s">
        <v>1248</v>
      </c>
      <c r="F69" s="181"/>
      <c r="G69" s="179" t="s">
        <v>128</v>
      </c>
      <c r="H69" s="190"/>
      <c r="I69" s="190"/>
      <c r="J69" s="187" t="s">
        <v>2735</v>
      </c>
      <c r="K69" s="187" t="s">
        <v>6576</v>
      </c>
      <c r="L69" s="270" t="str">
        <f>IFERROR(__xludf.DUMMYFUNCTION("IF(
  AND(D69=""Saída"", J69=""Sangria""),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"),"Confirmada")</f>
        <v>Confirmada</v>
      </c>
      <c r="M69" s="274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IFERROR(__xludf.DUMMYFUNCTION("ifna(VALUE(REGEXEXTRACT(E69,""[0-9.]+[,]+[0-9]+"")))"),850.0)</f>
        <v>850</v>
      </c>
      <c r="O69" s="229"/>
      <c r="P69" s="230"/>
      <c r="Q69" s="221"/>
      <c r="R69" s="231" t="str">
        <f t="shared" si="2"/>
        <v/>
      </c>
      <c r="S69" s="221" t="str">
        <f t="shared" si="3"/>
        <v/>
      </c>
      <c r="T69" s="218" t="str">
        <f t="shared" si="1"/>
        <v/>
      </c>
      <c r="U69" s="284"/>
      <c r="V69" s="284"/>
      <c r="W69" s="285"/>
    </row>
    <row r="70" ht="14.25" customHeight="1">
      <c r="A70" s="178"/>
      <c r="B70" s="12">
        <v>1980404.0</v>
      </c>
      <c r="C70" s="13">
        <v>46058.94467592592</v>
      </c>
      <c r="D70" s="179" t="s">
        <v>81</v>
      </c>
      <c r="E70" s="180" t="s">
        <v>4106</v>
      </c>
      <c r="F70" s="181"/>
      <c r="G70" s="179" t="s">
        <v>3587</v>
      </c>
      <c r="H70" s="190"/>
      <c r="I70" s="190"/>
      <c r="J70" s="187" t="s">
        <v>2735</v>
      </c>
      <c r="K70" s="187" t="s">
        <v>2018</v>
      </c>
      <c r="L70" s="270" t="str">
        <f>IFERROR(__xludf.DUMMYFUNCTION("IF(
  AND(D70=""Saída"", J70=""Sangria""),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"),"Confirmada")</f>
        <v>Confirmada</v>
      </c>
      <c r="M70" s="272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IFERROR(__xludf.DUMMYFUNCTION("ifna(VALUE(REGEXEXTRACT(E70,""[0-9.]+[,]+[0-9]+"")))"),750.0)</f>
        <v>750</v>
      </c>
      <c r="O70" s="226"/>
      <c r="P70" s="227"/>
      <c r="Q70" s="220"/>
      <c r="R70" s="228" t="str">
        <f t="shared" si="2"/>
        <v/>
      </c>
      <c r="S70" s="220" t="str">
        <f t="shared" si="3"/>
        <v/>
      </c>
      <c r="T70" s="218" t="str">
        <f t="shared" si="1"/>
        <v/>
      </c>
      <c r="U70" s="284"/>
      <c r="V70" s="284"/>
      <c r="W70" s="285"/>
    </row>
    <row r="71" ht="14.25" customHeight="1">
      <c r="A71" s="178"/>
      <c r="B71" s="12">
        <v>1980612.0</v>
      </c>
      <c r="C71" s="13">
        <v>46058.9828125</v>
      </c>
      <c r="D71" s="179" t="s">
        <v>81</v>
      </c>
      <c r="E71" s="180" t="s">
        <v>6961</v>
      </c>
      <c r="F71" s="181"/>
      <c r="G71" s="179" t="s">
        <v>211</v>
      </c>
      <c r="H71" s="190"/>
      <c r="I71" s="190"/>
      <c r="J71" s="187" t="s">
        <v>3151</v>
      </c>
      <c r="K71" s="187"/>
      <c r="L71" s="270" t="str">
        <f>IFERROR(__xludf.DUMMYFUNCTION("IF(
  AND(D71=""Saída"", J71=""Sangria""),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74" t="str">
        <f>IFERROR(__xludf.DUMMYFUNCTION("IF(J71=""Compra de Mercadorias"",
   IF(
      COUNTIF(ARRAYFORMULA(TRIM(CLEAN(TO_TEXT(Notas!BS:BS)))), TRIM(CLEAN(TO_TEXT(B71)))) &gt; 0,
      ""Encontrada"",
      ""Não Encontrada""
   ),
"""")"),"Não Encontrada")</f>
        <v>Não Encontrada</v>
      </c>
      <c r="N71" s="185">
        <f>IFERROR(__xludf.DUMMYFUNCTION("ifna(VALUE(REGEXEXTRACT(E71,""[0-9.]+[,]+[0-9]+"")))"),88.25)</f>
        <v>88.25</v>
      </c>
      <c r="O71" s="229"/>
      <c r="P71" s="230"/>
      <c r="Q71" s="221"/>
      <c r="R71" s="231" t="str">
        <f t="shared" si="2"/>
        <v/>
      </c>
      <c r="S71" s="221" t="str">
        <f t="shared" si="3"/>
        <v/>
      </c>
      <c r="T71" s="218" t="str">
        <f t="shared" si="1"/>
        <v/>
      </c>
      <c r="U71" s="284"/>
      <c r="V71" s="284"/>
      <c r="W71" s="285"/>
    </row>
    <row r="72" ht="14.25" customHeight="1">
      <c r="A72" s="178"/>
      <c r="B72" s="12">
        <v>1982085.0</v>
      </c>
      <c r="C72" s="13">
        <v>46059.8350462963</v>
      </c>
      <c r="D72" s="179" t="s">
        <v>81</v>
      </c>
      <c r="E72" s="180" t="s">
        <v>659</v>
      </c>
      <c r="F72" s="181"/>
      <c r="G72" s="179" t="s">
        <v>6779</v>
      </c>
      <c r="H72" s="190"/>
      <c r="I72" s="190"/>
      <c r="J72" s="187" t="s">
        <v>2019</v>
      </c>
      <c r="K72" s="187" t="s">
        <v>6745</v>
      </c>
      <c r="L72" s="270" t="str">
        <f>IFERROR(__xludf.DUMMYFUNCTION("IF(
  AND(D72=""Saída"", J72=""Sangria""),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6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IFERROR(__xludf.DUMMYFUNCTION("ifna(VALUE(REGEXEXTRACT(E72,""[0-9.]+[,]+[0-9]+"")))"),5.0)</f>
        <v>5</v>
      </c>
      <c r="O72" s="226"/>
      <c r="P72" s="227"/>
      <c r="Q72" s="220"/>
      <c r="R72" s="228" t="str">
        <f t="shared" si="2"/>
        <v/>
      </c>
      <c r="S72" s="220" t="str">
        <f t="shared" si="3"/>
        <v/>
      </c>
      <c r="T72" s="218" t="str">
        <f t="shared" si="1"/>
        <v/>
      </c>
      <c r="U72" s="275"/>
      <c r="V72" s="275"/>
      <c r="W72" s="286"/>
    </row>
    <row r="73" ht="14.25" customHeight="1">
      <c r="A73" s="178"/>
      <c r="B73" s="12">
        <v>1982095.0</v>
      </c>
      <c r="C73" s="13">
        <v>46059.83627314815</v>
      </c>
      <c r="D73" s="179" t="s">
        <v>81</v>
      </c>
      <c r="E73" s="180" t="s">
        <v>6967</v>
      </c>
      <c r="F73" s="181"/>
      <c r="G73" s="179" t="s">
        <v>544</v>
      </c>
      <c r="H73" s="190"/>
      <c r="I73" s="190"/>
      <c r="J73" s="187" t="s">
        <v>2019</v>
      </c>
      <c r="K73" s="187" t="s">
        <v>2078</v>
      </c>
      <c r="L73" s="270" t="str">
        <f>IFERROR(__xludf.DUMMYFUNCTION("IF(
  AND(D73=""Saída"", J73=""Sangria""),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76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IFERROR(__xludf.DUMMYFUNCTION("ifna(VALUE(REGEXEXTRACT(E73,""[0-9.]+[,]+[0-9]+"")))"),22.36)</f>
        <v>22.36</v>
      </c>
      <c r="O73" s="229"/>
      <c r="P73" s="221"/>
      <c r="Q73" s="221"/>
      <c r="R73" s="231" t="str">
        <f t="shared" si="2"/>
        <v/>
      </c>
      <c r="S73" s="221" t="str">
        <f t="shared" si="3"/>
        <v/>
      </c>
      <c r="T73" s="218" t="str">
        <f t="shared" si="1"/>
        <v/>
      </c>
      <c r="U73" s="25"/>
      <c r="V73" s="25"/>
      <c r="W73" s="287"/>
    </row>
    <row r="74" ht="14.25" customHeight="1">
      <c r="A74" s="178"/>
      <c r="B74" s="12">
        <v>1982978.0</v>
      </c>
      <c r="C74" s="13">
        <v>46059.97068287037</v>
      </c>
      <c r="D74" s="179" t="s">
        <v>81</v>
      </c>
      <c r="E74" s="180" t="s">
        <v>3362</v>
      </c>
      <c r="F74" s="188"/>
      <c r="G74" s="179" t="s">
        <v>128</v>
      </c>
      <c r="H74" s="190"/>
      <c r="I74" s="190"/>
      <c r="J74" s="187" t="s">
        <v>2735</v>
      </c>
      <c r="K74" s="187" t="s">
        <v>6576</v>
      </c>
      <c r="L74" s="270" t="str">
        <f>IFERROR(__xludf.DUMMYFUNCTION("IF(
  AND(D74=""Saída"", J74=""Sangria""),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"),"Confirmada")</f>
        <v>Confirmada</v>
      </c>
      <c r="M74" s="272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IFERROR(__xludf.DUMMYFUNCTION("ifna(VALUE(REGEXEXTRACT(E74,""[0-9.]+[,]+[0-9]+"")))"),2150.0)</f>
        <v>2150</v>
      </c>
      <c r="O74" s="226"/>
      <c r="P74" s="220"/>
      <c r="Q74" s="220"/>
      <c r="R74" s="228" t="str">
        <f t="shared" si="2"/>
        <v/>
      </c>
      <c r="S74" s="220" t="str">
        <f t="shared" si="3"/>
        <v/>
      </c>
      <c r="T74" s="218" t="str">
        <f t="shared" si="1"/>
        <v/>
      </c>
      <c r="U74" s="25"/>
      <c r="V74" s="25"/>
      <c r="W74" s="287"/>
    </row>
    <row r="75" ht="14.25" customHeight="1">
      <c r="A75" s="178"/>
      <c r="B75" s="12">
        <v>1983884.0</v>
      </c>
      <c r="C75" s="13">
        <v>46060.73814814815</v>
      </c>
      <c r="D75" s="179" t="s">
        <v>81</v>
      </c>
      <c r="E75" s="180" t="s">
        <v>6971</v>
      </c>
      <c r="F75" s="181"/>
      <c r="G75" s="179" t="s">
        <v>6972</v>
      </c>
      <c r="H75" s="190"/>
      <c r="I75" s="190"/>
      <c r="J75" s="187" t="s">
        <v>3151</v>
      </c>
      <c r="K75" s="187"/>
      <c r="L75" s="270" t="str">
        <f>IFERROR(__xludf.DUMMYFUNCTION("IF(
  AND(D75=""Saída"", J75=""Sangria""),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74" t="str">
        <f>IFERROR(__xludf.DUMMYFUNCTION("IF(J75=""Compra de Mercadorias"",
   IF(
      COUNTIF(ARRAYFORMULA(TRIM(CLEAN(TO_TEXT(Notas!BS:BS)))), TRIM(CLEAN(TO_TEXT(B75)))) &gt; 0,
      ""Encontrada"",
      ""Não Encontrada""
   ),
"""")"),"Não Encontrada")</f>
        <v>Não Encontrada</v>
      </c>
      <c r="N75" s="185">
        <f>IFERROR(__xludf.DUMMYFUNCTION("ifna(VALUE(REGEXEXTRACT(E75,""[0-9.]+[,]+[0-9]+"")))"),112.42)</f>
        <v>112.42</v>
      </c>
      <c r="O75" s="229"/>
      <c r="P75" s="221"/>
      <c r="Q75" s="221"/>
      <c r="R75" s="231" t="str">
        <f t="shared" si="2"/>
        <v/>
      </c>
      <c r="S75" s="221" t="str">
        <f t="shared" si="3"/>
        <v/>
      </c>
      <c r="T75" s="218" t="str">
        <f t="shared" si="1"/>
        <v/>
      </c>
      <c r="U75" s="25"/>
      <c r="V75" s="25"/>
      <c r="W75" s="287"/>
    </row>
    <row r="76" ht="14.25" customHeight="1">
      <c r="A76" s="178"/>
      <c r="B76" s="12">
        <v>1984161.0</v>
      </c>
      <c r="C76" s="13">
        <v>46060.79844907407</v>
      </c>
      <c r="D76" s="179" t="s">
        <v>81</v>
      </c>
      <c r="E76" s="180" t="s">
        <v>1263</v>
      </c>
      <c r="F76" s="181"/>
      <c r="G76" s="179" t="s">
        <v>6973</v>
      </c>
      <c r="H76" s="190"/>
      <c r="I76" s="190"/>
      <c r="J76" s="187" t="s">
        <v>1782</v>
      </c>
      <c r="K76" s="187"/>
      <c r="L76" s="270" t="str">
        <f>IFERROR(__xludf.DUMMYFUNCTION("IF(
  AND(D76=""Saída"", J76=""Sangria""),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2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IFERROR(__xludf.DUMMYFUNCTION("ifna(VALUE(REGEXEXTRACT(E76,""[0-9.]+[,]+[0-9]+"")))"),70.0)</f>
        <v>70</v>
      </c>
      <c r="O76" s="226"/>
      <c r="P76" s="220"/>
      <c r="Q76" s="220"/>
      <c r="R76" s="228" t="str">
        <f t="shared" si="2"/>
        <v/>
      </c>
      <c r="S76" s="220" t="str">
        <f t="shared" si="3"/>
        <v/>
      </c>
      <c r="T76" s="288" t="str">
        <f t="shared" si="1"/>
        <v/>
      </c>
      <c r="U76" s="25"/>
      <c r="V76" s="25"/>
      <c r="W76" s="25"/>
    </row>
    <row r="77" ht="14.25" customHeight="1">
      <c r="A77" s="178"/>
      <c r="B77" s="12">
        <v>1984177.0</v>
      </c>
      <c r="C77" s="13">
        <v>46060.80068287037</v>
      </c>
      <c r="D77" s="179" t="s">
        <v>81</v>
      </c>
      <c r="E77" s="180" t="s">
        <v>979</v>
      </c>
      <c r="F77" s="181"/>
      <c r="G77" s="179" t="s">
        <v>6779</v>
      </c>
      <c r="H77" s="190"/>
      <c r="I77" s="190"/>
      <c r="J77" s="187" t="s">
        <v>2019</v>
      </c>
      <c r="K77" s="187" t="s">
        <v>6745</v>
      </c>
      <c r="L77" s="270" t="str">
        <f>IFERROR(__xludf.DUMMYFUNCTION("IF(
  AND(D77=""Saída"", J77=""Sangria""),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74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IFERROR(__xludf.DUMMYFUNCTION("ifna(VALUE(REGEXEXTRACT(E77,""[0-9.]+[,]+[0-9]+"")))"),3.0)</f>
        <v>3</v>
      </c>
      <c r="O77" s="229"/>
      <c r="P77" s="221"/>
      <c r="Q77" s="221"/>
      <c r="R77" s="231" t="str">
        <f t="shared" si="2"/>
        <v/>
      </c>
      <c r="S77" s="221" t="str">
        <f t="shared" si="3"/>
        <v/>
      </c>
      <c r="T77" s="288" t="str">
        <f t="shared" si="1"/>
        <v/>
      </c>
      <c r="U77" s="25"/>
      <c r="V77" s="25"/>
      <c r="W77" s="25"/>
    </row>
    <row r="78" ht="14.25" customHeight="1">
      <c r="A78" s="178"/>
      <c r="B78" s="12">
        <v>1984856.0</v>
      </c>
      <c r="C78" s="13">
        <v>46060.91751157407</v>
      </c>
      <c r="D78" s="179" t="s">
        <v>81</v>
      </c>
      <c r="E78" s="180" t="s">
        <v>200</v>
      </c>
      <c r="F78" s="181"/>
      <c r="G78" s="179" t="s">
        <v>3907</v>
      </c>
      <c r="H78" s="190"/>
      <c r="I78" s="190"/>
      <c r="J78" s="187" t="s">
        <v>2735</v>
      </c>
      <c r="K78" s="187" t="s">
        <v>2018</v>
      </c>
      <c r="L78" s="270" t="str">
        <f>IFERROR(__xludf.DUMMYFUNCTION("IF(
  AND(D78=""Saída"", J78=""Sangria""),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"),"Confirmada")</f>
        <v>Confirmada</v>
      </c>
      <c r="M78" s="272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IFERROR(__xludf.DUMMYFUNCTION("ifna(VALUE(REGEXEXTRACT(E78,""[0-9.]+[,]+[0-9]+"")))"),300.0)</f>
        <v>300</v>
      </c>
      <c r="O78" s="226"/>
      <c r="P78" s="220"/>
      <c r="Q78" s="220"/>
      <c r="R78" s="228" t="str">
        <f t="shared" si="2"/>
        <v/>
      </c>
      <c r="S78" s="220" t="str">
        <f t="shared" si="3"/>
        <v/>
      </c>
      <c r="T78" s="288" t="str">
        <f t="shared" si="1"/>
        <v/>
      </c>
      <c r="U78" s="25"/>
      <c r="V78" s="25"/>
      <c r="W78" s="25"/>
    </row>
    <row r="79" ht="14.25" customHeight="1">
      <c r="A79" s="178"/>
      <c r="B79" s="12">
        <v>1984965.0</v>
      </c>
      <c r="C79" s="13">
        <v>46060.92560185185</v>
      </c>
      <c r="D79" s="179" t="s">
        <v>81</v>
      </c>
      <c r="E79" s="180" t="s">
        <v>943</v>
      </c>
      <c r="F79" s="181"/>
      <c r="G79" s="179" t="s">
        <v>128</v>
      </c>
      <c r="H79" s="190"/>
      <c r="I79" s="190"/>
      <c r="J79" s="187" t="s">
        <v>2735</v>
      </c>
      <c r="K79" s="187" t="s">
        <v>6576</v>
      </c>
      <c r="L79" s="270" t="str">
        <f>IFERROR(__xludf.DUMMYFUNCTION("IF(
  AND(D79=""Saída"", J79=""Sangria""),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"),"Confirmada")</f>
        <v>Confirmada</v>
      </c>
      <c r="M79" s="274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IFERROR(__xludf.DUMMYFUNCTION("ifna(VALUE(REGEXEXTRACT(E79,""[0-9.]+[,]+[0-9]+"")))"),800.0)</f>
        <v>800</v>
      </c>
      <c r="O79" s="229"/>
      <c r="P79" s="221"/>
      <c r="Q79" s="221"/>
      <c r="R79" s="231" t="str">
        <f t="shared" si="2"/>
        <v/>
      </c>
      <c r="S79" s="221" t="str">
        <f t="shared" si="3"/>
        <v/>
      </c>
      <c r="T79" s="288" t="str">
        <f t="shared" si="1"/>
        <v/>
      </c>
      <c r="U79" s="25"/>
      <c r="V79" s="25"/>
      <c r="W79" s="25"/>
    </row>
    <row r="80" ht="14.25" customHeight="1">
      <c r="A80" s="178"/>
      <c r="B80" s="12">
        <v>1986121.0</v>
      </c>
      <c r="C80" s="13">
        <v>46061.68806712963</v>
      </c>
      <c r="D80" s="179" t="s">
        <v>152</v>
      </c>
      <c r="E80" s="180" t="s">
        <v>6888</v>
      </c>
      <c r="F80" s="181"/>
      <c r="G80" s="179" t="s">
        <v>158</v>
      </c>
      <c r="H80" s="190"/>
      <c r="I80" s="190"/>
      <c r="J80" s="187" t="s">
        <v>5195</v>
      </c>
      <c r="K80" s="187"/>
      <c r="L80" s="270" t="str">
        <f>IFERROR(__xludf.DUMMYFUNCTION("IF(
  AND(D80=""Saída"", J80=""Sangria""),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2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IFERROR(__xludf.DUMMYFUNCTION("ifna(VALUE(REGEXEXTRACT(E80,""[0-9.]+[,]+[0-9]+"")))"),36.0)</f>
        <v>36</v>
      </c>
      <c r="O80" s="226"/>
      <c r="P80" s="220"/>
      <c r="Q80" s="220"/>
      <c r="R80" s="228" t="str">
        <f t="shared" si="2"/>
        <v/>
      </c>
      <c r="S80" s="220" t="str">
        <f t="shared" si="3"/>
        <v/>
      </c>
      <c r="T80" s="218" t="str">
        <f t="shared" si="1"/>
        <v/>
      </c>
      <c r="U80" s="25"/>
      <c r="V80" s="25"/>
      <c r="W80" s="25"/>
    </row>
    <row r="81" ht="14.25" customHeight="1">
      <c r="A81" s="178"/>
      <c r="B81" s="12">
        <v>1986125.0</v>
      </c>
      <c r="C81" s="13">
        <v>46061.6890625</v>
      </c>
      <c r="D81" s="179" t="s">
        <v>81</v>
      </c>
      <c r="E81" s="180" t="s">
        <v>910</v>
      </c>
      <c r="F81" s="181"/>
      <c r="G81" s="179" t="s">
        <v>128</v>
      </c>
      <c r="H81" s="190"/>
      <c r="I81" s="190"/>
      <c r="J81" s="187" t="s">
        <v>2735</v>
      </c>
      <c r="K81" s="187" t="s">
        <v>6576</v>
      </c>
      <c r="L81" s="270" t="str">
        <f>IFERROR(__xludf.DUMMYFUNCTION("IF(
  AND(D81=""Saída"", J81=""Sangria""),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"),"Confirmada")</f>
        <v>Confirmada</v>
      </c>
      <c r="M81" s="274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IFERROR(__xludf.DUMMYFUNCTION("ifna(VALUE(REGEXEXTRACT(E81,""[0-9.]+[,]+[0-9]+"")))"),1000.0)</f>
        <v>1000</v>
      </c>
      <c r="O81" s="229"/>
      <c r="P81" s="221"/>
      <c r="Q81" s="221"/>
      <c r="R81" s="231" t="str">
        <f t="shared" si="2"/>
        <v/>
      </c>
      <c r="S81" s="221" t="str">
        <f t="shared" si="3"/>
        <v/>
      </c>
      <c r="T81" s="218" t="str">
        <f t="shared" si="1"/>
        <v/>
      </c>
      <c r="U81" s="185"/>
      <c r="V81" s="185"/>
      <c r="W81" s="185"/>
    </row>
    <row r="82" ht="14.25" customHeight="1">
      <c r="A82" s="178"/>
      <c r="B82" s="12">
        <v>1986140.0</v>
      </c>
      <c r="C82" s="13">
        <v>46061.69207175926</v>
      </c>
      <c r="D82" s="179" t="s">
        <v>81</v>
      </c>
      <c r="E82" s="180" t="s">
        <v>6979</v>
      </c>
      <c r="F82" s="181"/>
      <c r="G82" s="179" t="s">
        <v>211</v>
      </c>
      <c r="H82" s="190"/>
      <c r="I82" s="190"/>
      <c r="J82" s="187" t="s">
        <v>3151</v>
      </c>
      <c r="K82" s="187"/>
      <c r="L82" s="270" t="str">
        <f>IFERROR(__xludf.DUMMYFUNCTION("IF(
  AND(D82=""Saída"", J82=""Sangria""),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2" t="str">
        <f>IFERROR(__xludf.DUMMYFUNCTION("IF(J82=""Compra de Mercadorias"",
   IF(
      COUNTIF(ARRAYFORMULA(TRIM(CLEAN(TO_TEXT(Notas!BS:BS)))), TRIM(CLEAN(TO_TEXT(B82)))) &gt; 0,
      ""Encontrada"",
      ""Não Encontrada""
   ),
"""")"),"Não Encontrada")</f>
        <v>Não Encontrada</v>
      </c>
      <c r="N82" s="185">
        <f>IFERROR(__xludf.DUMMYFUNCTION("ifna(VALUE(REGEXEXTRACT(E82,""[0-9.]+[,]+[0-9]+"")))"),23.77)</f>
        <v>23.77</v>
      </c>
      <c r="O82" s="226"/>
      <c r="P82" s="220"/>
      <c r="Q82" s="220"/>
      <c r="R82" s="228" t="str">
        <f t="shared" si="2"/>
        <v/>
      </c>
      <c r="S82" s="220" t="str">
        <f t="shared" si="3"/>
        <v/>
      </c>
      <c r="T82" s="218" t="str">
        <f t="shared" si="1"/>
        <v/>
      </c>
      <c r="U82" s="185"/>
      <c r="V82" s="185"/>
      <c r="W82" s="185"/>
    </row>
    <row r="83" ht="14.25" customHeight="1">
      <c r="A83" s="178"/>
      <c r="B83" s="12">
        <v>1986700.0</v>
      </c>
      <c r="C83" s="13">
        <v>46061.79059027778</v>
      </c>
      <c r="D83" s="179" t="s">
        <v>81</v>
      </c>
      <c r="E83" s="180" t="s">
        <v>3486</v>
      </c>
      <c r="F83" s="181"/>
      <c r="G83" s="179" t="s">
        <v>6762</v>
      </c>
      <c r="H83" s="190"/>
      <c r="I83" s="190"/>
      <c r="J83" s="187" t="s">
        <v>2735</v>
      </c>
      <c r="K83" s="187" t="s">
        <v>2018</v>
      </c>
      <c r="L83" s="270" t="str">
        <f>IFERROR(__xludf.DUMMYFUNCTION("IF(
  AND(D83=""Saída"", J83=""Sangria""),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"),"Confirmada")</f>
        <v>Confirmada</v>
      </c>
      <c r="M83" s="274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IFERROR(__xludf.DUMMYFUNCTION("ifna(VALUE(REGEXEXTRACT(E83,""[0-9.]+[,]+[0-9]+"")))"),500.0)</f>
        <v>500</v>
      </c>
      <c r="O83" s="229"/>
      <c r="P83" s="221"/>
      <c r="Q83" s="221"/>
      <c r="R83" s="231" t="str">
        <f t="shared" si="2"/>
        <v/>
      </c>
      <c r="S83" s="221" t="str">
        <f t="shared" si="3"/>
        <v/>
      </c>
      <c r="T83" s="232" t="str">
        <f t="shared" ref="T83:T104" si="4">IFERROR(VLOOKUP(Q83, $A$4:$B$18, 2, FALSE), "")</f>
        <v/>
      </c>
      <c r="U83" s="185"/>
      <c r="V83" s="185"/>
      <c r="W83" s="185"/>
    </row>
    <row r="84" ht="14.25" customHeight="1">
      <c r="A84" s="178"/>
      <c r="B84" s="12">
        <v>1987571.0</v>
      </c>
      <c r="C84" s="13">
        <v>46061.91332175926</v>
      </c>
      <c r="D84" s="179" t="s">
        <v>81</v>
      </c>
      <c r="E84" s="180" t="s">
        <v>6592</v>
      </c>
      <c r="F84" s="181"/>
      <c r="G84" s="179" t="s">
        <v>5815</v>
      </c>
      <c r="H84" s="190"/>
      <c r="I84" s="190"/>
      <c r="J84" s="187" t="s">
        <v>2438</v>
      </c>
      <c r="K84" s="187"/>
      <c r="L84" s="270" t="str">
        <f>IFERROR(__xludf.DUMMYFUNCTION("IF(
  AND(D84=""Saída"", J84=""Sangria""),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2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IFERROR(__xludf.DUMMYFUNCTION("ifna(VALUE(REGEXEXTRACT(E84,""[0-9.]+[,]+[0-9]+"")))"),56.11)</f>
        <v>56.11</v>
      </c>
      <c r="O84" s="226"/>
      <c r="P84" s="220"/>
      <c r="Q84" s="220"/>
      <c r="R84" s="228" t="str">
        <f t="shared" si="2"/>
        <v/>
      </c>
      <c r="S84" s="220" t="str">
        <f t="shared" si="3"/>
        <v/>
      </c>
      <c r="T84" s="232" t="str">
        <f t="shared" si="4"/>
        <v/>
      </c>
      <c r="U84" s="185"/>
      <c r="V84" s="185"/>
      <c r="W84" s="185"/>
    </row>
    <row r="85" ht="14.25" customHeight="1">
      <c r="A85" s="178"/>
      <c r="B85" s="12">
        <v>1987579.0</v>
      </c>
      <c r="C85" s="13">
        <v>46061.913831018515</v>
      </c>
      <c r="D85" s="179" t="s">
        <v>81</v>
      </c>
      <c r="E85" s="180" t="s">
        <v>659</v>
      </c>
      <c r="F85" s="181"/>
      <c r="G85" s="179" t="s">
        <v>544</v>
      </c>
      <c r="H85" s="190"/>
      <c r="I85" s="190"/>
      <c r="J85" s="187" t="s">
        <v>2019</v>
      </c>
      <c r="K85" s="187" t="s">
        <v>2078</v>
      </c>
      <c r="L85" s="270" t="str">
        <f>IFERROR(__xludf.DUMMYFUNCTION("IF(
  AND(D85=""Saída"", J85=""Sangria""),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74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85">
        <f>IFERROR(__xludf.DUMMYFUNCTION("ifna(VALUE(REGEXEXTRACT(E85,""[0-9.]+[,]+[0-9]+"")))"),5.0)</f>
        <v>5</v>
      </c>
      <c r="O85" s="229"/>
      <c r="P85" s="221"/>
      <c r="Q85" s="221"/>
      <c r="R85" s="231" t="str">
        <f t="shared" si="2"/>
        <v/>
      </c>
      <c r="S85" s="221" t="str">
        <f t="shared" si="3"/>
        <v/>
      </c>
      <c r="T85" s="232" t="str">
        <f t="shared" si="4"/>
        <v/>
      </c>
      <c r="U85" s="185"/>
      <c r="V85" s="185"/>
      <c r="W85" s="185"/>
    </row>
    <row r="86" ht="14.25" customHeight="1">
      <c r="A86" s="178"/>
      <c r="B86" s="12">
        <v>1987665.0</v>
      </c>
      <c r="C86" s="13">
        <v>46061.918854166666</v>
      </c>
      <c r="D86" s="179" t="s">
        <v>81</v>
      </c>
      <c r="E86" s="180" t="s">
        <v>3486</v>
      </c>
      <c r="F86" s="181"/>
      <c r="G86" s="179" t="s">
        <v>381</v>
      </c>
      <c r="H86" s="190"/>
      <c r="I86" s="190"/>
      <c r="J86" s="187" t="s">
        <v>2735</v>
      </c>
      <c r="K86" s="187" t="s">
        <v>6576</v>
      </c>
      <c r="L86" s="270" t="str">
        <f>IFERROR(__xludf.DUMMYFUNCTION("IF(
  AND(D86=""Saída"", J86=""Sangria""),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"),"Confirmada")</f>
        <v>Confirmada</v>
      </c>
      <c r="M86" s="272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IFERROR(__xludf.DUMMYFUNCTION("ifna(VALUE(REGEXEXTRACT(E86,""[0-9.]+[,]+[0-9]+"")))"),500.0)</f>
        <v>500</v>
      </c>
      <c r="O86" s="226"/>
      <c r="P86" s="220"/>
      <c r="Q86" s="220"/>
      <c r="R86" s="228" t="str">
        <f t="shared" si="2"/>
        <v/>
      </c>
      <c r="S86" s="220" t="str">
        <f t="shared" si="3"/>
        <v/>
      </c>
      <c r="T86" s="232" t="str">
        <f t="shared" si="4"/>
        <v/>
      </c>
      <c r="U86" s="185"/>
      <c r="V86" s="185"/>
      <c r="W86" s="185"/>
    </row>
    <row r="87" ht="14.25" customHeight="1">
      <c r="A87" s="178"/>
      <c r="B87" s="12">
        <v>1988047.0</v>
      </c>
      <c r="C87" s="13">
        <v>46061.94900462963</v>
      </c>
      <c r="D87" s="179" t="s">
        <v>81</v>
      </c>
      <c r="E87" s="180" t="s">
        <v>6985</v>
      </c>
      <c r="F87" s="181"/>
      <c r="G87" s="179" t="s">
        <v>128</v>
      </c>
      <c r="H87" s="190"/>
      <c r="I87" s="190"/>
      <c r="J87" s="187" t="s">
        <v>2735</v>
      </c>
      <c r="K87" s="187" t="s">
        <v>6576</v>
      </c>
      <c r="L87" s="270" t="str">
        <f>IFERROR(__xludf.DUMMYFUNCTION("IF(
  AND(D87=""Saída"", J87=""Sangria""),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"),"Confirmada")</f>
        <v>Confirmada</v>
      </c>
      <c r="M87" s="274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IFERROR(__xludf.DUMMYFUNCTION("ifna(VALUE(REGEXEXTRACT(E87,""[0-9.]+[,]+[0-9]+"")))"),310.0)</f>
        <v>310</v>
      </c>
      <c r="O87" s="229"/>
      <c r="P87" s="221"/>
      <c r="Q87" s="221"/>
      <c r="R87" s="231" t="str">
        <f t="shared" si="2"/>
        <v/>
      </c>
      <c r="S87" s="221" t="str">
        <f t="shared" si="3"/>
        <v/>
      </c>
      <c r="T87" s="232" t="str">
        <f t="shared" si="4"/>
        <v/>
      </c>
      <c r="U87" s="185"/>
      <c r="V87" s="185"/>
      <c r="W87" s="185"/>
    </row>
    <row r="88" ht="14.25" customHeight="1">
      <c r="A88" s="178"/>
      <c r="B88" s="12">
        <v>1988090.0</v>
      </c>
      <c r="C88" s="13">
        <v>46061.953831018516</v>
      </c>
      <c r="D88" s="179" t="s">
        <v>81</v>
      </c>
      <c r="E88" s="180" t="s">
        <v>6987</v>
      </c>
      <c r="F88" s="181"/>
      <c r="G88" s="179" t="s">
        <v>506</v>
      </c>
      <c r="H88" s="190"/>
      <c r="I88" s="190"/>
      <c r="J88" s="187" t="s">
        <v>1782</v>
      </c>
      <c r="K88" s="187"/>
      <c r="L88" s="270" t="str">
        <f>IFERROR(__xludf.DUMMYFUNCTION("IF(
  AND(D88=""Saída"", J88=""Sangria""),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2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85">
        <f>IFERROR(__xludf.DUMMYFUNCTION("ifna(VALUE(REGEXEXTRACT(E88,""[0-9.]+[,]+[0-9]+"")))"),167.0)</f>
        <v>167</v>
      </c>
      <c r="O88" s="226"/>
      <c r="P88" s="220"/>
      <c r="Q88" s="220"/>
      <c r="R88" s="228" t="str">
        <f t="shared" si="2"/>
        <v/>
      </c>
      <c r="S88" s="220" t="str">
        <f t="shared" si="3"/>
        <v/>
      </c>
      <c r="T88" s="232" t="str">
        <f t="shared" si="4"/>
        <v/>
      </c>
      <c r="U88" s="185"/>
      <c r="V88" s="185"/>
      <c r="W88" s="185"/>
    </row>
    <row r="89" ht="14.25" customHeight="1">
      <c r="A89" s="178"/>
      <c r="B89" s="12">
        <v>1988092.0</v>
      </c>
      <c r="C89" s="13">
        <v>46061.954039351855</v>
      </c>
      <c r="D89" s="179" t="s">
        <v>81</v>
      </c>
      <c r="E89" s="180" t="s">
        <v>6987</v>
      </c>
      <c r="F89" s="181"/>
      <c r="G89" s="179" t="s">
        <v>6989</v>
      </c>
      <c r="H89" s="190"/>
      <c r="I89" s="190"/>
      <c r="J89" s="187" t="s">
        <v>1782</v>
      </c>
      <c r="K89" s="187"/>
      <c r="L89" s="270" t="str">
        <f>IFERROR(__xludf.DUMMYFUNCTION("IF(
  AND(D89=""Saída"", J89=""Sangria""),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74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85">
        <f>IFERROR(__xludf.DUMMYFUNCTION("ifna(VALUE(REGEXEXTRACT(E89,""[0-9.]+[,]+[0-9]+"")))"),167.0)</f>
        <v>167</v>
      </c>
      <c r="O89" s="229"/>
      <c r="P89" s="221"/>
      <c r="Q89" s="221"/>
      <c r="R89" s="231" t="str">
        <f t="shared" si="2"/>
        <v/>
      </c>
      <c r="S89" s="221" t="str">
        <f t="shared" si="3"/>
        <v/>
      </c>
      <c r="T89" s="232" t="str">
        <f t="shared" si="4"/>
        <v/>
      </c>
      <c r="U89" s="185"/>
      <c r="V89" s="185"/>
      <c r="W89" s="185"/>
    </row>
    <row r="90" ht="14.25" customHeight="1">
      <c r="A90" s="178"/>
      <c r="B90" s="12">
        <v>1988094.0</v>
      </c>
      <c r="C90" s="13">
        <v>46061.95425925926</v>
      </c>
      <c r="D90" s="179" t="s">
        <v>81</v>
      </c>
      <c r="E90" s="180" t="s">
        <v>6803</v>
      </c>
      <c r="F90" s="181"/>
      <c r="G90" s="179" t="s">
        <v>6711</v>
      </c>
      <c r="H90" s="190"/>
      <c r="I90" s="190"/>
      <c r="J90" s="187" t="s">
        <v>1782</v>
      </c>
      <c r="K90" s="187"/>
      <c r="L90" s="270" t="str">
        <f>IFERROR(__xludf.DUMMYFUNCTION("IF(
  AND(D90=""Saída"", J90=""Sangria""),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2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85">
        <f>IFERROR(__xludf.DUMMYFUNCTION("ifna(VALUE(REGEXEXTRACT(E90,""[0-9.]+[,]+[0-9]+"")))"),102.0)</f>
        <v>102</v>
      </c>
      <c r="O90" s="226"/>
      <c r="P90" s="220"/>
      <c r="Q90" s="220"/>
      <c r="R90" s="228" t="str">
        <f t="shared" si="2"/>
        <v/>
      </c>
      <c r="S90" s="220" t="str">
        <f t="shared" si="3"/>
        <v/>
      </c>
      <c r="T90" s="232" t="str">
        <f t="shared" si="4"/>
        <v/>
      </c>
      <c r="U90" s="185"/>
      <c r="V90" s="185"/>
      <c r="W90" s="185"/>
    </row>
    <row r="91" ht="14.25" customHeight="1">
      <c r="A91" s="178"/>
      <c r="B91" s="12">
        <v>1990095.0</v>
      </c>
      <c r="C91" s="13">
        <v>46062.947118055556</v>
      </c>
      <c r="D91" s="179" t="s">
        <v>81</v>
      </c>
      <c r="E91" s="180" t="s">
        <v>6503</v>
      </c>
      <c r="F91" s="181"/>
      <c r="G91" s="179" t="s">
        <v>6779</v>
      </c>
      <c r="H91" s="190"/>
      <c r="I91" s="190"/>
      <c r="J91" s="187" t="s">
        <v>2019</v>
      </c>
      <c r="K91" s="187" t="s">
        <v>6745</v>
      </c>
      <c r="L91" s="270" t="str">
        <f>IFERROR(__xludf.DUMMYFUNCTION("IF(
  AND(D91=""Saída"", J91=""Sangria""),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74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IFERROR(__xludf.DUMMYFUNCTION("ifna(VALUE(REGEXEXTRACT(E91,""[0-9.]+[,]+[0-9]+"")))"),16.61)</f>
        <v>16.61</v>
      </c>
      <c r="O91" s="229"/>
      <c r="P91" s="221"/>
      <c r="Q91" s="221"/>
      <c r="R91" s="231" t="str">
        <f t="shared" si="2"/>
        <v/>
      </c>
      <c r="S91" s="221" t="str">
        <f t="shared" si="3"/>
        <v/>
      </c>
      <c r="T91" s="232" t="str">
        <f t="shared" si="4"/>
        <v/>
      </c>
      <c r="U91" s="185"/>
      <c r="V91" s="185"/>
      <c r="W91" s="185"/>
    </row>
    <row r="92" ht="14.25" customHeight="1">
      <c r="A92" s="178"/>
      <c r="B92" s="12">
        <v>1990097.0</v>
      </c>
      <c r="C92" s="13">
        <v>46062.947430555556</v>
      </c>
      <c r="D92" s="179" t="s">
        <v>81</v>
      </c>
      <c r="E92" s="180" t="s">
        <v>979</v>
      </c>
      <c r="F92" s="181"/>
      <c r="G92" s="179" t="s">
        <v>544</v>
      </c>
      <c r="H92" s="190"/>
      <c r="I92" s="190"/>
      <c r="J92" s="187" t="s">
        <v>2019</v>
      </c>
      <c r="K92" s="187" t="s">
        <v>2078</v>
      </c>
      <c r="L92" s="270" t="str">
        <f>IFERROR(__xludf.DUMMYFUNCTION("IF(
  AND(D92=""Saída"", J92=""Sangria""),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2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IFERROR(__xludf.DUMMYFUNCTION("ifna(VALUE(REGEXEXTRACT(E92,""[0-9.]+[,]+[0-9]+"")))"),3.0)</f>
        <v>3</v>
      </c>
      <c r="O92" s="226"/>
      <c r="P92" s="220"/>
      <c r="Q92" s="220"/>
      <c r="R92" s="228" t="str">
        <f t="shared" si="2"/>
        <v/>
      </c>
      <c r="S92" s="220" t="str">
        <f t="shared" si="3"/>
        <v/>
      </c>
      <c r="T92" s="232" t="str">
        <f t="shared" si="4"/>
        <v/>
      </c>
      <c r="U92" s="185"/>
      <c r="V92" s="185"/>
      <c r="W92" s="185"/>
    </row>
    <row r="93" ht="14.25" customHeight="1">
      <c r="A93" s="178"/>
      <c r="B93" s="12">
        <v>1990107.0</v>
      </c>
      <c r="C93" s="13">
        <v>46062.948854166665</v>
      </c>
      <c r="D93" s="179" t="s">
        <v>81</v>
      </c>
      <c r="E93" s="180" t="s">
        <v>6994</v>
      </c>
      <c r="F93" s="181"/>
      <c r="G93" s="179" t="s">
        <v>381</v>
      </c>
      <c r="H93" s="190"/>
      <c r="I93" s="190"/>
      <c r="J93" s="187" t="s">
        <v>2735</v>
      </c>
      <c r="K93" s="187" t="s">
        <v>6576</v>
      </c>
      <c r="L93" s="270" t="str">
        <f>IFERROR(__xludf.DUMMYFUNCTION("IF(
  AND(D93=""Saída"", J93=""Sangria""),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"),"Confirmada")</f>
        <v>Confirmada</v>
      </c>
      <c r="M93" s="274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IFERROR(__xludf.DUMMYFUNCTION("ifna(VALUE(REGEXEXTRACT(E93,""[0-9.]+[,]+[0-9]+"")))"),990.0)</f>
        <v>990</v>
      </c>
      <c r="O93" s="229"/>
      <c r="P93" s="221"/>
      <c r="Q93" s="221"/>
      <c r="R93" s="231" t="str">
        <f t="shared" si="2"/>
        <v/>
      </c>
      <c r="S93" s="221" t="str">
        <f t="shared" si="3"/>
        <v/>
      </c>
      <c r="T93" s="232" t="str">
        <f t="shared" si="4"/>
        <v/>
      </c>
      <c r="U93" s="185"/>
      <c r="V93" s="185"/>
      <c r="W93" s="185"/>
    </row>
    <row r="94" ht="14.25" customHeight="1">
      <c r="A94" s="178"/>
      <c r="B94" s="12">
        <v>1990114.0</v>
      </c>
      <c r="C94" s="13">
        <v>46062.949641203704</v>
      </c>
      <c r="D94" s="179" t="s">
        <v>81</v>
      </c>
      <c r="E94" s="180" t="s">
        <v>6995</v>
      </c>
      <c r="F94" s="188"/>
      <c r="G94" s="179" t="s">
        <v>460</v>
      </c>
      <c r="H94" s="190"/>
      <c r="I94" s="190"/>
      <c r="J94" s="187" t="s">
        <v>3151</v>
      </c>
      <c r="K94" s="187"/>
      <c r="L94" s="270" t="str">
        <f>IFERROR(__xludf.DUMMYFUNCTION("IF(
  AND(D94=""Saída"", J94=""Sangria""),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6" t="str">
        <f>IFERROR(__xludf.DUMMYFUNCTION("IF(J94=""Compra de Mercadorias"",
   IF(
      COUNTIF(ARRAYFORMULA(TRIM(CLEAN(TO_TEXT(Notas!BS:BS)))), TRIM(CLEAN(TO_TEXT(B94)))) &gt; 0,
      ""Encontrada"",
      ""Não Encontrada""
   ),
"""")"),"Não Encontrada")</f>
        <v>Não Encontrada</v>
      </c>
      <c r="N94" s="185">
        <f>IFERROR(__xludf.DUMMYFUNCTION("ifna(VALUE(REGEXEXTRACT(E94,""[0-9.]+[,]+[0-9]+"")))"),29.67)</f>
        <v>29.67</v>
      </c>
      <c r="O94" s="226"/>
      <c r="P94" s="220"/>
      <c r="Q94" s="220"/>
      <c r="R94" s="228" t="str">
        <f t="shared" si="2"/>
        <v/>
      </c>
      <c r="S94" s="220" t="str">
        <f t="shared" si="3"/>
        <v/>
      </c>
      <c r="T94" s="232" t="str">
        <f t="shared" si="4"/>
        <v/>
      </c>
      <c r="U94" s="185"/>
      <c r="V94" s="185"/>
      <c r="W94" s="185"/>
    </row>
    <row r="95" ht="14.25" customHeight="1">
      <c r="A95" s="178"/>
      <c r="B95" s="12">
        <v>1990374.0</v>
      </c>
      <c r="C95" s="13">
        <v>46063.536203703705</v>
      </c>
      <c r="D95" s="179" t="s">
        <v>81</v>
      </c>
      <c r="E95" s="180" t="s">
        <v>6998</v>
      </c>
      <c r="F95" s="181"/>
      <c r="G95" s="179" t="s">
        <v>6999</v>
      </c>
      <c r="H95" s="190"/>
      <c r="I95" s="190"/>
      <c r="J95" s="187" t="s">
        <v>2438</v>
      </c>
      <c r="K95" s="187"/>
      <c r="L95" s="270" t="str">
        <f>IFERROR(__xludf.DUMMYFUNCTION("IF(
  AND(D95=""Saída"", J95=""Sangria""),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74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IFERROR(__xludf.DUMMYFUNCTION("ifna(VALUE(REGEXEXTRACT(E95,""[0-9.]+[,]+[0-9]+"")))"),146.18)</f>
        <v>146.18</v>
      </c>
      <c r="O95" s="229"/>
      <c r="P95" s="221"/>
      <c r="Q95" s="221"/>
      <c r="R95" s="231" t="str">
        <f t="shared" si="2"/>
        <v/>
      </c>
      <c r="S95" s="221" t="str">
        <f t="shared" si="3"/>
        <v/>
      </c>
      <c r="T95" s="232" t="str">
        <f t="shared" si="4"/>
        <v/>
      </c>
      <c r="U95" s="185"/>
      <c r="V95" s="185"/>
      <c r="W95" s="185"/>
    </row>
    <row r="96" ht="14.25" customHeight="1">
      <c r="A96" s="178"/>
      <c r="B96" s="12">
        <v>1991952.0</v>
      </c>
      <c r="C96" s="13">
        <v>46063.95680555556</v>
      </c>
      <c r="D96" s="179" t="s">
        <v>152</v>
      </c>
      <c r="E96" s="180" t="s">
        <v>416</v>
      </c>
      <c r="F96" s="181"/>
      <c r="G96" s="179" t="s">
        <v>158</v>
      </c>
      <c r="H96" s="190"/>
      <c r="I96" s="190"/>
      <c r="J96" s="187" t="s">
        <v>5195</v>
      </c>
      <c r="K96" s="187"/>
      <c r="L96" s="270" t="str">
        <f>IFERROR(__xludf.DUMMYFUNCTION("IF(
  AND(D96=""Saída"", J96=""Sangria""),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2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IFERROR(__xludf.DUMMYFUNCTION("ifna(VALUE(REGEXEXTRACT(E96,""[0-9.]+[,]+[0-9]+"")))"),100.0)</f>
        <v>100</v>
      </c>
      <c r="O96" s="226"/>
      <c r="P96" s="220"/>
      <c r="Q96" s="220"/>
      <c r="R96" s="228" t="str">
        <f t="shared" si="2"/>
        <v/>
      </c>
      <c r="S96" s="220" t="str">
        <f t="shared" si="3"/>
        <v/>
      </c>
      <c r="T96" s="232" t="str">
        <f t="shared" si="4"/>
        <v/>
      </c>
      <c r="U96" s="185"/>
      <c r="V96" s="185"/>
      <c r="W96" s="185"/>
    </row>
    <row r="97" ht="14.25" customHeight="1">
      <c r="A97" s="178"/>
      <c r="B97" s="12">
        <v>1991958.0</v>
      </c>
      <c r="C97" s="13">
        <v>46063.957974537036</v>
      </c>
      <c r="D97" s="179" t="s">
        <v>81</v>
      </c>
      <c r="E97" s="180" t="s">
        <v>910</v>
      </c>
      <c r="F97" s="181"/>
      <c r="G97" s="179" t="s">
        <v>128</v>
      </c>
      <c r="H97" s="190"/>
      <c r="I97" s="190"/>
      <c r="J97" s="187" t="s">
        <v>2735</v>
      </c>
      <c r="K97" s="187" t="s">
        <v>6576</v>
      </c>
      <c r="L97" s="270" t="str">
        <f>IFERROR(__xludf.DUMMYFUNCTION("IF(
  AND(D97=""Saída"", J97=""Sangria""),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"),"Confirmada")</f>
        <v>Confirmada</v>
      </c>
      <c r="M97" s="274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IFERROR(__xludf.DUMMYFUNCTION("ifna(VALUE(REGEXEXTRACT(E97,""[0-9.]+[,]+[0-9]+"")))"),1000.0)</f>
        <v>1000</v>
      </c>
      <c r="O97" s="229"/>
      <c r="P97" s="221"/>
      <c r="Q97" s="221"/>
      <c r="R97" s="231" t="str">
        <f t="shared" si="2"/>
        <v/>
      </c>
      <c r="S97" s="221" t="str">
        <f t="shared" si="3"/>
        <v/>
      </c>
      <c r="T97" s="232" t="str">
        <f t="shared" si="4"/>
        <v/>
      </c>
      <c r="U97" s="185"/>
      <c r="V97" s="185"/>
      <c r="W97" s="185"/>
    </row>
    <row r="98" ht="14.25" customHeight="1">
      <c r="A98" s="178"/>
      <c r="B98" s="12">
        <v>1991969.0</v>
      </c>
      <c r="C98" s="13">
        <v>46063.95905092593</v>
      </c>
      <c r="D98" s="179" t="s">
        <v>81</v>
      </c>
      <c r="E98" s="180" t="s">
        <v>416</v>
      </c>
      <c r="F98" s="181"/>
      <c r="G98" s="179" t="s">
        <v>6558</v>
      </c>
      <c r="H98" s="190"/>
      <c r="I98" s="190"/>
      <c r="J98" s="187" t="s">
        <v>3151</v>
      </c>
      <c r="K98" s="187"/>
      <c r="L98" s="270" t="str">
        <f>IFERROR(__xludf.DUMMYFUNCTION("IF(
  AND(D98=""Saída"", J98=""Sangria""),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2" t="str">
        <f>IFERROR(__xludf.DUMMYFUNCTION("IF(J98=""Compra de Mercadorias"",
   IF(
      COUNTIF(ARRAYFORMULA(TRIM(CLEAN(TO_TEXT(Notas!BS:BS)))), TRIM(CLEAN(TO_TEXT(B98)))) &gt; 0,
      ""Encontrada"",
      ""Não Encontrada""
   ),
"""")"),"Não Encontrada")</f>
        <v>Não Encontrada</v>
      </c>
      <c r="N98" s="185">
        <f>IFERROR(__xludf.DUMMYFUNCTION("ifna(VALUE(REGEXEXTRACT(E98,""[0-9.]+[,]+[0-9]+"")))"),100.0)</f>
        <v>100</v>
      </c>
      <c r="O98" s="226"/>
      <c r="P98" s="220"/>
      <c r="Q98" s="220"/>
      <c r="R98" s="228" t="str">
        <f t="shared" si="2"/>
        <v/>
      </c>
      <c r="S98" s="220" t="str">
        <f t="shared" si="3"/>
        <v/>
      </c>
      <c r="T98" s="232" t="str">
        <f t="shared" si="4"/>
        <v/>
      </c>
      <c r="U98" s="185"/>
      <c r="V98" s="185"/>
      <c r="W98" s="185"/>
    </row>
    <row r="99" ht="14.25" customHeight="1">
      <c r="A99" s="178"/>
      <c r="B99" s="12">
        <v>1991973.0</v>
      </c>
      <c r="C99" s="13">
        <v>46063.95925925926</v>
      </c>
      <c r="D99" s="179" t="s">
        <v>81</v>
      </c>
      <c r="E99" s="180" t="s">
        <v>6560</v>
      </c>
      <c r="F99" s="181"/>
      <c r="G99" s="179" t="s">
        <v>6558</v>
      </c>
      <c r="H99" s="190"/>
      <c r="I99" s="190"/>
      <c r="J99" s="187" t="s">
        <v>3151</v>
      </c>
      <c r="K99" s="187"/>
      <c r="L99" s="270" t="str">
        <f>IFERROR(__xludf.DUMMYFUNCTION("IF(
  AND(D99=""Saída"", J99=""Sangria""),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74" t="str">
        <f>IFERROR(__xludf.DUMMYFUNCTION("IF(J99=""Compra de Mercadorias"",
   IF(
      COUNTIF(ARRAYFORMULA(TRIM(CLEAN(TO_TEXT(Notas!BS:BS)))), TRIM(CLEAN(TO_TEXT(B99)))) &gt; 0,
      ""Encontrada"",
      ""Não Encontrada""
   ),
"""")"),"Não Encontrada")</f>
        <v>Não Encontrada</v>
      </c>
      <c r="N99" s="185">
        <f>IFERROR(__xludf.DUMMYFUNCTION("ifna(VALUE(REGEXEXTRACT(E99,""[0-9.]+[,]+[0-9]+"")))"),14.0)</f>
        <v>14</v>
      </c>
      <c r="O99" s="235"/>
      <c r="P99" s="236"/>
      <c r="Q99" s="236"/>
      <c r="R99" s="237" t="str">
        <f t="shared" si="2"/>
        <v/>
      </c>
      <c r="S99" s="236" t="str">
        <f t="shared" si="3"/>
        <v/>
      </c>
      <c r="T99" s="232" t="str">
        <f t="shared" si="4"/>
        <v/>
      </c>
      <c r="U99" s="185"/>
      <c r="V99" s="185"/>
      <c r="W99" s="185"/>
    </row>
    <row r="100" ht="14.25" customHeight="1">
      <c r="A100" s="178"/>
      <c r="B100" s="12">
        <v>1991976.0</v>
      </c>
      <c r="C100" s="13">
        <v>46063.960023148145</v>
      </c>
      <c r="D100" s="179" t="s">
        <v>81</v>
      </c>
      <c r="E100" s="180" t="s">
        <v>7008</v>
      </c>
      <c r="F100" s="181"/>
      <c r="G100" s="179" t="s">
        <v>5184</v>
      </c>
      <c r="H100" s="190"/>
      <c r="I100" s="190"/>
      <c r="J100" s="187" t="s">
        <v>3151</v>
      </c>
      <c r="K100" s="187"/>
      <c r="L100" s="270" t="str">
        <f>IFERROR(__xludf.DUMMYFUNCTION("IF(
  AND(D100=""Saída"", J100=""Sangria""),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2" t="str">
        <f>IFERROR(__xludf.DUMMYFUNCTION("IF(J100=""Compra de Mercadorias"",
   IF(
      COUNTIF(ARRAYFORMULA(TRIM(CLEAN(TO_TEXT(Notas!BS:BS)))), TRIM(CLEAN(TO_TEXT(B100)))) &gt; 0,
      ""Encontrada"",
      ""Não Encontrada""
   ),
"""")"),"Não Encontrada")</f>
        <v>Não Encontrada</v>
      </c>
      <c r="N100" s="185">
        <f>IFERROR(__xludf.DUMMYFUNCTION("ifna(VALUE(REGEXEXTRACT(E100,""[0-9.]+[,]+[0-9]+"")))"),4.79)</f>
        <v>4.79</v>
      </c>
      <c r="O100" s="235"/>
      <c r="P100" s="236"/>
      <c r="Q100" s="236"/>
      <c r="R100" s="237" t="str">
        <f t="shared" si="2"/>
        <v/>
      </c>
      <c r="S100" s="236" t="str">
        <f t="shared" si="3"/>
        <v/>
      </c>
      <c r="T100" s="232" t="str">
        <f t="shared" si="4"/>
        <v/>
      </c>
      <c r="U100" s="185"/>
      <c r="V100" s="185"/>
      <c r="W100" s="185"/>
    </row>
    <row r="101" ht="14.25" customHeight="1">
      <c r="A101" s="178"/>
      <c r="B101" s="12">
        <v>1993501.0</v>
      </c>
      <c r="C101" s="13">
        <v>46064.90726851852</v>
      </c>
      <c r="D101" s="179" t="s">
        <v>81</v>
      </c>
      <c r="E101" s="180" t="s">
        <v>7012</v>
      </c>
      <c r="F101" s="181"/>
      <c r="G101" s="179" t="s">
        <v>6372</v>
      </c>
      <c r="H101" s="190"/>
      <c r="I101" s="190"/>
      <c r="J101" s="187" t="s">
        <v>3151</v>
      </c>
      <c r="K101" s="187"/>
      <c r="L101" s="270" t="str">
        <f>IFERROR(__xludf.DUMMYFUNCTION("IF(
  AND(D101=""Saída"", J101=""Sangria""),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76" t="str">
        <f>IFERROR(__xludf.DUMMYFUNCTION("IF(J101=""Compra de Mercadorias"",
   IF(
      COUNTIF(ARRAYFORMULA(TRIM(CLEAN(TO_TEXT(Notas!BS:BS)))), TRIM(CLEAN(TO_TEXT(B101)))) &gt; 0,
      ""Encontrada"",
      ""Não Encontrada""
   ),
"""")"),"Não Encontrada")</f>
        <v>Não Encontrada</v>
      </c>
      <c r="N101" s="185">
        <f>IFERROR(__xludf.DUMMYFUNCTION("ifna(VALUE(REGEXEXTRACT(E101,""[0-9.]+[,]+[0-9]+"")))"),40.75)</f>
        <v>40.75</v>
      </c>
      <c r="O101" s="235"/>
      <c r="P101" s="236"/>
      <c r="Q101" s="236"/>
      <c r="R101" s="237" t="str">
        <f t="shared" si="2"/>
        <v/>
      </c>
      <c r="S101" s="236" t="str">
        <f t="shared" si="3"/>
        <v/>
      </c>
      <c r="T101" s="232" t="str">
        <f t="shared" si="4"/>
        <v/>
      </c>
      <c r="U101" s="185"/>
      <c r="V101" s="185"/>
      <c r="W101" s="185"/>
    </row>
    <row r="102" ht="14.25" customHeight="1">
      <c r="A102" s="178"/>
      <c r="B102" s="12">
        <v>1993882.0</v>
      </c>
      <c r="C102" s="13">
        <v>46064.950057870374</v>
      </c>
      <c r="D102" s="179" t="s">
        <v>81</v>
      </c>
      <c r="E102" s="180" t="s">
        <v>7015</v>
      </c>
      <c r="F102" s="188"/>
      <c r="G102" s="179" t="s">
        <v>381</v>
      </c>
      <c r="H102" s="190"/>
      <c r="I102" s="190"/>
      <c r="J102" s="187" t="s">
        <v>2735</v>
      </c>
      <c r="K102" s="187" t="s">
        <v>6576</v>
      </c>
      <c r="L102" s="270" t="str">
        <f>IFERROR(__xludf.DUMMYFUNCTION("IF(
  AND(D102=""Saída"", J102=""Sangria""),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"),"Confirmada")</f>
        <v>Confirmada</v>
      </c>
      <c r="M102" s="272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IFERROR(__xludf.DUMMYFUNCTION("ifna(VALUE(REGEXEXTRACT(E102,""[0-9.]+[,]+[0-9]+"")))"),1570.0)</f>
        <v>1570</v>
      </c>
      <c r="O102" s="235"/>
      <c r="P102" s="236"/>
      <c r="Q102" s="236"/>
      <c r="R102" s="237" t="str">
        <f t="shared" si="2"/>
        <v/>
      </c>
      <c r="S102" s="236" t="str">
        <f t="shared" si="3"/>
        <v/>
      </c>
      <c r="T102" s="232" t="str">
        <f t="shared" si="4"/>
        <v/>
      </c>
      <c r="U102" s="185"/>
      <c r="V102" s="185"/>
      <c r="W102" s="185"/>
    </row>
    <row r="103" ht="14.25" customHeight="1">
      <c r="A103" s="178"/>
      <c r="B103" s="12">
        <v>1995490.0</v>
      </c>
      <c r="C103" s="13">
        <v>46065.91153935185</v>
      </c>
      <c r="D103" s="179" t="s">
        <v>81</v>
      </c>
      <c r="E103" s="180" t="s">
        <v>979</v>
      </c>
      <c r="F103" s="181"/>
      <c r="G103" s="179" t="s">
        <v>568</v>
      </c>
      <c r="H103" s="190"/>
      <c r="I103" s="190"/>
      <c r="J103" s="187" t="s">
        <v>2019</v>
      </c>
      <c r="K103" s="187" t="s">
        <v>2078</v>
      </c>
      <c r="L103" s="270" t="str">
        <f>IFERROR(__xludf.DUMMYFUNCTION("IF(
  AND(D103=""Saída"", J103=""Sangria""),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74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85">
        <f>IFERROR(__xludf.DUMMYFUNCTION("ifna(VALUE(REGEXEXTRACT(E103,""[0-9.]+[,]+[0-9]+"")))"),3.0)</f>
        <v>3</v>
      </c>
      <c r="O103" s="235"/>
      <c r="P103" s="236"/>
      <c r="Q103" s="236"/>
      <c r="R103" s="237" t="str">
        <f t="shared" si="2"/>
        <v/>
      </c>
      <c r="S103" s="236" t="str">
        <f t="shared" si="3"/>
        <v/>
      </c>
      <c r="T103" s="232" t="str">
        <f t="shared" si="4"/>
        <v/>
      </c>
      <c r="U103" s="185"/>
      <c r="V103" s="185"/>
      <c r="W103" s="185"/>
    </row>
    <row r="104" ht="14.25" customHeight="1">
      <c r="A104" s="178"/>
      <c r="B104" s="12">
        <v>1995491.0</v>
      </c>
      <c r="C104" s="13">
        <v>46065.91201388889</v>
      </c>
      <c r="D104" s="179" t="s">
        <v>81</v>
      </c>
      <c r="E104" s="180" t="s">
        <v>695</v>
      </c>
      <c r="F104" s="181"/>
      <c r="G104" s="179" t="s">
        <v>6838</v>
      </c>
      <c r="H104" s="190"/>
      <c r="I104" s="190"/>
      <c r="J104" s="187" t="s">
        <v>2019</v>
      </c>
      <c r="K104" s="187" t="s">
        <v>6745</v>
      </c>
      <c r="L104" s="270" t="str">
        <f>IFERROR(__xludf.DUMMYFUNCTION("IF(
  AND(D104=""Saída"", J104=""Sangria""),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2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85">
        <f>IFERROR(__xludf.DUMMYFUNCTION("ifna(VALUE(REGEXEXTRACT(E104,""[0-9.]+[,]+[0-9]+"")))"),16.48)</f>
        <v>16.48</v>
      </c>
      <c r="O104" s="239"/>
      <c r="P104" s="240"/>
      <c r="Q104" s="240"/>
      <c r="R104" s="241" t="str">
        <f t="shared" si="2"/>
        <v/>
      </c>
      <c r="S104" s="240" t="str">
        <f t="shared" si="3"/>
        <v/>
      </c>
      <c r="T104" s="242" t="str">
        <f t="shared" si="4"/>
        <v/>
      </c>
      <c r="U104" s="185"/>
      <c r="V104" s="185"/>
      <c r="W104" s="185"/>
    </row>
    <row r="105" ht="14.25" customHeight="1">
      <c r="A105" s="178"/>
      <c r="B105" s="12">
        <v>1995937.0</v>
      </c>
      <c r="C105" s="13">
        <v>46065.972025462965</v>
      </c>
      <c r="D105" s="179" t="s">
        <v>81</v>
      </c>
      <c r="E105" s="180" t="s">
        <v>378</v>
      </c>
      <c r="F105" s="181"/>
      <c r="G105" s="179" t="s">
        <v>128</v>
      </c>
      <c r="H105" s="190"/>
      <c r="I105" s="190"/>
      <c r="J105" s="187" t="s">
        <v>2735</v>
      </c>
      <c r="K105" s="187" t="s">
        <v>6576</v>
      </c>
      <c r="L105" s="270" t="str">
        <f>IFERROR(__xludf.DUMMYFUNCTION("IF(
  AND(D105=""Saída"", J105=""Sangria""),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"),"Confirmada")</f>
        <v>Confirmada</v>
      </c>
      <c r="M105" s="273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IFERROR(__xludf.DUMMYFUNCTION("ifna(VALUE(REGEXEXTRACT(E105,""[0-9.]+[,]+[0-9]+"")))"),1350.0)</f>
        <v>1350</v>
      </c>
      <c r="O105" s="25"/>
      <c r="P105" s="25"/>
      <c r="Q105" s="25"/>
      <c r="R105" s="25"/>
      <c r="S105" s="25"/>
      <c r="T105" s="25"/>
      <c r="U105" s="185"/>
      <c r="V105" s="185"/>
      <c r="W105" s="185"/>
    </row>
    <row r="106" ht="14.25" customHeight="1">
      <c r="A106" s="178"/>
      <c r="B106" s="12">
        <v>1995938.0</v>
      </c>
      <c r="C106" s="13">
        <v>46065.97247685185</v>
      </c>
      <c r="D106" s="179" t="s">
        <v>81</v>
      </c>
      <c r="E106" s="180" t="s">
        <v>5300</v>
      </c>
      <c r="F106" s="188"/>
      <c r="G106" s="179" t="s">
        <v>506</v>
      </c>
      <c r="H106" s="190"/>
      <c r="I106" s="190"/>
      <c r="J106" s="187" t="s">
        <v>1782</v>
      </c>
      <c r="K106" s="187"/>
      <c r="L106" s="270" t="str">
        <f>IFERROR(__xludf.DUMMYFUNCTION("IF(
  AND(D106=""Saída"", J106=""Sangria""),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2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IFERROR(__xludf.DUMMYFUNCTION("ifna(VALUE(REGEXEXTRACT(E106,""[0-9.]+[,]+[0-9]+"")))"),52.0)</f>
        <v>52</v>
      </c>
      <c r="O106" s="289" t="s">
        <v>6698</v>
      </c>
      <c r="W106" s="185"/>
    </row>
    <row r="107" ht="14.25" customHeight="1">
      <c r="A107" s="178"/>
      <c r="B107" s="12">
        <v>1996566.0</v>
      </c>
      <c r="C107" s="13">
        <v>46066.67170138889</v>
      </c>
      <c r="D107" s="179" t="s">
        <v>81</v>
      </c>
      <c r="E107" s="180" t="s">
        <v>979</v>
      </c>
      <c r="F107" s="181"/>
      <c r="G107" s="179" t="s">
        <v>585</v>
      </c>
      <c r="H107" s="190"/>
      <c r="I107" s="190"/>
      <c r="J107" s="187" t="s">
        <v>2019</v>
      </c>
      <c r="K107" s="187" t="s">
        <v>2078</v>
      </c>
      <c r="L107" s="270" t="str">
        <f>IFERROR(__xludf.DUMMYFUNCTION("IF(
  AND(D107=""Saída"", J107=""Sangria""),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74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IFERROR(__xludf.DUMMYFUNCTION("ifna(VALUE(REGEXEXTRACT(E107,""[0-9.]+[,]+[0-9]+"")))"),3.0)</f>
        <v>3</v>
      </c>
      <c r="O107" s="290" t="str">
        <f>IFERROR(__xludf.DUMMYFUNCTION("QUERY(B28:M507,""Select B,C,D,E,G,H,I,M where M = 'Não Encontrada'"",1)"),"ID")</f>
        <v>ID</v>
      </c>
      <c r="P107" s="290" t="str">
        <f>IFERROR(__xludf.DUMMYFUNCTION("""COMPUTED_VALUE"""),"Data")</f>
        <v>Data</v>
      </c>
      <c r="Q107" s="290" t="str">
        <f>IFERROR(__xludf.DUMMYFUNCTION("""COMPUTED_VALUE"""),"Entrada/Saída")</f>
        <v>Entrada/Saída</v>
      </c>
      <c r="R107" s="291" t="str">
        <f>IFERROR(__xludf.DUMMYFUNCTION("""COMPUTED_VALUE"""),"Valor ")</f>
        <v>Valor </v>
      </c>
      <c r="S107" s="290" t="str">
        <f>IFERROR(__xludf.DUMMYFUNCTION("""COMPUTED_VALUE"""),"Descrição")</f>
        <v>Descrição</v>
      </c>
      <c r="V107" s="292" t="str">
        <f>IFERROR(__xludf.DUMMYFUNCTION("""COMPUTED_VALUE"""),"Nota")</f>
        <v>Nota</v>
      </c>
      <c r="W107" s="185"/>
    </row>
    <row r="108" ht="14.25" customHeight="1">
      <c r="A108" s="178"/>
      <c r="B108" s="12">
        <v>1996628.0</v>
      </c>
      <c r="C108" s="13">
        <v>46066.68707175926</v>
      </c>
      <c r="D108" s="179" t="s">
        <v>81</v>
      </c>
      <c r="E108" s="180" t="s">
        <v>7029</v>
      </c>
      <c r="F108" s="181"/>
      <c r="G108" s="179" t="s">
        <v>7030</v>
      </c>
      <c r="H108" s="190"/>
      <c r="I108" s="190"/>
      <c r="J108" s="187" t="s">
        <v>3151</v>
      </c>
      <c r="K108" s="187"/>
      <c r="L108" s="270" t="str">
        <f>IFERROR(__xludf.DUMMYFUNCTION("IF(
  AND(D108=""Saída"", J108=""Sangria""),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2" t="str">
        <f>IFERROR(__xludf.DUMMYFUNCTION("IF(J108=""Compra de Mercadorias"",
   IF(
      COUNTIF(ARRAYFORMULA(TRIM(CLEAN(TO_TEXT(Notas!BS:BS)))), TRIM(CLEAN(TO_TEXT(B108)))) &gt; 0,
      ""Encontrada"",
      ""Não Encontrada""
   ),
"""")"),"Não Encontrada")</f>
        <v>Não Encontrada</v>
      </c>
      <c r="N108" s="185">
        <f>IFERROR(__xludf.DUMMYFUNCTION("ifna(VALUE(REGEXEXTRACT(E108,""[0-9.]+[,]+[0-9]+"")))"),29.8)</f>
        <v>29.8</v>
      </c>
      <c r="O108" s="293">
        <f>IFERROR(__xludf.DUMMYFUNCTION("""COMPUTED_VALUE"""),1961578.0)</f>
        <v>1961578</v>
      </c>
      <c r="P108" s="294">
        <f>IFERROR(__xludf.DUMMYFUNCTION("""COMPUTED_VALUE"""),46050.50901620371)</f>
        <v>46050.50902</v>
      </c>
      <c r="Q108" s="293" t="str">
        <f>IFERROR(__xludf.DUMMYFUNCTION("""COMPUTED_VALUE"""),"Saída")</f>
        <v>Saída</v>
      </c>
      <c r="R108" s="295" t="str">
        <f>IFERROR(__xludf.DUMMYFUNCTION("""COMPUTED_VALUE"""),"R$ 25,80")</f>
        <v>R$ 25,80</v>
      </c>
      <c r="S108" s="293" t="str">
        <f>IFERROR(__xludf.DUMMYFUNCTION("""COMPUTED_VALUE"""),"EMBALAGENS REF 27/01")</f>
        <v>EMBALAGENS REF 27/01</v>
      </c>
      <c r="V108" s="296" t="str">
        <f>IFERROR(__xludf.DUMMYFUNCTION("""COMPUTED_VALUE"""),"Não Encontrada")</f>
        <v>Não Encontrada</v>
      </c>
      <c r="W108" s="185"/>
    </row>
    <row r="109" ht="14.25" customHeight="1">
      <c r="A109" s="178"/>
      <c r="B109" s="12">
        <v>1996630.0</v>
      </c>
      <c r="C109" s="13">
        <v>46066.6872337963</v>
      </c>
      <c r="D109" s="179" t="s">
        <v>81</v>
      </c>
      <c r="E109" s="180" t="s">
        <v>7031</v>
      </c>
      <c r="F109" s="181"/>
      <c r="G109" s="179" t="s">
        <v>460</v>
      </c>
      <c r="H109" s="190"/>
      <c r="I109" s="190"/>
      <c r="J109" s="187" t="s">
        <v>3151</v>
      </c>
      <c r="K109" s="187"/>
      <c r="L109" s="270" t="str">
        <f>IFERROR(__xludf.DUMMYFUNCTION("IF(
  AND(D109=""Saída"", J109=""Sangria""),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74" t="str">
        <f>IFERROR(__xludf.DUMMYFUNCTION("IF(J109=""Compra de Mercadorias"",
   IF(
      COUNTIF(ARRAYFORMULA(TRIM(CLEAN(TO_TEXT(Notas!BS:BS)))), TRIM(CLEAN(TO_TEXT(B109)))) &gt; 0,
      ""Encontrada"",
      ""Não Encontrada""
   ),
"""")"),"Não Encontrada")</f>
        <v>Não Encontrada</v>
      </c>
      <c r="N109" s="185">
        <f>IFERROR(__xludf.DUMMYFUNCTION("ifna(VALUE(REGEXEXTRACT(E109,""[0-9.]+[,]+[0-9]+"")))"),174.19)</f>
        <v>174.19</v>
      </c>
      <c r="O109" s="297">
        <f>IFERROR(__xludf.DUMMYFUNCTION("""COMPUTED_VALUE"""),1961580.0)</f>
        <v>1961580</v>
      </c>
      <c r="P109" s="298">
        <f>IFERROR(__xludf.DUMMYFUNCTION("""COMPUTED_VALUE"""),46050.50901620371)</f>
        <v>46050.50902</v>
      </c>
      <c r="Q109" s="297" t="str">
        <f>IFERROR(__xludf.DUMMYFUNCTION("""COMPUTED_VALUE"""),"Saída")</f>
        <v>Saída</v>
      </c>
      <c r="R109" s="299" t="str">
        <f>IFERROR(__xludf.DUMMYFUNCTION("""COMPUTED_VALUE"""),"R$ 89,37")</f>
        <v>R$ 89,37</v>
      </c>
      <c r="S109" s="297" t="str">
        <f>IFERROR(__xludf.DUMMYFUNCTION("""COMPUTED_VALUE"""),"CAFE FUNCIONARIOS REF 27/01")</f>
        <v>CAFE FUNCIONARIOS REF 27/01</v>
      </c>
      <c r="V109" s="300" t="str">
        <f>IFERROR(__xludf.DUMMYFUNCTION("""COMPUTED_VALUE"""),"Não Encontrada")</f>
        <v>Não Encontrada</v>
      </c>
      <c r="W109" s="185"/>
    </row>
    <row r="110" ht="14.25" customHeight="1">
      <c r="A110" s="178"/>
      <c r="B110" s="12">
        <v>1996631.0</v>
      </c>
      <c r="C110" s="13">
        <v>46066.68739583333</v>
      </c>
      <c r="D110" s="179" t="s">
        <v>81</v>
      </c>
      <c r="E110" s="180" t="s">
        <v>834</v>
      </c>
      <c r="F110" s="188"/>
      <c r="G110" s="179" t="s">
        <v>5356</v>
      </c>
      <c r="H110" s="190"/>
      <c r="I110" s="190"/>
      <c r="J110" s="187" t="s">
        <v>3375</v>
      </c>
      <c r="K110" s="187"/>
      <c r="L110" s="270" t="str">
        <f>IFERROR(__xludf.DUMMYFUNCTION("IF(
  AND(D110=""Saída"", J110=""Sangria""),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2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IFERROR(__xludf.DUMMYFUNCTION("ifna(VALUE(REGEXEXTRACT(E110,""[0-9.]+[,]+[0-9]+"")))"),15.0)</f>
        <v>15</v>
      </c>
      <c r="O110" s="293">
        <f>IFERROR(__xludf.DUMMYFUNCTION("""COMPUTED_VALUE"""),1967955.0)</f>
        <v>1967955</v>
      </c>
      <c r="P110" s="294">
        <f>IFERROR(__xludf.DUMMYFUNCTION("""COMPUTED_VALUE"""),46053.44127314815)</f>
        <v>46053.44127</v>
      </c>
      <c r="Q110" s="293" t="str">
        <f>IFERROR(__xludf.DUMMYFUNCTION("""COMPUTED_VALUE"""),"Saída")</f>
        <v>Saída</v>
      </c>
      <c r="R110" s="295" t="str">
        <f>IFERROR(__xludf.DUMMYFUNCTION("""COMPUTED_VALUE"""),"R$ 13,00")</f>
        <v>R$ 13,00</v>
      </c>
      <c r="S110" s="293" t="str">
        <f>IFERROR(__xludf.DUMMYFUNCTION("""COMPUTED_VALUE"""),"TERMOMETRO")</f>
        <v>TERMOMETRO</v>
      </c>
      <c r="V110" s="296" t="str">
        <f>IFERROR(__xludf.DUMMYFUNCTION("""COMPUTED_VALUE"""),"Não Encontrada")</f>
        <v>Não Encontrada</v>
      </c>
      <c r="W110" s="185"/>
    </row>
    <row r="111" ht="14.25" customHeight="1">
      <c r="A111" s="178"/>
      <c r="B111" s="12">
        <v>1996700.0</v>
      </c>
      <c r="C111" s="13">
        <v>46066.70344907408</v>
      </c>
      <c r="D111" s="179" t="s">
        <v>81</v>
      </c>
      <c r="E111" s="180" t="s">
        <v>4138</v>
      </c>
      <c r="F111" s="181"/>
      <c r="G111" s="179" t="s">
        <v>506</v>
      </c>
      <c r="H111" s="190"/>
      <c r="I111" s="190"/>
      <c r="J111" s="187" t="s">
        <v>1782</v>
      </c>
      <c r="K111" s="187"/>
      <c r="L111" s="270" t="str">
        <f>IFERROR(__xludf.DUMMYFUNCTION("IF(
  AND(D111=""Saída"", J111=""Sangria""),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74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IFERROR(__xludf.DUMMYFUNCTION("ifna(VALUE(REGEXEXTRACT(E111,""[0-9.]+[,]+[0-9]+"")))"),30.0)</f>
        <v>30</v>
      </c>
      <c r="O111" s="297">
        <f>IFERROR(__xludf.DUMMYFUNCTION("""COMPUTED_VALUE"""),1974380.0)</f>
        <v>1974380</v>
      </c>
      <c r="P111" s="298">
        <f>IFERROR(__xludf.DUMMYFUNCTION("""COMPUTED_VALUE"""),46055.84045138889)</f>
        <v>46055.84045</v>
      </c>
      <c r="Q111" s="297" t="str">
        <f>IFERROR(__xludf.DUMMYFUNCTION("""COMPUTED_VALUE"""),"Saída")</f>
        <v>Saída</v>
      </c>
      <c r="R111" s="299" t="str">
        <f>IFERROR(__xludf.DUMMYFUNCTION("""COMPUTED_VALUE"""),"R$ 90,45")</f>
        <v>R$ 90,45</v>
      </c>
      <c r="S111" s="297" t="str">
        <f>IFERROR(__xludf.DUMMYFUNCTION("""COMPUTED_VALUE"""),"FRUTAS E CAFE FUNCIONARIOS")</f>
        <v>FRUTAS E CAFE FUNCIONARIOS</v>
      </c>
      <c r="V111" s="300" t="str">
        <f>IFERROR(__xludf.DUMMYFUNCTION("""COMPUTED_VALUE"""),"Não Encontrada")</f>
        <v>Não Encontrada</v>
      </c>
      <c r="W111" s="185"/>
    </row>
    <row r="112" ht="14.25" customHeight="1">
      <c r="A112" s="178"/>
      <c r="B112" s="12">
        <v>1997194.0</v>
      </c>
      <c r="C112" s="13">
        <v>46066.82591435185</v>
      </c>
      <c r="D112" s="179" t="s">
        <v>81</v>
      </c>
      <c r="E112" s="180" t="s">
        <v>590</v>
      </c>
      <c r="F112" s="181"/>
      <c r="G112" s="179" t="s">
        <v>346</v>
      </c>
      <c r="H112" s="190"/>
      <c r="I112" s="190"/>
      <c r="J112" s="187" t="s">
        <v>2735</v>
      </c>
      <c r="K112" s="187" t="s">
        <v>2018</v>
      </c>
      <c r="L112" s="270" t="str">
        <f>IFERROR(__xludf.DUMMYFUNCTION("IF(
  AND(D112=""Saída"", J112=""Sangria""),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"),"Confirmada")</f>
        <v>Confirmada</v>
      </c>
      <c r="M112" s="276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IFERROR(__xludf.DUMMYFUNCTION("ifna(VALUE(REGEXEXTRACT(E112,""[0-9.]+[,]+[0-9]+"")))"),350.0)</f>
        <v>350</v>
      </c>
      <c r="O112" s="293">
        <f>IFERROR(__xludf.DUMMYFUNCTION("""COMPUTED_VALUE"""),1980612.0)</f>
        <v>1980612</v>
      </c>
      <c r="P112" s="294">
        <f>IFERROR(__xludf.DUMMYFUNCTION("""COMPUTED_VALUE"""),46058.9828125)</f>
        <v>46058.98281</v>
      </c>
      <c r="Q112" s="293" t="str">
        <f>IFERROR(__xludf.DUMMYFUNCTION("""COMPUTED_VALUE"""),"Saída")</f>
        <v>Saída</v>
      </c>
      <c r="R112" s="295" t="str">
        <f>IFERROR(__xludf.DUMMYFUNCTION("""COMPUTED_VALUE"""),"R$ 88,25")</f>
        <v>R$ 88,25</v>
      </c>
      <c r="S112" s="293" t="str">
        <f>IFERROR(__xludf.DUMMYFUNCTION("""COMPUTED_VALUE"""),"frutas e cafe funcionarios")</f>
        <v>frutas e cafe funcionarios</v>
      </c>
      <c r="V112" s="296" t="str">
        <f>IFERROR(__xludf.DUMMYFUNCTION("""COMPUTED_VALUE"""),"Não Encontrada")</f>
        <v>Não Encontrada</v>
      </c>
      <c r="W112" s="185"/>
    </row>
    <row r="113" ht="14.25" customHeight="1">
      <c r="A113" s="178"/>
      <c r="B113" s="12">
        <v>1997897.0</v>
      </c>
      <c r="C113" s="13">
        <v>46066.94944444444</v>
      </c>
      <c r="D113" s="179" t="s">
        <v>81</v>
      </c>
      <c r="E113" s="180" t="s">
        <v>7043</v>
      </c>
      <c r="F113" s="181"/>
      <c r="G113" s="179" t="s">
        <v>6372</v>
      </c>
      <c r="H113" s="190"/>
      <c r="I113" s="190"/>
      <c r="J113" s="187" t="s">
        <v>3151</v>
      </c>
      <c r="K113" s="187"/>
      <c r="L113" s="270" t="str">
        <f>IFERROR(__xludf.DUMMYFUNCTION("IF(
  AND(D113=""Saída"", J113=""Sangria""),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74" t="str">
        <f>IFERROR(__xludf.DUMMYFUNCTION("IF(J113=""Compra de Mercadorias"",
   IF(
      COUNTIF(ARRAYFORMULA(TRIM(CLEAN(TO_TEXT(Notas!BS:BS)))), TRIM(CLEAN(TO_TEXT(B113)))) &gt; 0,
      ""Encontrada"",
      ""Não Encontrada""
   ),
"""")"),"Não Encontrada")</f>
        <v>Não Encontrada</v>
      </c>
      <c r="N113" s="185">
        <f>IFERROR(__xludf.DUMMYFUNCTION("ifna(VALUE(REGEXEXTRACT(E113,""[0-9.]+[,]+[0-9]+"")))"),50.95)</f>
        <v>50.95</v>
      </c>
      <c r="O113" s="297">
        <f>IFERROR(__xludf.DUMMYFUNCTION("""COMPUTED_VALUE"""),1983884.0)</f>
        <v>1983884</v>
      </c>
      <c r="P113" s="298">
        <f>IFERROR(__xludf.DUMMYFUNCTION("""COMPUTED_VALUE"""),46060.73814814815)</f>
        <v>46060.73815</v>
      </c>
      <c r="Q113" s="297" t="str">
        <f>IFERROR(__xludf.DUMMYFUNCTION("""COMPUTED_VALUE"""),"Saída")</f>
        <v>Saída</v>
      </c>
      <c r="R113" s="299" t="str">
        <f>IFERROR(__xludf.DUMMYFUNCTION("""COMPUTED_VALUE"""),"R$ 112,42")</f>
        <v>R$ 112,42</v>
      </c>
      <c r="S113" s="297" t="str">
        <f>IFERROR(__xludf.DUMMYFUNCTION("""COMPUTED_VALUE"""),"FRUTAS CAFE FUNCIONARIOS")</f>
        <v>FRUTAS CAFE FUNCIONARIOS</v>
      </c>
      <c r="V113" s="300" t="str">
        <f>IFERROR(__xludf.DUMMYFUNCTION("""COMPUTED_VALUE"""),"Não Encontrada")</f>
        <v>Não Encontrada</v>
      </c>
      <c r="W113" s="185"/>
    </row>
    <row r="114" ht="14.25" customHeight="1">
      <c r="A114" s="178"/>
      <c r="B114" s="12">
        <v>2000395.0</v>
      </c>
      <c r="C114" s="13">
        <v>46067.964641203704</v>
      </c>
      <c r="D114" s="179" t="s">
        <v>81</v>
      </c>
      <c r="E114" s="180" t="s">
        <v>343</v>
      </c>
      <c r="F114" s="181"/>
      <c r="G114" s="179" t="s">
        <v>381</v>
      </c>
      <c r="H114" s="190"/>
      <c r="I114" s="190"/>
      <c r="J114" s="187" t="s">
        <v>2735</v>
      </c>
      <c r="K114" s="187" t="s">
        <v>6576</v>
      </c>
      <c r="L114" s="270" t="str">
        <f>IFERROR(__xludf.DUMMYFUNCTION("IF(
  AND(D114=""Saída"", J114=""Sangria""),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"),"Confirmada")</f>
        <v>Confirmada</v>
      </c>
      <c r="M114" s="272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>
        <f>IFERROR(__xludf.DUMMYFUNCTION("ifna(VALUE(REGEXEXTRACT(E114,""[0-9.]+[,]+[0-9]+"")))"),550.0)</f>
        <v>550</v>
      </c>
      <c r="O114" s="293">
        <f>IFERROR(__xludf.DUMMYFUNCTION("""COMPUTED_VALUE"""),1986140.0)</f>
        <v>1986140</v>
      </c>
      <c r="P114" s="294">
        <f>IFERROR(__xludf.DUMMYFUNCTION("""COMPUTED_VALUE"""),46061.69207175926)</f>
        <v>46061.69207</v>
      </c>
      <c r="Q114" s="293" t="str">
        <f>IFERROR(__xludf.DUMMYFUNCTION("""COMPUTED_VALUE"""),"Saída")</f>
        <v>Saída</v>
      </c>
      <c r="R114" s="295" t="str">
        <f>IFERROR(__xludf.DUMMYFUNCTION("""COMPUTED_VALUE"""),"R$ 23,77")</f>
        <v>R$ 23,77</v>
      </c>
      <c r="S114" s="293" t="str">
        <f>IFERROR(__xludf.DUMMYFUNCTION("""COMPUTED_VALUE"""),"frutas e cafe funcionarios")</f>
        <v>frutas e cafe funcionarios</v>
      </c>
      <c r="V114" s="296" t="str">
        <f>IFERROR(__xludf.DUMMYFUNCTION("""COMPUTED_VALUE"""),"Não Encontrada")</f>
        <v>Não Encontrada</v>
      </c>
      <c r="W114" s="185"/>
    </row>
    <row r="115" ht="14.25" customHeight="1">
      <c r="A115" s="178"/>
      <c r="B115" s="12">
        <v>2003231.0</v>
      </c>
      <c r="C115" s="13">
        <v>46068.95386574074</v>
      </c>
      <c r="D115" s="179" t="s">
        <v>81</v>
      </c>
      <c r="E115" s="180" t="s">
        <v>6500</v>
      </c>
      <c r="F115" s="181"/>
      <c r="G115" s="179" t="s">
        <v>6989</v>
      </c>
      <c r="H115" s="190"/>
      <c r="I115" s="190"/>
      <c r="J115" s="187" t="s">
        <v>1782</v>
      </c>
      <c r="K115" s="187"/>
      <c r="L115" s="270" t="str">
        <f>IFERROR(__xludf.DUMMYFUNCTION("IF(
  AND(D115=""Saída"", J115=""Sangria""),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74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85">
        <f>IFERROR(__xludf.DUMMYFUNCTION("ifna(VALUE(REGEXEXTRACT(E115,""[0-9.]+[,]+[0-9]+"")))"),43.0)</f>
        <v>43</v>
      </c>
      <c r="O115" s="301">
        <f>IFERROR(__xludf.DUMMYFUNCTION("""COMPUTED_VALUE"""),1990114.0)</f>
        <v>1990114</v>
      </c>
      <c r="P115" s="302">
        <f>IFERROR(__xludf.DUMMYFUNCTION("""COMPUTED_VALUE"""),46062.949641203704)</f>
        <v>46062.94964</v>
      </c>
      <c r="Q115" s="301" t="str">
        <f>IFERROR(__xludf.DUMMYFUNCTION("""COMPUTED_VALUE"""),"Saída")</f>
        <v>Saída</v>
      </c>
      <c r="R115" s="303" t="str">
        <f>IFERROR(__xludf.DUMMYFUNCTION("""COMPUTED_VALUE"""),"R$ 29,67")</f>
        <v>R$ 29,67</v>
      </c>
      <c r="S115" s="301" t="str">
        <f>IFERROR(__xludf.DUMMYFUNCTION("""COMPUTED_VALUE"""),"FRUTAS")</f>
        <v>FRUTAS</v>
      </c>
      <c r="V115" s="304" t="str">
        <f>IFERROR(__xludf.DUMMYFUNCTION("""COMPUTED_VALUE"""),"Não Encontrada")</f>
        <v>Não Encontrada</v>
      </c>
      <c r="W115" s="185"/>
    </row>
    <row r="116" ht="14.25" customHeight="1">
      <c r="A116" s="178"/>
      <c r="B116" s="12">
        <v>2003235.0</v>
      </c>
      <c r="C116" s="13">
        <v>46068.95421296296</v>
      </c>
      <c r="D116" s="179" t="s">
        <v>81</v>
      </c>
      <c r="E116" s="180" t="s">
        <v>451</v>
      </c>
      <c r="F116" s="181"/>
      <c r="G116" s="179" t="s">
        <v>506</v>
      </c>
      <c r="H116" s="190"/>
      <c r="I116" s="190"/>
      <c r="J116" s="187" t="s">
        <v>1782</v>
      </c>
      <c r="K116" s="187"/>
      <c r="L116" s="270" t="str">
        <f>IFERROR(__xludf.DUMMYFUNCTION("IF(
  AND(D116=""Saída"", J116=""Sangria""),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2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IFERROR(__xludf.DUMMYFUNCTION("ifna(VALUE(REGEXEXTRACT(E116,""[0-9.]+[,]+[0-9]+"")))"),210.0)</f>
        <v>210</v>
      </c>
      <c r="O116" s="305">
        <f>IFERROR(__xludf.DUMMYFUNCTION("""COMPUTED_VALUE"""),1991969.0)</f>
        <v>1991969</v>
      </c>
      <c r="P116" s="306">
        <f>IFERROR(__xludf.DUMMYFUNCTION("""COMPUTED_VALUE"""),46063.95905092593)</f>
        <v>46063.95905</v>
      </c>
      <c r="Q116" s="305" t="str">
        <f>IFERROR(__xludf.DUMMYFUNCTION("""COMPUTED_VALUE"""),"Saída")</f>
        <v>Saída</v>
      </c>
      <c r="R116" s="307" t="str">
        <f>IFERROR(__xludf.DUMMYFUNCTION("""COMPUTED_VALUE"""),"R$ 100,00")</f>
        <v>R$ 100,00</v>
      </c>
      <c r="S116" s="305" t="str">
        <f>IFERROR(__xludf.DUMMYFUNCTION("""COMPUTED_VALUE"""),"manutenção")</f>
        <v>manutenção</v>
      </c>
      <c r="V116" s="308" t="str">
        <f>IFERROR(__xludf.DUMMYFUNCTION("""COMPUTED_VALUE"""),"Não Encontrada")</f>
        <v>Não Encontrada</v>
      </c>
      <c r="W116" s="185"/>
    </row>
    <row r="117" ht="14.25" customHeight="1">
      <c r="A117" s="178"/>
      <c r="B117" s="12">
        <v>2003240.0</v>
      </c>
      <c r="C117" s="13">
        <v>46068.95474537037</v>
      </c>
      <c r="D117" s="179" t="s">
        <v>81</v>
      </c>
      <c r="E117" s="180" t="s">
        <v>7053</v>
      </c>
      <c r="F117" s="181"/>
      <c r="G117" s="179" t="s">
        <v>7005</v>
      </c>
      <c r="H117" s="190"/>
      <c r="I117" s="190"/>
      <c r="J117" s="187" t="s">
        <v>3151</v>
      </c>
      <c r="K117" s="187"/>
      <c r="L117" s="270" t="str">
        <f>IFERROR(__xludf.DUMMYFUNCTION("IF(
  AND(D117=""Saída"", J117=""Sangria""),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74" t="str">
        <f>IFERROR(__xludf.DUMMYFUNCTION("IF(J117=""Compra de Mercadorias"",
   IF(
      COUNTIF(ARRAYFORMULA(TRIM(CLEAN(TO_TEXT(Notas!BS:BS)))), TRIM(CLEAN(TO_TEXT(B117)))) &gt; 0,
      ""Encontrada"",
      ""Não Encontrada""
   ),
"""")"),"Não Encontrada")</f>
        <v>Não Encontrada</v>
      </c>
      <c r="N117" s="185">
        <f>IFERROR(__xludf.DUMMYFUNCTION("ifna(VALUE(REGEXEXTRACT(E117,""[0-9.]+[,]+[0-9]+"")))"),23.5)</f>
        <v>23.5</v>
      </c>
      <c r="O117" s="301">
        <f>IFERROR(__xludf.DUMMYFUNCTION("""COMPUTED_VALUE"""),1991973.0)</f>
        <v>1991973</v>
      </c>
      <c r="P117" s="302">
        <f>IFERROR(__xludf.DUMMYFUNCTION("""COMPUTED_VALUE"""),46063.95925925926)</f>
        <v>46063.95926</v>
      </c>
      <c r="Q117" s="301" t="str">
        <f>IFERROR(__xludf.DUMMYFUNCTION("""COMPUTED_VALUE"""),"Saída")</f>
        <v>Saída</v>
      </c>
      <c r="R117" s="303" t="str">
        <f>IFERROR(__xludf.DUMMYFUNCTION("""COMPUTED_VALUE"""),"R$ 14,00")</f>
        <v>R$ 14,00</v>
      </c>
      <c r="S117" s="301" t="str">
        <f>IFERROR(__xludf.DUMMYFUNCTION("""COMPUTED_VALUE"""),"manutenção")</f>
        <v>manutenção</v>
      </c>
      <c r="V117" s="304" t="str">
        <f>IFERROR(__xludf.DUMMYFUNCTION("""COMPUTED_VALUE"""),"Não Encontrada")</f>
        <v>Não Encontrada</v>
      </c>
      <c r="W117" s="185"/>
    </row>
    <row r="118" ht="14.25" customHeight="1">
      <c r="A118" s="178"/>
      <c r="B118" s="12">
        <v>2003266.0</v>
      </c>
      <c r="C118" s="13">
        <v>46068.957766203705</v>
      </c>
      <c r="D118" s="179" t="s">
        <v>81</v>
      </c>
      <c r="E118" s="180" t="s">
        <v>910</v>
      </c>
      <c r="F118" s="188"/>
      <c r="G118" s="179" t="s">
        <v>381</v>
      </c>
      <c r="H118" s="190"/>
      <c r="I118" s="190"/>
      <c r="J118" s="187" t="s">
        <v>2735</v>
      </c>
      <c r="K118" s="187" t="s">
        <v>6576</v>
      </c>
      <c r="L118" s="270" t="str">
        <f>IFERROR(__xludf.DUMMYFUNCTION("IF(
  AND(D118=""Saída"", J118=""Sangria""),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"),"Confirmada")</f>
        <v>Confirmada</v>
      </c>
      <c r="M118" s="272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IFERROR(__xludf.DUMMYFUNCTION("ifna(VALUE(REGEXEXTRACT(E118,""[0-9.]+[,]+[0-9]+"")))"),1000.0)</f>
        <v>1000</v>
      </c>
      <c r="O118" s="305">
        <f>IFERROR(__xludf.DUMMYFUNCTION("""COMPUTED_VALUE"""),1991976.0)</f>
        <v>1991976</v>
      </c>
      <c r="P118" s="306">
        <f>IFERROR(__xludf.DUMMYFUNCTION("""COMPUTED_VALUE"""),46063.960023148145)</f>
        <v>46063.96002</v>
      </c>
      <c r="Q118" s="305" t="str">
        <f>IFERROR(__xludf.DUMMYFUNCTION("""COMPUTED_VALUE"""),"Saída")</f>
        <v>Saída</v>
      </c>
      <c r="R118" s="307" t="str">
        <f>IFERROR(__xludf.DUMMYFUNCTION("""COMPUTED_VALUE"""),"R$ 4,79")</f>
        <v>R$ 4,79</v>
      </c>
      <c r="S118" s="305" t="str">
        <f>IFERROR(__xludf.DUMMYFUNCTION("""COMPUTED_VALUE"""),"café funcionários")</f>
        <v>café funcionários</v>
      </c>
      <c r="V118" s="308" t="str">
        <f>IFERROR(__xludf.DUMMYFUNCTION("""COMPUTED_VALUE"""),"Não Encontrada")</f>
        <v>Não Encontrada</v>
      </c>
      <c r="W118" s="185"/>
    </row>
    <row r="119" ht="14.25" customHeight="1">
      <c r="A119" s="178"/>
      <c r="B119" s="12">
        <v>2003799.0</v>
      </c>
      <c r="C119" s="13">
        <v>46069.52170138889</v>
      </c>
      <c r="D119" s="179" t="s">
        <v>152</v>
      </c>
      <c r="E119" s="180" t="s">
        <v>7060</v>
      </c>
      <c r="F119" s="181"/>
      <c r="G119" s="179" t="s">
        <v>267</v>
      </c>
      <c r="H119" s="190"/>
      <c r="I119" s="190"/>
      <c r="J119" s="187" t="s">
        <v>5195</v>
      </c>
      <c r="K119" s="187"/>
      <c r="L119" s="270" t="str">
        <f>IFERROR(__xludf.DUMMYFUNCTION("IF(
  AND(D119=""Saída"", J119=""Sangria""),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74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IFERROR(__xludf.DUMMYFUNCTION("ifna(VALUE(REGEXEXTRACT(E119,""[0-9.]+[,]+[0-9]+"")))"),62.65)</f>
        <v>62.65</v>
      </c>
      <c r="O119" s="301">
        <f>IFERROR(__xludf.DUMMYFUNCTION("""COMPUTED_VALUE"""),1993501.0)</f>
        <v>1993501</v>
      </c>
      <c r="P119" s="302">
        <f>IFERROR(__xludf.DUMMYFUNCTION("""COMPUTED_VALUE"""),46064.907268518524)</f>
        <v>46064.90727</v>
      </c>
      <c r="Q119" s="301" t="str">
        <f>IFERROR(__xludf.DUMMYFUNCTION("""COMPUTED_VALUE"""),"Saída")</f>
        <v>Saída</v>
      </c>
      <c r="R119" s="303" t="str">
        <f>IFERROR(__xludf.DUMMYFUNCTION("""COMPUTED_VALUE"""),"R$ 40,75")</f>
        <v>R$ 40,75</v>
      </c>
      <c r="S119" s="301" t="str">
        <f>IFERROR(__xludf.DUMMYFUNCTION("""COMPUTED_VALUE"""),"CAFÉ FUNCIONÁRIOS")</f>
        <v>CAFÉ FUNCIONÁRIOS</v>
      </c>
      <c r="V119" s="304" t="str">
        <f>IFERROR(__xludf.DUMMYFUNCTION("""COMPUTED_VALUE"""),"Não Encontrada")</f>
        <v>Não Encontrada</v>
      </c>
      <c r="W119" s="185"/>
    </row>
    <row r="120" ht="14.25" customHeight="1">
      <c r="A120" s="178"/>
      <c r="B120" s="12">
        <v>2005085.0</v>
      </c>
      <c r="C120" s="13">
        <v>46069.836701388886</v>
      </c>
      <c r="D120" s="179" t="s">
        <v>81</v>
      </c>
      <c r="E120" s="180" t="s">
        <v>6888</v>
      </c>
      <c r="F120" s="181"/>
      <c r="G120" s="179" t="s">
        <v>506</v>
      </c>
      <c r="H120" s="190"/>
      <c r="I120" s="190"/>
      <c r="J120" s="187" t="s">
        <v>1782</v>
      </c>
      <c r="K120" s="187"/>
      <c r="L120" s="270" t="str">
        <f>IFERROR(__xludf.DUMMYFUNCTION("IF(
  AND(D120=""Saída"", J120=""Sangria""),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2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IFERROR(__xludf.DUMMYFUNCTION("ifna(VALUE(REGEXEXTRACT(E120,""[0-9.]+[,]+[0-9]+"")))"),36.0)</f>
        <v>36</v>
      </c>
      <c r="O120" s="305">
        <f>IFERROR(__xludf.DUMMYFUNCTION("""COMPUTED_VALUE"""),1996628.0)</f>
        <v>1996628</v>
      </c>
      <c r="P120" s="306">
        <f>IFERROR(__xludf.DUMMYFUNCTION("""COMPUTED_VALUE"""),46066.68707175926)</f>
        <v>46066.68707</v>
      </c>
      <c r="Q120" s="305" t="str">
        <f>IFERROR(__xludf.DUMMYFUNCTION("""COMPUTED_VALUE"""),"Saída")</f>
        <v>Saída</v>
      </c>
      <c r="R120" s="307" t="str">
        <f>IFERROR(__xludf.DUMMYFUNCTION("""COMPUTED_VALUE"""),"R$ 29,80")</f>
        <v>R$ 29,80</v>
      </c>
      <c r="S120" s="305" t="str">
        <f>IFERROR(__xludf.DUMMYFUNCTION("""COMPUTED_VALUE"""),"CANUDOS MILK-SHAKE")</f>
        <v>CANUDOS MILK-SHAKE</v>
      </c>
      <c r="V120" s="308" t="str">
        <f>IFERROR(__xludf.DUMMYFUNCTION("""COMPUTED_VALUE"""),"Não Encontrada")</f>
        <v>Não Encontrada</v>
      </c>
      <c r="W120" s="185"/>
    </row>
    <row r="121" ht="14.25" customHeight="1">
      <c r="A121" s="178"/>
      <c r="B121" s="12">
        <v>2005651.0</v>
      </c>
      <c r="C121" s="13">
        <v>46069.92439814815</v>
      </c>
      <c r="D121" s="179" t="s">
        <v>81</v>
      </c>
      <c r="E121" s="180" t="s">
        <v>7062</v>
      </c>
      <c r="F121" s="181"/>
      <c r="G121" s="179" t="s">
        <v>7063</v>
      </c>
      <c r="H121" s="190"/>
      <c r="I121" s="190"/>
      <c r="J121" s="187" t="s">
        <v>3151</v>
      </c>
      <c r="K121" s="187"/>
      <c r="L121" s="270" t="str">
        <f>IFERROR(__xludf.DUMMYFUNCTION("IF(
  AND(D121=""Saída"", J121=""Sangria""),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74" t="str">
        <f>IFERROR(__xludf.DUMMYFUNCTION("IF(J121=""Compra de Mercadorias"",
   IF(
      COUNTIF(ARRAYFORMULA(TRIM(CLEAN(TO_TEXT(Notas!BS:BS)))), TRIM(CLEAN(TO_TEXT(B121)))) &gt; 0,
      ""Encontrada"",
      ""Não Encontrada""
   ),
"""")"),"Não Encontrada")</f>
        <v>Não Encontrada</v>
      </c>
      <c r="N121" s="185">
        <f>IFERROR(__xludf.DUMMYFUNCTION("ifna(VALUE(REGEXEXTRACT(E121,""[0-9.]+[,]+[0-9]+"")))"),40.23)</f>
        <v>40.23</v>
      </c>
      <c r="O121" s="301">
        <f>IFERROR(__xludf.DUMMYFUNCTION("""COMPUTED_VALUE"""),1996630.0)</f>
        <v>1996630</v>
      </c>
      <c r="P121" s="302">
        <f>IFERROR(__xludf.DUMMYFUNCTION("""COMPUTED_VALUE"""),46066.6872337963)</f>
        <v>46066.68723</v>
      </c>
      <c r="Q121" s="301" t="str">
        <f>IFERROR(__xludf.DUMMYFUNCTION("""COMPUTED_VALUE"""),"Saída")</f>
        <v>Saída</v>
      </c>
      <c r="R121" s="303" t="str">
        <f>IFERROR(__xludf.DUMMYFUNCTION("""COMPUTED_VALUE"""),"R$ 174,19")</f>
        <v>R$ 174,19</v>
      </c>
      <c r="S121" s="301" t="str">
        <f>IFERROR(__xludf.DUMMYFUNCTION("""COMPUTED_VALUE"""),"FRUTAS")</f>
        <v>FRUTAS</v>
      </c>
      <c r="V121" s="304" t="str">
        <f>IFERROR(__xludf.DUMMYFUNCTION("""COMPUTED_VALUE"""),"Não Encontrada")</f>
        <v>Não Encontrada</v>
      </c>
      <c r="W121" s="185"/>
    </row>
    <row r="122" ht="14.25" customHeight="1">
      <c r="A122" s="178"/>
      <c r="B122" s="12">
        <v>2005654.0</v>
      </c>
      <c r="C122" s="13">
        <v>46069.92461805556</v>
      </c>
      <c r="D122" s="179" t="s">
        <v>81</v>
      </c>
      <c r="E122" s="180" t="s">
        <v>7066</v>
      </c>
      <c r="F122" s="188"/>
      <c r="G122" s="179" t="s">
        <v>6372</v>
      </c>
      <c r="H122" s="190"/>
      <c r="I122" s="190"/>
      <c r="J122" s="187" t="s">
        <v>3151</v>
      </c>
      <c r="K122" s="187"/>
      <c r="L122" s="270" t="str">
        <f>IFERROR(__xludf.DUMMYFUNCTION("IF(
  AND(D122=""Saída"", J122=""Sangria""),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2" t="str">
        <f>IFERROR(__xludf.DUMMYFUNCTION("IF(J122=""Compra de Mercadorias"",
   IF(
      COUNTIF(ARRAYFORMULA(TRIM(CLEAN(TO_TEXT(Notas!BS:BS)))), TRIM(CLEAN(TO_TEXT(B122)))) &gt; 0,
      ""Encontrada"",
      ""Não Encontrada""
   ),
"""")"),"Não Encontrada")</f>
        <v>Não Encontrada</v>
      </c>
      <c r="N122" s="185">
        <f>IFERROR(__xludf.DUMMYFUNCTION("ifna(VALUE(REGEXEXTRACT(E122,""[0-9.]+[,]+[0-9]+"")))"),8.82)</f>
        <v>8.82</v>
      </c>
      <c r="O122" s="305">
        <f>IFERROR(__xludf.DUMMYFUNCTION("""COMPUTED_VALUE"""),1997897.0)</f>
        <v>1997897</v>
      </c>
      <c r="P122" s="306">
        <f>IFERROR(__xludf.DUMMYFUNCTION("""COMPUTED_VALUE"""),46066.94944444444)</f>
        <v>46066.94944</v>
      </c>
      <c r="Q122" s="305" t="str">
        <f>IFERROR(__xludf.DUMMYFUNCTION("""COMPUTED_VALUE"""),"Saída")</f>
        <v>Saída</v>
      </c>
      <c r="R122" s="307" t="str">
        <f>IFERROR(__xludf.DUMMYFUNCTION("""COMPUTED_VALUE"""),"R$ 50,95")</f>
        <v>R$ 50,95</v>
      </c>
      <c r="S122" s="305" t="str">
        <f>IFERROR(__xludf.DUMMYFUNCTION("""COMPUTED_VALUE"""),"CAFÉ FUNCIONÁRIOS")</f>
        <v>CAFÉ FUNCIONÁRIOS</v>
      </c>
      <c r="V122" s="308" t="str">
        <f>IFERROR(__xludf.DUMMYFUNCTION("""COMPUTED_VALUE"""),"Não Encontrada")</f>
        <v>Não Encontrada</v>
      </c>
      <c r="W122" s="185"/>
    </row>
    <row r="123" ht="14.25" customHeight="1">
      <c r="A123" s="178"/>
      <c r="B123" s="12">
        <v>2005750.0</v>
      </c>
      <c r="C123" s="13">
        <v>46069.93194444444</v>
      </c>
      <c r="D123" s="179" t="s">
        <v>81</v>
      </c>
      <c r="E123" s="180" t="s">
        <v>988</v>
      </c>
      <c r="F123" s="181"/>
      <c r="G123" s="179" t="s">
        <v>381</v>
      </c>
      <c r="H123" s="190"/>
      <c r="I123" s="190"/>
      <c r="J123" s="187" t="s">
        <v>2735</v>
      </c>
      <c r="K123" s="187" t="s">
        <v>6576</v>
      </c>
      <c r="L123" s="270" t="str">
        <f>IFERROR(__xludf.DUMMYFUNCTION("IF(
  AND(D123=""Saída"", J123=""Sangria""),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"),"Confirmada")</f>
        <v>Confirmada</v>
      </c>
      <c r="M123" s="274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>
        <f>IFERROR(__xludf.DUMMYFUNCTION("ifna(VALUE(REGEXEXTRACT(E123,""[0-9.]+[,]+[0-9]+"")))"),1200.0)</f>
        <v>1200</v>
      </c>
      <c r="O123" s="301">
        <f>IFERROR(__xludf.DUMMYFUNCTION("""COMPUTED_VALUE"""),2003240.0)</f>
        <v>2003240</v>
      </c>
      <c r="P123" s="302">
        <f>IFERROR(__xludf.DUMMYFUNCTION("""COMPUTED_VALUE"""),46068.95474537037)</f>
        <v>46068.95475</v>
      </c>
      <c r="Q123" s="301" t="str">
        <f>IFERROR(__xludf.DUMMYFUNCTION("""COMPUTED_VALUE"""),"Saída")</f>
        <v>Saída</v>
      </c>
      <c r="R123" s="303" t="str">
        <f>IFERROR(__xludf.DUMMYFUNCTION("""COMPUTED_VALUE"""),"R$ 23,50")</f>
        <v>R$ 23,50</v>
      </c>
      <c r="S123" s="301" t="str">
        <f>IFERROR(__xludf.DUMMYFUNCTION("""COMPUTED_VALUE"""),"CAFÉ FUNCIONARIOS")</f>
        <v>CAFÉ FUNCIONARIOS</v>
      </c>
      <c r="V123" s="304" t="str">
        <f>IFERROR(__xludf.DUMMYFUNCTION("""COMPUTED_VALUE"""),"Não Encontrada")</f>
        <v>Não Encontrada</v>
      </c>
      <c r="W123" s="185"/>
    </row>
    <row r="124" ht="14.25" customHeight="1">
      <c r="A124" s="178"/>
      <c r="B124" s="12">
        <v>2007472.0</v>
      </c>
      <c r="C124" s="13">
        <v>46070.80579861111</v>
      </c>
      <c r="D124" s="179" t="s">
        <v>81</v>
      </c>
      <c r="E124" s="180" t="s">
        <v>7070</v>
      </c>
      <c r="F124" s="181"/>
      <c r="G124" s="179" t="s">
        <v>506</v>
      </c>
      <c r="H124" s="190"/>
      <c r="I124" s="190"/>
      <c r="J124" s="187" t="s">
        <v>1782</v>
      </c>
      <c r="K124" s="187"/>
      <c r="L124" s="270" t="str">
        <f>IFERROR(__xludf.DUMMYFUNCTION("IF(
  AND(D124=""Saída"", J124=""Sangria""),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2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>
        <f>IFERROR(__xludf.DUMMYFUNCTION("ifna(VALUE(REGEXEXTRACT(E124,""[0-9.]+[,]+[0-9]+"")))"),46.0)</f>
        <v>46</v>
      </c>
      <c r="O124" s="305">
        <f>IFERROR(__xludf.DUMMYFUNCTION("""COMPUTED_VALUE"""),2005651.0)</f>
        <v>2005651</v>
      </c>
      <c r="P124" s="306">
        <f>IFERROR(__xludf.DUMMYFUNCTION("""COMPUTED_VALUE"""),46069.92439814815)</f>
        <v>46069.9244</v>
      </c>
      <c r="Q124" s="305" t="str">
        <f>IFERROR(__xludf.DUMMYFUNCTION("""COMPUTED_VALUE"""),"Saída")</f>
        <v>Saída</v>
      </c>
      <c r="R124" s="307" t="str">
        <f>IFERROR(__xludf.DUMMYFUNCTION("""COMPUTED_VALUE"""),"R$ 40,23")</f>
        <v>R$ 40,23</v>
      </c>
      <c r="S124" s="305" t="str">
        <f>IFERROR(__xludf.DUMMYFUNCTION("""COMPUTED_VALUE"""),"CAFÉ FUNCIONÁRIOS E FRUTAS")</f>
        <v>CAFÉ FUNCIONÁRIOS E FRUTAS</v>
      </c>
      <c r="V124" s="308" t="str">
        <f>IFERROR(__xludf.DUMMYFUNCTION("""COMPUTED_VALUE"""),"Não Encontrada")</f>
        <v>Não Encontrada</v>
      </c>
      <c r="W124" s="185"/>
    </row>
    <row r="125" ht="14.25" customHeight="1">
      <c r="A125" s="178"/>
      <c r="B125" s="12">
        <v>2007543.0</v>
      </c>
      <c r="C125" s="13">
        <v>46070.821284722224</v>
      </c>
      <c r="D125" s="179" t="s">
        <v>81</v>
      </c>
      <c r="E125" s="180" t="s">
        <v>6614</v>
      </c>
      <c r="F125" s="181"/>
      <c r="G125" s="179" t="s">
        <v>7074</v>
      </c>
      <c r="H125" s="190"/>
      <c r="I125" s="190"/>
      <c r="J125" s="187" t="s">
        <v>3151</v>
      </c>
      <c r="K125" s="187"/>
      <c r="L125" s="270" t="str">
        <f>IFERROR(__xludf.DUMMYFUNCTION("IF(
  AND(D125=""Saída"", J125=""Sangria""),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74" t="str">
        <f>IFERROR(__xludf.DUMMYFUNCTION("IF(J125=""Compra de Mercadorias"",
   IF(
      COUNTIF(ARRAYFORMULA(TRIM(CLEAN(TO_TEXT(Notas!BS:BS)))), TRIM(CLEAN(TO_TEXT(B125)))) &gt; 0,
      ""Encontrada"",
      ""Não Encontrada""
   ),
"""")"),"Não Encontrada")</f>
        <v>Não Encontrada</v>
      </c>
      <c r="N125" s="185">
        <f>IFERROR(__xludf.DUMMYFUNCTION("ifna(VALUE(REGEXEXTRACT(E125,""[0-9.]+[,]+[0-9]+"")))"),19.98)</f>
        <v>19.98</v>
      </c>
      <c r="O125" s="301">
        <f>IFERROR(__xludf.DUMMYFUNCTION("""COMPUTED_VALUE"""),2005654.0)</f>
        <v>2005654</v>
      </c>
      <c r="P125" s="302">
        <f>IFERROR(__xludf.DUMMYFUNCTION("""COMPUTED_VALUE"""),46069.92461805556)</f>
        <v>46069.92462</v>
      </c>
      <c r="Q125" s="301" t="str">
        <f>IFERROR(__xludf.DUMMYFUNCTION("""COMPUTED_VALUE"""),"Saída")</f>
        <v>Saída</v>
      </c>
      <c r="R125" s="303" t="str">
        <f>IFERROR(__xludf.DUMMYFUNCTION("""COMPUTED_VALUE"""),"R$ 8,82")</f>
        <v>R$ 8,82</v>
      </c>
      <c r="S125" s="301" t="str">
        <f>IFERROR(__xludf.DUMMYFUNCTION("""COMPUTED_VALUE"""),"CAFÉ FUNCIONÁRIOS")</f>
        <v>CAFÉ FUNCIONÁRIOS</v>
      </c>
      <c r="V125" s="304" t="str">
        <f>IFERROR(__xludf.DUMMYFUNCTION("""COMPUTED_VALUE"""),"Não Encontrada")</f>
        <v>Não Encontrada</v>
      </c>
      <c r="W125" s="185"/>
    </row>
    <row r="126" ht="14.25" customHeight="1">
      <c r="A126" s="178"/>
      <c r="B126" s="12">
        <v>2007547.0</v>
      </c>
      <c r="C126" s="13">
        <v>46070.82189814815</v>
      </c>
      <c r="D126" s="179" t="s">
        <v>81</v>
      </c>
      <c r="E126" s="180" t="s">
        <v>979</v>
      </c>
      <c r="F126" s="181"/>
      <c r="G126" s="179" t="s">
        <v>6779</v>
      </c>
      <c r="H126" s="190"/>
      <c r="I126" s="190"/>
      <c r="J126" s="187" t="s">
        <v>2019</v>
      </c>
      <c r="K126" s="187" t="s">
        <v>6745</v>
      </c>
      <c r="L126" s="270" t="str">
        <f>IFERROR(__xludf.DUMMYFUNCTION("IF(
  AND(D126=""Saída"", J126=""Sangria""),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2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IFERROR(__xludf.DUMMYFUNCTION("ifna(VALUE(REGEXEXTRACT(E126,""[0-9.]+[,]+[0-9]+"")))"),3.0)</f>
        <v>3</v>
      </c>
      <c r="O126" s="305">
        <f>IFERROR(__xludf.DUMMYFUNCTION("""COMPUTED_VALUE"""),2007543.0)</f>
        <v>2007543</v>
      </c>
      <c r="P126" s="306">
        <f>IFERROR(__xludf.DUMMYFUNCTION("""COMPUTED_VALUE"""),46070.821284722224)</f>
        <v>46070.82128</v>
      </c>
      <c r="Q126" s="305" t="str">
        <f>IFERROR(__xludf.DUMMYFUNCTION("""COMPUTED_VALUE"""),"Saída")</f>
        <v>Saída</v>
      </c>
      <c r="R126" s="307" t="str">
        <f>IFERROR(__xludf.DUMMYFUNCTION("""COMPUTED_VALUE"""),"R$ 19,98")</f>
        <v>R$ 19,98</v>
      </c>
      <c r="S126" s="305" t="str">
        <f>IFERROR(__xludf.DUMMYFUNCTION("""COMPUTED_VALUE"""),"UTENSILIOS COZINHA")</f>
        <v>UTENSILIOS COZINHA</v>
      </c>
      <c r="V126" s="308" t="str">
        <f>IFERROR(__xludf.DUMMYFUNCTION("""COMPUTED_VALUE"""),"Não Encontrada")</f>
        <v>Não Encontrada</v>
      </c>
      <c r="W126" s="185"/>
    </row>
    <row r="127" ht="14.25" customHeight="1">
      <c r="A127" s="178"/>
      <c r="B127" s="12">
        <v>2008584.0</v>
      </c>
      <c r="C127" s="13">
        <v>46070.965787037036</v>
      </c>
      <c r="D127" s="179" t="s">
        <v>81</v>
      </c>
      <c r="E127" s="180" t="s">
        <v>943</v>
      </c>
      <c r="F127" s="181"/>
      <c r="G127" s="179" t="s">
        <v>381</v>
      </c>
      <c r="H127" s="190"/>
      <c r="I127" s="190"/>
      <c r="J127" s="187" t="s">
        <v>2735</v>
      </c>
      <c r="K127" s="187" t="s">
        <v>6576</v>
      </c>
      <c r="L127" s="270" t="str">
        <f>IFERROR(__xludf.DUMMYFUNCTION("IF(
  AND(D127=""Saída"", J127=""Sangria""),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"),"Confirmada")</f>
        <v>Confirmada</v>
      </c>
      <c r="M127" s="274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>
        <f>IFERROR(__xludf.DUMMYFUNCTION("ifna(VALUE(REGEXEXTRACT(E127,""[0-9.]+[,]+[0-9]+"")))"),800.0)</f>
        <v>800</v>
      </c>
      <c r="O127" s="301">
        <f>IFERROR(__xludf.DUMMYFUNCTION("""COMPUTED_VALUE"""),2009803.0)</f>
        <v>2009803</v>
      </c>
      <c r="P127" s="302">
        <f>IFERROR(__xludf.DUMMYFUNCTION("""COMPUTED_VALUE"""),46071.79361111111)</f>
        <v>46071.79361</v>
      </c>
      <c r="Q127" s="301" t="str">
        <f>IFERROR(__xludf.DUMMYFUNCTION("""COMPUTED_VALUE"""),"Saída")</f>
        <v>Saída</v>
      </c>
      <c r="R127" s="303" t="str">
        <f>IFERROR(__xludf.DUMMYFUNCTION("""COMPUTED_VALUE"""),"R$ 128,65")</f>
        <v>R$ 128,65</v>
      </c>
      <c r="S127" s="301" t="str">
        <f>IFERROR(__xludf.DUMMYFUNCTION("""COMPUTED_VALUE"""),"FRUTAS")</f>
        <v>FRUTAS</v>
      </c>
      <c r="V127" s="304" t="str">
        <f>IFERROR(__xludf.DUMMYFUNCTION("""COMPUTED_VALUE"""),"Não Encontrada")</f>
        <v>Não Encontrada</v>
      </c>
      <c r="W127" s="185"/>
    </row>
    <row r="128" ht="14.25" customHeight="1">
      <c r="A128" s="178"/>
      <c r="B128" s="12">
        <v>2009403.0</v>
      </c>
      <c r="C128" s="13">
        <v>46071.698159722226</v>
      </c>
      <c r="D128" s="179" t="s">
        <v>81</v>
      </c>
      <c r="E128" s="180" t="s">
        <v>1005</v>
      </c>
      <c r="F128" s="181"/>
      <c r="G128" s="179" t="s">
        <v>381</v>
      </c>
      <c r="H128" s="190"/>
      <c r="I128" s="190"/>
      <c r="J128" s="187" t="s">
        <v>2735</v>
      </c>
      <c r="K128" s="187" t="s">
        <v>6576</v>
      </c>
      <c r="L128" s="270" t="str">
        <f>IFERROR(__xludf.DUMMYFUNCTION("IF(
  AND(D128=""Saída"", J128=""Sangria""),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"),"Confirmada")</f>
        <v>Confirmada</v>
      </c>
      <c r="M128" s="272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>
        <f>IFERROR(__xludf.DUMMYFUNCTION("ifna(VALUE(REGEXEXTRACT(E128,""[0-9.]+[,]+[0-9]+"")))"),1250.0)</f>
        <v>1250</v>
      </c>
      <c r="O128" s="308">
        <f>IFERROR(__xludf.DUMMYFUNCTION("""COMPUTED_VALUE"""),2012352.0)</f>
        <v>2012352</v>
      </c>
      <c r="P128" s="306">
        <f>IFERROR(__xludf.DUMMYFUNCTION("""COMPUTED_VALUE"""),46072.92275462963)</f>
        <v>46072.92275</v>
      </c>
      <c r="Q128" s="308" t="str">
        <f>IFERROR(__xludf.DUMMYFUNCTION("""COMPUTED_VALUE"""),"Saída")</f>
        <v>Saída</v>
      </c>
      <c r="R128" s="307" t="str">
        <f>IFERROR(__xludf.DUMMYFUNCTION("""COMPUTED_VALUE"""),"R$ 99,48")</f>
        <v>R$ 99,48</v>
      </c>
      <c r="S128" s="308" t="str">
        <f>IFERROR(__xludf.DUMMYFUNCTION("""COMPUTED_VALUE"""),"CAFÉ FUNCIONÁRIOS")</f>
        <v>CAFÉ FUNCIONÁRIOS</v>
      </c>
      <c r="V128" s="308" t="str">
        <f>IFERROR(__xludf.DUMMYFUNCTION("""COMPUTED_VALUE"""),"Não Encontrada")</f>
        <v>Não Encontrada</v>
      </c>
      <c r="W128" s="185"/>
    </row>
    <row r="129" ht="14.25" customHeight="1">
      <c r="A129" s="178"/>
      <c r="B129" s="12">
        <v>2009572.0</v>
      </c>
      <c r="C129" s="13">
        <v>46071.73018518519</v>
      </c>
      <c r="D129" s="179" t="s">
        <v>152</v>
      </c>
      <c r="E129" s="180" t="s">
        <v>6888</v>
      </c>
      <c r="F129" s="181"/>
      <c r="G129" s="179" t="s">
        <v>267</v>
      </c>
      <c r="H129" s="190"/>
      <c r="I129" s="190"/>
      <c r="J129" s="187" t="s">
        <v>5195</v>
      </c>
      <c r="K129" s="187"/>
      <c r="L129" s="270" t="str">
        <f>IFERROR(__xludf.DUMMYFUNCTION("IF(
  AND(D129=""Saída"", J129=""Sangria""),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74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>
        <f>IFERROR(__xludf.DUMMYFUNCTION("ifna(VALUE(REGEXEXTRACT(E129,""[0-9.]+[,]+[0-9]+"")))"),36.0)</f>
        <v>36</v>
      </c>
      <c r="O129" s="304">
        <f>IFERROR(__xludf.DUMMYFUNCTION("""COMPUTED_VALUE"""),2015792.0)</f>
        <v>2015792</v>
      </c>
      <c r="P129" s="302">
        <f>IFERROR(__xludf.DUMMYFUNCTION("""COMPUTED_VALUE"""),46074.77359953704)</f>
        <v>46074.7736</v>
      </c>
      <c r="Q129" s="304" t="str">
        <f>IFERROR(__xludf.DUMMYFUNCTION("""COMPUTED_VALUE"""),"Saída")</f>
        <v>Saída</v>
      </c>
      <c r="R129" s="303" t="str">
        <f>IFERROR(__xludf.DUMMYFUNCTION("""COMPUTED_VALUE"""),"R$ 7,59")</f>
        <v>R$ 7,59</v>
      </c>
      <c r="S129" s="304" t="str">
        <f>IFERROR(__xludf.DUMMYFUNCTION("""COMPUTED_VALUE"""),"CAFÉ FUNCIONÁRIOS")</f>
        <v>CAFÉ FUNCIONÁRIOS</v>
      </c>
      <c r="V129" s="304" t="str">
        <f>IFERROR(__xludf.DUMMYFUNCTION("""COMPUTED_VALUE"""),"Não Encontrada")</f>
        <v>Não Encontrada</v>
      </c>
      <c r="W129" s="185"/>
    </row>
    <row r="130" ht="14.25" customHeight="1">
      <c r="A130" s="178"/>
      <c r="B130" s="12">
        <v>2009803.0</v>
      </c>
      <c r="C130" s="13">
        <v>46071.79361111111</v>
      </c>
      <c r="D130" s="179" t="s">
        <v>81</v>
      </c>
      <c r="E130" s="180" t="s">
        <v>7085</v>
      </c>
      <c r="F130" s="181"/>
      <c r="G130" s="179" t="s">
        <v>460</v>
      </c>
      <c r="H130" s="190"/>
      <c r="I130" s="190"/>
      <c r="J130" s="187" t="s">
        <v>3151</v>
      </c>
      <c r="K130" s="187"/>
      <c r="L130" s="270" t="str">
        <f>IFERROR(__xludf.DUMMYFUNCTION("IF(
  AND(D130=""Saída"", J130=""Sangria""),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2" t="str">
        <f>IFERROR(__xludf.DUMMYFUNCTION("IF(J130=""Compra de Mercadorias"",
   IF(
      COUNTIF(ARRAYFORMULA(TRIM(CLEAN(TO_TEXT(Notas!BS:BS)))), TRIM(CLEAN(TO_TEXT(B130)))) &gt; 0,
      ""Encontrada"",
      ""Não Encontrada""
   ),
"""")"),"Não Encontrada")</f>
        <v>Não Encontrada</v>
      </c>
      <c r="N130" s="185">
        <f>IFERROR(__xludf.DUMMYFUNCTION("ifna(VALUE(REGEXEXTRACT(E130,""[0-9.]+[,]+[0-9]+"")))"),128.65)</f>
        <v>128.65</v>
      </c>
      <c r="O130" s="305">
        <f>IFERROR(__xludf.DUMMYFUNCTION("""COMPUTED_VALUE"""),2015793.0)</f>
        <v>2015793</v>
      </c>
      <c r="P130" s="306">
        <f>IFERROR(__xludf.DUMMYFUNCTION("""COMPUTED_VALUE"""),46074.77375)</f>
        <v>46074.77375</v>
      </c>
      <c r="Q130" s="305" t="str">
        <f>IFERROR(__xludf.DUMMYFUNCTION("""COMPUTED_VALUE"""),"Saída")</f>
        <v>Saída</v>
      </c>
      <c r="R130" s="307" t="str">
        <f>IFERROR(__xludf.DUMMYFUNCTION("""COMPUTED_VALUE"""),"R$ 27,98")</f>
        <v>R$ 27,98</v>
      </c>
      <c r="S130" s="305" t="str">
        <f>IFERROR(__xludf.DUMMYFUNCTION("""COMPUTED_VALUE"""),"CAFÉ FUNCIONÁRIOS")</f>
        <v>CAFÉ FUNCIONÁRIOS</v>
      </c>
      <c r="V130" s="305" t="str">
        <f>IFERROR(__xludf.DUMMYFUNCTION("""COMPUTED_VALUE"""),"Não Encontrada")</f>
        <v>Não Encontrada</v>
      </c>
      <c r="W130" s="25"/>
    </row>
    <row r="131" ht="14.25" customHeight="1">
      <c r="A131" s="178"/>
      <c r="B131" s="12">
        <v>2009805.0</v>
      </c>
      <c r="C131" s="13">
        <v>46071.79394675926</v>
      </c>
      <c r="D131" s="179" t="s">
        <v>81</v>
      </c>
      <c r="E131" s="180" t="s">
        <v>979</v>
      </c>
      <c r="F131" s="181"/>
      <c r="G131" s="179" t="s">
        <v>544</v>
      </c>
      <c r="H131" s="190"/>
      <c r="I131" s="190"/>
      <c r="J131" s="187" t="s">
        <v>2019</v>
      </c>
      <c r="K131" s="187" t="s">
        <v>2078</v>
      </c>
      <c r="L131" s="270" t="str">
        <f>IFERROR(__xludf.DUMMYFUNCTION("IF(
  AND(D131=""Saída"", J131=""Sangria""),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76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>
        <f>IFERROR(__xludf.DUMMYFUNCTION("ifna(VALUE(REGEXEXTRACT(E131,""[0-9.]+[,]+[0-9]+"")))"),3.0)</f>
        <v>3</v>
      </c>
      <c r="O131" s="309">
        <f>IFERROR(__xludf.DUMMYFUNCTION("""COMPUTED_VALUE"""),2018296.0)</f>
        <v>2018296</v>
      </c>
      <c r="P131" s="302">
        <f>IFERROR(__xludf.DUMMYFUNCTION("""COMPUTED_VALUE"""),46075.76818287037)</f>
        <v>46075.76818</v>
      </c>
      <c r="Q131" s="301" t="str">
        <f>IFERROR(__xludf.DUMMYFUNCTION("""COMPUTED_VALUE"""),"Saída")</f>
        <v>Saída</v>
      </c>
      <c r="R131" s="303" t="str">
        <f>IFERROR(__xludf.DUMMYFUNCTION("""COMPUTED_VALUE"""),"R$ 34,48")</f>
        <v>R$ 34,48</v>
      </c>
      <c r="S131" s="301" t="str">
        <f>IFERROR(__xludf.DUMMYFUNCTION("""COMPUTED_VALUE"""),"FRUTAS")</f>
        <v>FRUTAS</v>
      </c>
      <c r="V131" s="301" t="str">
        <f>IFERROR(__xludf.DUMMYFUNCTION("""COMPUTED_VALUE"""),"Não Encontrada")</f>
        <v>Não Encontrada</v>
      </c>
      <c r="W131" s="25"/>
    </row>
    <row r="132" ht="14.25" customHeight="1">
      <c r="A132" s="178"/>
      <c r="B132" s="12">
        <v>2009859.0</v>
      </c>
      <c r="C132" s="13">
        <v>46071.81144675926</v>
      </c>
      <c r="D132" s="179" t="s">
        <v>81</v>
      </c>
      <c r="E132" s="180" t="s">
        <v>7089</v>
      </c>
      <c r="F132" s="181"/>
      <c r="G132" s="179" t="s">
        <v>544</v>
      </c>
      <c r="H132" s="190"/>
      <c r="I132" s="190"/>
      <c r="J132" s="187" t="s">
        <v>2019</v>
      </c>
      <c r="K132" s="187" t="s">
        <v>2078</v>
      </c>
      <c r="L132" s="270" t="str">
        <f>IFERROR(__xludf.DUMMYFUNCTION("IF(
  AND(D132=""Saída"", J132=""Sangria""),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2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85">
        <f>IFERROR(__xludf.DUMMYFUNCTION("ifna(VALUE(REGEXEXTRACT(E132,""[0-9.]+[,]+[0-9]+"")))"),8.68)</f>
        <v>8.68</v>
      </c>
      <c r="O132" s="305">
        <f>IFERROR(__xludf.DUMMYFUNCTION("""COMPUTED_VALUE"""),2022995.0)</f>
        <v>2022995</v>
      </c>
      <c r="P132" s="306">
        <f>IFERROR(__xludf.DUMMYFUNCTION("""COMPUTED_VALUE"""),46077.91400462963)</f>
        <v>46077.914</v>
      </c>
      <c r="Q132" s="305" t="str">
        <f>IFERROR(__xludf.DUMMYFUNCTION("""COMPUTED_VALUE"""),"Saída")</f>
        <v>Saída</v>
      </c>
      <c r="R132" s="307" t="str">
        <f>IFERROR(__xludf.DUMMYFUNCTION("""COMPUTED_VALUE"""),"R$ 11,97")</f>
        <v>R$ 11,97</v>
      </c>
      <c r="S132" s="305" t="str">
        <f>IFERROR(__xludf.DUMMYFUNCTION("""COMPUTED_VALUE"""),"cafe funcionarios")</f>
        <v>cafe funcionarios</v>
      </c>
      <c r="V132" s="305" t="str">
        <f>IFERROR(__xludf.DUMMYFUNCTION("""COMPUTED_VALUE"""),"Não Encontrada")</f>
        <v>Não Encontrada</v>
      </c>
      <c r="W132" s="25"/>
    </row>
    <row r="133" ht="14.25" customHeight="1">
      <c r="A133" s="178"/>
      <c r="B133" s="12">
        <v>2010114.0</v>
      </c>
      <c r="C133" s="13">
        <v>46071.878587962965</v>
      </c>
      <c r="D133" s="179" t="s">
        <v>152</v>
      </c>
      <c r="E133" s="180" t="s">
        <v>6888</v>
      </c>
      <c r="F133" s="181"/>
      <c r="G133" s="179" t="s">
        <v>267</v>
      </c>
      <c r="H133" s="190"/>
      <c r="I133" s="190"/>
      <c r="J133" s="187" t="s">
        <v>5195</v>
      </c>
      <c r="K133" s="187"/>
      <c r="L133" s="270" t="str">
        <f>IFERROR(__xludf.DUMMYFUNCTION("IF(
  AND(D133=""Saída"", J133=""Sangria""),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74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>
        <f>IFERROR(__xludf.DUMMYFUNCTION("ifna(VALUE(REGEXEXTRACT(E133,""[0-9.]+[,]+[0-9]+"")))"),36.0)</f>
        <v>36</v>
      </c>
      <c r="O133" s="301">
        <f>IFERROR(__xludf.DUMMYFUNCTION("""COMPUTED_VALUE"""),2023897.0)</f>
        <v>2023897</v>
      </c>
      <c r="P133" s="302">
        <f>IFERROR(__xludf.DUMMYFUNCTION("""COMPUTED_VALUE"""),46078.6828125)</f>
        <v>46078.68281</v>
      </c>
      <c r="Q133" s="301" t="str">
        <f>IFERROR(__xludf.DUMMYFUNCTION("""COMPUTED_VALUE"""),"Saída")</f>
        <v>Saída</v>
      </c>
      <c r="R133" s="303" t="str">
        <f>IFERROR(__xludf.DUMMYFUNCTION("""COMPUTED_VALUE"""),"R$ 140,00")</f>
        <v>R$ 140,00</v>
      </c>
      <c r="S133" s="301" t="str">
        <f>IFERROR(__xludf.DUMMYFUNCTION("""COMPUTED_VALUE"""),"MATERIAIS ESCRITORIO")</f>
        <v>MATERIAIS ESCRITORIO</v>
      </c>
      <c r="V133" s="301" t="str">
        <f>IFERROR(__xludf.DUMMYFUNCTION("""COMPUTED_VALUE"""),"Não Encontrada")</f>
        <v>Não Encontrada</v>
      </c>
      <c r="W133" s="25"/>
    </row>
    <row r="134" ht="14.25" customHeight="1">
      <c r="A134" s="178"/>
      <c r="B134" s="12">
        <v>2010627.0</v>
      </c>
      <c r="C134" s="13">
        <v>46071.944699074076</v>
      </c>
      <c r="D134" s="179" t="s">
        <v>81</v>
      </c>
      <c r="E134" s="180" t="s">
        <v>446</v>
      </c>
      <c r="F134" s="188"/>
      <c r="G134" s="179" t="s">
        <v>128</v>
      </c>
      <c r="H134" s="190"/>
      <c r="I134" s="190"/>
      <c r="J134" s="187" t="s">
        <v>2735</v>
      </c>
      <c r="K134" s="187" t="s">
        <v>6576</v>
      </c>
      <c r="L134" s="270" t="str">
        <f>IFERROR(__xludf.DUMMYFUNCTION("IF(
  AND(D134=""Saída"", J134=""Sangria""),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"),"Confirmada")</f>
        <v>Confirmada</v>
      </c>
      <c r="M134" s="272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IFERROR(__xludf.DUMMYFUNCTION("ifna(VALUE(REGEXEXTRACT(E134,""[0-9.]+[,]+[0-9]+"")))"),700.0)</f>
        <v>700</v>
      </c>
      <c r="O134" s="305">
        <f>IFERROR(__xludf.DUMMYFUNCTION("""COMPUTED_VALUE"""),2023924.0)</f>
        <v>2023924</v>
      </c>
      <c r="P134" s="306">
        <f>IFERROR(__xludf.DUMMYFUNCTION("""COMPUTED_VALUE"""),46078.69380787037)</f>
        <v>46078.69381</v>
      </c>
      <c r="Q134" s="305" t="str">
        <f>IFERROR(__xludf.DUMMYFUNCTION("""COMPUTED_VALUE"""),"Saída")</f>
        <v>Saída</v>
      </c>
      <c r="R134" s="307" t="str">
        <f>IFERROR(__xludf.DUMMYFUNCTION("""COMPUTED_VALUE"""),"R$ 13,84")</f>
        <v>R$ 13,84</v>
      </c>
      <c r="S134" s="305" t="str">
        <f>IFERROR(__xludf.DUMMYFUNCTION("""COMPUTED_VALUE"""),"DOAÇÃO")</f>
        <v>DOAÇÃO</v>
      </c>
      <c r="V134" s="305" t="str">
        <f>IFERROR(__xludf.DUMMYFUNCTION("""COMPUTED_VALUE"""),"Não Encontrada")</f>
        <v>Não Encontrada</v>
      </c>
      <c r="W134" s="25"/>
    </row>
    <row r="135" ht="14.25" customHeight="1">
      <c r="A135" s="178"/>
      <c r="B135" s="12">
        <v>2012349.0</v>
      </c>
      <c r="C135" s="13">
        <v>46072.92275462963</v>
      </c>
      <c r="D135" s="179" t="s">
        <v>152</v>
      </c>
      <c r="E135" s="180" t="s">
        <v>386</v>
      </c>
      <c r="F135" s="181"/>
      <c r="G135" s="322" t="s">
        <v>6341</v>
      </c>
      <c r="H135" s="190"/>
      <c r="I135" s="190"/>
      <c r="J135" s="187"/>
      <c r="K135" s="187"/>
      <c r="L135" s="270" t="str">
        <f>IFERROR(__xludf.DUMMYFUNCTION("IF(
  AND(D135=""Saída"", J135=""Sangria""),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74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IFERROR(__xludf.DUMMYFUNCTION("ifna(VALUE(REGEXEXTRACT(E135,""[0-9.]+[,]+[0-9]+"")))"),84.0)</f>
        <v>84</v>
      </c>
      <c r="O135" s="301"/>
      <c r="P135" s="321"/>
      <c r="Q135" s="301"/>
      <c r="R135" s="301"/>
      <c r="S135" s="301"/>
      <c r="V135" s="301"/>
      <c r="W135" s="25"/>
    </row>
    <row r="136" ht="14.25" customHeight="1">
      <c r="A136" s="178"/>
      <c r="B136" s="12">
        <v>2012350.0</v>
      </c>
      <c r="C136" s="13">
        <v>46072.92275462963</v>
      </c>
      <c r="D136" s="179" t="s">
        <v>81</v>
      </c>
      <c r="E136" s="180" t="s">
        <v>1228</v>
      </c>
      <c r="F136" s="181"/>
      <c r="G136" s="179" t="s">
        <v>381</v>
      </c>
      <c r="H136" s="190"/>
      <c r="I136" s="190"/>
      <c r="J136" s="187" t="s">
        <v>2735</v>
      </c>
      <c r="K136" s="187" t="s">
        <v>6576</v>
      </c>
      <c r="L136" s="270" t="str">
        <f>IFERROR(__xludf.DUMMYFUNCTION("IF(
  AND(D136=""Saída"", J136=""Sangria""),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"),"Confirmada")</f>
        <v>Confirmada</v>
      </c>
      <c r="M136" s="276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IFERROR(__xludf.DUMMYFUNCTION("ifna(VALUE(REGEXEXTRACT(E136,""[0-9.]+[,]+[0-9]+"")))"),950.0)</f>
        <v>950</v>
      </c>
      <c r="O136" s="305"/>
      <c r="P136" s="311"/>
      <c r="Q136" s="305"/>
      <c r="R136" s="305"/>
      <c r="S136" s="305"/>
      <c r="V136" s="305"/>
      <c r="W136" s="25"/>
    </row>
    <row r="137" ht="14.25" customHeight="1">
      <c r="A137" s="178"/>
      <c r="B137" s="12">
        <v>2012351.0</v>
      </c>
      <c r="C137" s="13">
        <v>46072.92275462963</v>
      </c>
      <c r="D137" s="179" t="s">
        <v>81</v>
      </c>
      <c r="E137" s="180" t="s">
        <v>386</v>
      </c>
      <c r="F137" s="181"/>
      <c r="G137" s="179" t="s">
        <v>267</v>
      </c>
      <c r="H137" s="190"/>
      <c r="I137" s="190"/>
      <c r="J137" s="187" t="s">
        <v>2669</v>
      </c>
      <c r="K137" s="187"/>
      <c r="L137" s="270" t="str">
        <f>IFERROR(__xludf.DUMMYFUNCTION("IF(
  AND(D137=""Saída"", J137=""Sangria""),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74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>
        <f>IFERROR(__xludf.DUMMYFUNCTION("ifna(VALUE(REGEXEXTRACT(E137,""[0-9.]+[,]+[0-9]+"")))"),84.0)</f>
        <v>84</v>
      </c>
      <c r="O137" s="301"/>
      <c r="P137" s="321"/>
      <c r="Q137" s="301"/>
      <c r="R137" s="301"/>
      <c r="S137" s="301"/>
      <c r="V137" s="301"/>
      <c r="W137" s="25"/>
    </row>
    <row r="138" ht="14.25" customHeight="1">
      <c r="A138" s="178"/>
      <c r="B138" s="12">
        <v>2012352.0</v>
      </c>
      <c r="C138" s="13">
        <v>46072.92275462963</v>
      </c>
      <c r="D138" s="179" t="s">
        <v>81</v>
      </c>
      <c r="E138" s="180" t="s">
        <v>7103</v>
      </c>
      <c r="F138" s="188"/>
      <c r="G138" s="179" t="s">
        <v>6372</v>
      </c>
      <c r="H138" s="190"/>
      <c r="I138" s="190"/>
      <c r="J138" s="187" t="s">
        <v>3151</v>
      </c>
      <c r="K138" s="187"/>
      <c r="L138" s="270" t="str">
        <f>IFERROR(__xludf.DUMMYFUNCTION("IF(
  AND(D138=""Saída"", J138=""Sangria""),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2" t="str">
        <f>IFERROR(__xludf.DUMMYFUNCTION("IF(J138=""Compra de Mercadorias"",
   IF(
      COUNTIF(ARRAYFORMULA(TRIM(CLEAN(TO_TEXT(Notas!BS:BS)))), TRIM(CLEAN(TO_TEXT(B138)))) &gt; 0,
      ""Encontrada"",
      ""Não Encontrada""
   ),
"""")"),"Não Encontrada")</f>
        <v>Não Encontrada</v>
      </c>
      <c r="N138" s="185">
        <f>IFERROR(__xludf.DUMMYFUNCTION("ifna(VALUE(REGEXEXTRACT(E138,""[0-9.]+[,]+[0-9]+"")))"),99.48)</f>
        <v>99.48</v>
      </c>
      <c r="O138" s="305"/>
      <c r="P138" s="311"/>
      <c r="Q138" s="305"/>
      <c r="R138" s="305"/>
      <c r="S138" s="305"/>
      <c r="V138" s="305"/>
      <c r="W138" s="25"/>
    </row>
    <row r="139" ht="14.25" customHeight="1">
      <c r="A139" s="178"/>
      <c r="B139" s="12">
        <v>2013101.0</v>
      </c>
      <c r="C139" s="13">
        <v>46073.621932870374</v>
      </c>
      <c r="D139" s="179" t="s">
        <v>81</v>
      </c>
      <c r="E139" s="180" t="s">
        <v>7104</v>
      </c>
      <c r="F139" s="181"/>
      <c r="G139" s="179" t="s">
        <v>267</v>
      </c>
      <c r="H139" s="190"/>
      <c r="I139" s="190"/>
      <c r="J139" s="187" t="s">
        <v>5195</v>
      </c>
      <c r="K139" s="187"/>
      <c r="L139" s="270" t="str">
        <f>IFERROR(__xludf.DUMMYFUNCTION("IF(
  AND(D139=""Saída"", J139=""Sangria""),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74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IFERROR(__xludf.DUMMYFUNCTION("ifna(VALUE(REGEXEXTRACT(E139,""[0-9.]+[,]+[0-9]+"")))"),2.95)</f>
        <v>2.95</v>
      </c>
      <c r="O139" s="301"/>
      <c r="P139" s="310"/>
      <c r="Q139" s="301"/>
      <c r="R139" s="301"/>
      <c r="S139" s="301"/>
      <c r="V139" s="301"/>
      <c r="W139" s="25"/>
    </row>
    <row r="140" ht="14.25" customHeight="1">
      <c r="A140" s="178"/>
      <c r="B140" s="12">
        <v>2014015.0</v>
      </c>
      <c r="C140" s="13">
        <v>46073.869421296295</v>
      </c>
      <c r="D140" s="179" t="s">
        <v>81</v>
      </c>
      <c r="E140" s="180" t="s">
        <v>979</v>
      </c>
      <c r="F140" s="181"/>
      <c r="G140" s="179" t="s">
        <v>656</v>
      </c>
      <c r="H140" s="190"/>
      <c r="I140" s="190"/>
      <c r="J140" s="187" t="s">
        <v>2019</v>
      </c>
      <c r="K140" s="187" t="s">
        <v>2078</v>
      </c>
      <c r="L140" s="270" t="str">
        <f>IFERROR(__xludf.DUMMYFUNCTION("IF(
  AND(D140=""Saída"", J140=""Sangria""),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2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IFERROR(__xludf.DUMMYFUNCTION("ifna(VALUE(REGEXEXTRACT(E140,""[0-9.]+[,]+[0-9]+"")))"),3.0)</f>
        <v>3</v>
      </c>
      <c r="O140" s="305"/>
      <c r="P140" s="311"/>
      <c r="Q140" s="305"/>
      <c r="R140" s="305"/>
      <c r="S140" s="305"/>
      <c r="V140" s="305"/>
      <c r="W140" s="25"/>
    </row>
    <row r="141" ht="14.25" customHeight="1">
      <c r="A141" s="178"/>
      <c r="B141" s="12">
        <v>2014018.0</v>
      </c>
      <c r="C141" s="13">
        <v>46073.87012731482</v>
      </c>
      <c r="D141" s="179" t="s">
        <v>81</v>
      </c>
      <c r="E141" s="180" t="s">
        <v>7106</v>
      </c>
      <c r="F141" s="181"/>
      <c r="G141" s="179" t="s">
        <v>7107</v>
      </c>
      <c r="H141" s="190"/>
      <c r="I141" s="190"/>
      <c r="J141" s="187" t="s">
        <v>2438</v>
      </c>
      <c r="K141" s="187"/>
      <c r="L141" s="270" t="str">
        <f>IFERROR(__xludf.DUMMYFUNCTION("IF(
  AND(D141=""Saída"", J141=""Sangria""),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74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>
        <f>IFERROR(__xludf.DUMMYFUNCTION("ifna(VALUE(REGEXEXTRACT(E141,""[0-9.]+[,]+[0-9]+"")))"),144.04)</f>
        <v>144.04</v>
      </c>
      <c r="O141" s="304"/>
      <c r="P141" s="312"/>
      <c r="Q141" s="304"/>
      <c r="R141" s="304"/>
      <c r="S141" s="304"/>
      <c r="V141" s="304"/>
      <c r="W141" s="185"/>
    </row>
    <row r="142" ht="14.25" customHeight="1">
      <c r="A142" s="178"/>
      <c r="B142" s="12">
        <v>2014515.0</v>
      </c>
      <c r="C142" s="13">
        <v>46073.94290509259</v>
      </c>
      <c r="D142" s="179" t="s">
        <v>81</v>
      </c>
      <c r="E142" s="180" t="s">
        <v>5437</v>
      </c>
      <c r="F142" s="181"/>
      <c r="G142" s="179" t="s">
        <v>381</v>
      </c>
      <c r="H142" s="190"/>
      <c r="I142" s="190"/>
      <c r="J142" s="187" t="s">
        <v>2735</v>
      </c>
      <c r="K142" s="187" t="s">
        <v>6576</v>
      </c>
      <c r="L142" s="270" t="str">
        <f>IFERROR(__xludf.DUMMYFUNCTION("IF(
  AND(D142=""Saída"", J142=""Sangria""),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"),"Confirmada")</f>
        <v>Confirmada</v>
      </c>
      <c r="M142" s="272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>
        <f>IFERROR(__xludf.DUMMYFUNCTION("ifna(VALUE(REGEXEXTRACT(E142,""[0-9.]+[,]+[0-9]+"")))"),600.0)</f>
        <v>600</v>
      </c>
      <c r="O142" s="308"/>
      <c r="P142" s="313"/>
      <c r="Q142" s="308"/>
      <c r="R142" s="308"/>
      <c r="S142" s="308"/>
      <c r="V142" s="308"/>
      <c r="W142" s="185"/>
    </row>
    <row r="143" ht="14.25" customHeight="1">
      <c r="A143" s="178"/>
      <c r="B143" s="12">
        <v>2015792.0</v>
      </c>
      <c r="C143" s="13">
        <v>46074.77359953704</v>
      </c>
      <c r="D143" s="179" t="s">
        <v>81</v>
      </c>
      <c r="E143" s="180" t="s">
        <v>7111</v>
      </c>
      <c r="F143" s="181"/>
      <c r="G143" s="179" t="s">
        <v>6372</v>
      </c>
      <c r="H143" s="190"/>
      <c r="I143" s="190"/>
      <c r="J143" s="187" t="s">
        <v>3151</v>
      </c>
      <c r="K143" s="187"/>
      <c r="L143" s="270" t="str">
        <f>IFERROR(__xludf.DUMMYFUNCTION("IF(
  AND(D143=""Saída"", J143=""Sangria""),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74" t="str">
        <f>IFERROR(__xludf.DUMMYFUNCTION("IF(J143=""Compra de Mercadorias"",
   IF(
      COUNTIF(ARRAYFORMULA(TRIM(CLEAN(TO_TEXT(Notas!BS:BS)))), TRIM(CLEAN(TO_TEXT(B143)))) &gt; 0,
      ""Encontrada"",
      ""Não Encontrada""
   ),
"""")"),"Não Encontrada")</f>
        <v>Não Encontrada</v>
      </c>
      <c r="N143" s="185">
        <f>IFERROR(__xludf.DUMMYFUNCTION("ifna(VALUE(REGEXEXTRACT(E143,""[0-9.]+[,]+[0-9]+"")))"),7.59)</f>
        <v>7.59</v>
      </c>
      <c r="O143" s="304"/>
      <c r="P143" s="312"/>
      <c r="Q143" s="304"/>
      <c r="R143" s="304"/>
      <c r="S143" s="304"/>
      <c r="V143" s="304"/>
      <c r="W143" s="185"/>
    </row>
    <row r="144" ht="14.25" customHeight="1">
      <c r="A144" s="178"/>
      <c r="B144" s="12">
        <v>2015793.0</v>
      </c>
      <c r="C144" s="13">
        <v>46074.77375</v>
      </c>
      <c r="D144" s="179" t="s">
        <v>81</v>
      </c>
      <c r="E144" s="180" t="s">
        <v>7113</v>
      </c>
      <c r="F144" s="181"/>
      <c r="G144" s="179" t="s">
        <v>6372</v>
      </c>
      <c r="H144" s="190"/>
      <c r="I144" s="190"/>
      <c r="J144" s="187" t="s">
        <v>3151</v>
      </c>
      <c r="K144" s="187"/>
      <c r="L144" s="270" t="str">
        <f>IFERROR(__xludf.DUMMYFUNCTION("IF(
  AND(D144=""Saída"", J144=""Sangria""),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2" t="str">
        <f>IFERROR(__xludf.DUMMYFUNCTION("IF(J144=""Compra de Mercadorias"",
   IF(
      COUNTIF(ARRAYFORMULA(TRIM(CLEAN(TO_TEXT(Notas!BS:BS)))), TRIM(CLEAN(TO_TEXT(B144)))) &gt; 0,
      ""Encontrada"",
      ""Não Encontrada""
   ),
"""")"),"Não Encontrada")</f>
        <v>Não Encontrada</v>
      </c>
      <c r="N144" s="185">
        <f>IFERROR(__xludf.DUMMYFUNCTION("ifna(VALUE(REGEXEXTRACT(E144,""[0-9.]+[,]+[0-9]+"")))"),27.98)</f>
        <v>27.98</v>
      </c>
      <c r="O144" s="308"/>
      <c r="P144" s="313"/>
      <c r="Q144" s="308"/>
      <c r="R144" s="308"/>
      <c r="S144" s="308"/>
      <c r="V144" s="308"/>
      <c r="W144" s="185"/>
    </row>
    <row r="145" ht="14.25" customHeight="1">
      <c r="A145" s="178"/>
      <c r="B145" s="12">
        <v>2015903.0</v>
      </c>
      <c r="C145" s="13">
        <v>46074.797372685185</v>
      </c>
      <c r="D145" s="179" t="s">
        <v>81</v>
      </c>
      <c r="E145" s="180" t="s">
        <v>5300</v>
      </c>
      <c r="F145" s="181"/>
      <c r="G145" s="179" t="s">
        <v>6711</v>
      </c>
      <c r="H145" s="190"/>
      <c r="I145" s="190"/>
      <c r="J145" s="187" t="s">
        <v>1782</v>
      </c>
      <c r="K145" s="187"/>
      <c r="L145" s="270" t="str">
        <f>IFERROR(__xludf.DUMMYFUNCTION("IF(
  AND(D145=""Saída"", J145=""Sangria""),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74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IFERROR(__xludf.DUMMYFUNCTION("ifna(VALUE(REGEXEXTRACT(E145,""[0-9.]+[,]+[0-9]+"")))"),52.0)</f>
        <v>52</v>
      </c>
      <c r="O145" s="304"/>
      <c r="P145" s="312"/>
      <c r="Q145" s="304"/>
      <c r="R145" s="304"/>
      <c r="S145" s="304"/>
      <c r="V145" s="304"/>
      <c r="W145" s="185"/>
    </row>
    <row r="146" ht="14.25" customHeight="1">
      <c r="A146" s="178"/>
      <c r="B146" s="12">
        <v>2016869.0</v>
      </c>
      <c r="C146" s="13">
        <v>46074.94744212963</v>
      </c>
      <c r="D146" s="179" t="s">
        <v>81</v>
      </c>
      <c r="E146" s="180" t="s">
        <v>7115</v>
      </c>
      <c r="F146" s="181"/>
      <c r="G146" s="179" t="s">
        <v>381</v>
      </c>
      <c r="H146" s="190"/>
      <c r="I146" s="190"/>
      <c r="J146" s="187" t="s">
        <v>2735</v>
      </c>
      <c r="K146" s="187" t="s">
        <v>6576</v>
      </c>
      <c r="L146" s="270" t="str">
        <f>IFERROR(__xludf.DUMMYFUNCTION("IF(
  AND(D146=""Saída"", J146=""Sangria""),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"),"Confirmada")</f>
        <v>Confirmada</v>
      </c>
      <c r="M146" s="272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>
        <f>IFERROR(__xludf.DUMMYFUNCTION("ifna(VALUE(REGEXEXTRACT(E146,""[0-9.]+[,]+[0-9]+"")))"),1750.0)</f>
        <v>1750</v>
      </c>
      <c r="O146" s="308"/>
      <c r="P146" s="313"/>
      <c r="Q146" s="308"/>
      <c r="R146" s="308"/>
      <c r="S146" s="308"/>
      <c r="V146" s="308"/>
      <c r="W146" s="185"/>
    </row>
    <row r="147" ht="14.25" customHeight="1">
      <c r="A147" s="178"/>
      <c r="B147" s="12">
        <v>2017396.0</v>
      </c>
      <c r="C147" s="13">
        <v>46075.568078703705</v>
      </c>
      <c r="D147" s="179" t="s">
        <v>152</v>
      </c>
      <c r="E147" s="180" t="s">
        <v>7116</v>
      </c>
      <c r="F147" s="181"/>
      <c r="G147" s="179" t="s">
        <v>158</v>
      </c>
      <c r="H147" s="190"/>
      <c r="I147" s="190"/>
      <c r="J147" s="187" t="s">
        <v>5195</v>
      </c>
      <c r="K147" s="187"/>
      <c r="L147" s="270" t="str">
        <f>IFERROR(__xludf.DUMMYFUNCTION("IF(
  AND(D147=""Saída"", J147=""Sangria""),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74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>
        <f>IFERROR(__xludf.DUMMYFUNCTION("ifna(VALUE(REGEXEXTRACT(E147,""[0-9.]+[,]+[0-9]+"")))"),94.55)</f>
        <v>94.55</v>
      </c>
      <c r="O147" s="304"/>
      <c r="P147" s="312"/>
      <c r="Q147" s="304"/>
      <c r="R147" s="304"/>
      <c r="S147" s="304"/>
      <c r="V147" s="304"/>
      <c r="W147" s="185"/>
    </row>
    <row r="148" ht="14.25" customHeight="1">
      <c r="A148" s="178"/>
      <c r="B148" s="12">
        <v>2017797.0</v>
      </c>
      <c r="C148" s="13">
        <v>46075.6877662037</v>
      </c>
      <c r="D148" s="179" t="s">
        <v>81</v>
      </c>
      <c r="E148" s="180" t="s">
        <v>7118</v>
      </c>
      <c r="F148" s="181"/>
      <c r="G148" s="179" t="s">
        <v>7119</v>
      </c>
      <c r="H148" s="190"/>
      <c r="I148" s="190"/>
      <c r="J148" s="187" t="s">
        <v>2438</v>
      </c>
      <c r="K148" s="187"/>
      <c r="L148" s="270" t="str">
        <f>IFERROR(__xludf.DUMMYFUNCTION("IF(
  AND(D148=""Saída"", J148=""Sangria""),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2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IFERROR(__xludf.DUMMYFUNCTION("ifna(VALUE(REGEXEXTRACT(E148,""[0-9.]+[,]+[0-9]+"")))"),67.93)</f>
        <v>67.93</v>
      </c>
      <c r="O148" s="308"/>
      <c r="P148" s="313"/>
      <c r="Q148" s="308"/>
      <c r="R148" s="308"/>
      <c r="S148" s="308"/>
      <c r="V148" s="308"/>
      <c r="W148" s="185"/>
    </row>
    <row r="149" ht="14.25" customHeight="1">
      <c r="A149" s="178"/>
      <c r="B149" s="12">
        <v>2018296.0</v>
      </c>
      <c r="C149" s="13">
        <v>46075.76818287037</v>
      </c>
      <c r="D149" s="179" t="s">
        <v>81</v>
      </c>
      <c r="E149" s="180" t="s">
        <v>7120</v>
      </c>
      <c r="F149" s="181"/>
      <c r="G149" s="179" t="s">
        <v>460</v>
      </c>
      <c r="H149" s="190"/>
      <c r="I149" s="190"/>
      <c r="J149" s="187" t="s">
        <v>3151</v>
      </c>
      <c r="K149" s="187"/>
      <c r="L149" s="270" t="str">
        <f>IFERROR(__xludf.DUMMYFUNCTION("IF(
  AND(D149=""Saída"", J149=""Sangria""),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74" t="str">
        <f>IFERROR(__xludf.DUMMYFUNCTION("IF(J149=""Compra de Mercadorias"",
   IF(
      COUNTIF(ARRAYFORMULA(TRIM(CLEAN(TO_TEXT(Notas!BS:BS)))), TRIM(CLEAN(TO_TEXT(B149)))) &gt; 0,
      ""Encontrada"",
      ""Não Encontrada""
   ),
"""")"),"Não Encontrada")</f>
        <v>Não Encontrada</v>
      </c>
      <c r="N149" s="185">
        <f>IFERROR(__xludf.DUMMYFUNCTION("ifna(VALUE(REGEXEXTRACT(E149,""[0-9.]+[,]+[0-9]+"")))"),34.48)</f>
        <v>34.48</v>
      </c>
      <c r="O149" s="304"/>
      <c r="P149" s="312"/>
      <c r="Q149" s="304"/>
      <c r="R149" s="304"/>
      <c r="S149" s="304"/>
      <c r="V149" s="304"/>
      <c r="W149" s="185"/>
    </row>
    <row r="150" ht="14.25" customHeight="1">
      <c r="A150" s="178"/>
      <c r="B150" s="12">
        <v>2018297.0</v>
      </c>
      <c r="C150" s="13">
        <v>46075.76834490741</v>
      </c>
      <c r="D150" s="179" t="s">
        <v>81</v>
      </c>
      <c r="E150" s="180" t="s">
        <v>335</v>
      </c>
      <c r="F150" s="181"/>
      <c r="G150" s="179" t="s">
        <v>5356</v>
      </c>
      <c r="H150" s="190"/>
      <c r="I150" s="190"/>
      <c r="J150" s="187" t="s">
        <v>3375</v>
      </c>
      <c r="K150" s="187"/>
      <c r="L150" s="270" t="str">
        <f>IFERROR(__xludf.DUMMYFUNCTION("IF(
  AND(D150=""Saída"", J150=""Sangria""),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2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IFERROR(__xludf.DUMMYFUNCTION("ifna(VALUE(REGEXEXTRACT(E150,""[0-9.]+[,]+[0-9]+"")))"),10.0)</f>
        <v>10</v>
      </c>
      <c r="O150" s="308"/>
      <c r="P150" s="313"/>
      <c r="Q150" s="308"/>
      <c r="R150" s="308"/>
      <c r="S150" s="308"/>
      <c r="V150" s="308"/>
      <c r="W150" s="185"/>
    </row>
    <row r="151" ht="14.25" customHeight="1">
      <c r="A151" s="178"/>
      <c r="B151" s="12">
        <v>2019793.0</v>
      </c>
      <c r="C151" s="13">
        <v>46075.94756944444</v>
      </c>
      <c r="D151" s="179" t="s">
        <v>81</v>
      </c>
      <c r="E151" s="180" t="s">
        <v>6784</v>
      </c>
      <c r="F151" s="181"/>
      <c r="G151" s="179" t="s">
        <v>6711</v>
      </c>
      <c r="H151" s="190"/>
      <c r="I151" s="190"/>
      <c r="J151" s="187" t="s">
        <v>1782</v>
      </c>
      <c r="K151" s="187"/>
      <c r="L151" s="270" t="str">
        <f>IFERROR(__xludf.DUMMYFUNCTION("IF(
  AND(D151=""Saída"", J151=""Sangria""),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74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IFERROR(__xludf.DUMMYFUNCTION("ifna(VALUE(REGEXEXTRACT(E151,""[0-9.]+[,]+[0-9]+"")))"),107.0)</f>
        <v>107</v>
      </c>
      <c r="O151" s="304"/>
      <c r="P151" s="312"/>
      <c r="Q151" s="304"/>
      <c r="R151" s="304"/>
      <c r="S151" s="304"/>
      <c r="V151" s="304"/>
      <c r="W151" s="185"/>
    </row>
    <row r="152" ht="14.25" customHeight="1">
      <c r="A152" s="178"/>
      <c r="B152" s="12">
        <v>2019796.0</v>
      </c>
      <c r="C152" s="13">
        <v>46075.94778935185</v>
      </c>
      <c r="D152" s="179" t="s">
        <v>81</v>
      </c>
      <c r="E152" s="180" t="s">
        <v>7127</v>
      </c>
      <c r="F152" s="188"/>
      <c r="G152" s="179" t="s">
        <v>6989</v>
      </c>
      <c r="H152" s="190"/>
      <c r="I152" s="190"/>
      <c r="J152" s="187" t="s">
        <v>1782</v>
      </c>
      <c r="K152" s="187"/>
      <c r="L152" s="270" t="str">
        <f>IFERROR(__xludf.DUMMYFUNCTION("IF(
  AND(D152=""Saída"", J152=""Sangria""),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2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IFERROR(__xludf.DUMMYFUNCTION("ifna(VALUE(REGEXEXTRACT(E152,""[0-9.]+[,]+[0-9]+"")))"),224.0)</f>
        <v>224</v>
      </c>
      <c r="O152" s="308"/>
      <c r="P152" s="313"/>
      <c r="Q152" s="308"/>
      <c r="R152" s="308"/>
      <c r="S152" s="308"/>
      <c r="V152" s="308"/>
      <c r="W152" s="185"/>
    </row>
    <row r="153" ht="14.25" customHeight="1">
      <c r="A153" s="178"/>
      <c r="B153" s="12">
        <v>2019820.0</v>
      </c>
      <c r="C153" s="13">
        <v>46075.950625</v>
      </c>
      <c r="D153" s="179" t="s">
        <v>81</v>
      </c>
      <c r="E153" s="180" t="s">
        <v>7115</v>
      </c>
      <c r="F153" s="188"/>
      <c r="G153" s="179" t="s">
        <v>381</v>
      </c>
      <c r="H153" s="190"/>
      <c r="I153" s="190"/>
      <c r="J153" s="187" t="s">
        <v>2735</v>
      </c>
      <c r="K153" s="187" t="s">
        <v>6576</v>
      </c>
      <c r="L153" s="270" t="str">
        <f>IFERROR(__xludf.DUMMYFUNCTION("IF(
  AND(D153=""Saída"", J153=""Sangria""),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"),"Confirmada")</f>
        <v>Confirmada</v>
      </c>
      <c r="M153" s="274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IFERROR(__xludf.DUMMYFUNCTION("ifna(VALUE(REGEXEXTRACT(E153,""[0-9.]+[,]+[0-9]+"")))"),1750.0)</f>
        <v>1750</v>
      </c>
      <c r="O153" s="304"/>
      <c r="P153" s="312"/>
      <c r="Q153" s="304"/>
      <c r="R153" s="304"/>
      <c r="S153" s="304"/>
      <c r="V153" s="304"/>
      <c r="W153" s="185"/>
    </row>
    <row r="154" ht="14.25" customHeight="1">
      <c r="A154" s="178"/>
      <c r="B154" s="12">
        <v>2019822.0</v>
      </c>
      <c r="C154" s="13">
        <v>46075.95082175926</v>
      </c>
      <c r="D154" s="179" t="s">
        <v>81</v>
      </c>
      <c r="E154" s="180" t="s">
        <v>979</v>
      </c>
      <c r="F154" s="181"/>
      <c r="G154" s="179" t="s">
        <v>544</v>
      </c>
      <c r="H154" s="190"/>
      <c r="I154" s="190"/>
      <c r="J154" s="187" t="s">
        <v>2019</v>
      </c>
      <c r="K154" s="187" t="s">
        <v>2078</v>
      </c>
      <c r="L154" s="270" t="str">
        <f>IFERROR(__xludf.DUMMYFUNCTION("IF(
  AND(D154=""Saída"", J154=""Sangria""),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2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IFERROR(__xludf.DUMMYFUNCTION("ifna(VALUE(REGEXEXTRACT(E154,""[0-9.]+[,]+[0-9]+"")))"),3.0)</f>
        <v>3</v>
      </c>
      <c r="O154" s="308"/>
      <c r="P154" s="313"/>
      <c r="Q154" s="308"/>
      <c r="R154" s="308"/>
      <c r="S154" s="308"/>
      <c r="V154" s="308"/>
      <c r="W154" s="185"/>
    </row>
    <row r="155" ht="14.25" customHeight="1">
      <c r="A155" s="178"/>
      <c r="B155" s="12">
        <v>2021508.0</v>
      </c>
      <c r="C155" s="13">
        <v>46076.92306712963</v>
      </c>
      <c r="D155" s="179" t="s">
        <v>81</v>
      </c>
      <c r="E155" s="180" t="s">
        <v>146</v>
      </c>
      <c r="F155" s="181"/>
      <c r="G155" s="179" t="s">
        <v>4071</v>
      </c>
      <c r="H155" s="190"/>
      <c r="I155" s="190"/>
      <c r="J155" s="187" t="s">
        <v>2735</v>
      </c>
      <c r="K155" s="187" t="s">
        <v>2018</v>
      </c>
      <c r="L155" s="270" t="str">
        <f>IFERROR(__xludf.DUMMYFUNCTION("IF(
  AND(D155=""Saída"", J155=""Sangria""),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"),"Confirmada")</f>
        <v>Confirmada</v>
      </c>
      <c r="M155" s="274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IFERROR(__xludf.DUMMYFUNCTION("ifna(VALUE(REGEXEXTRACT(E155,""[0-9.]+[,]+[0-9]+"")))"),400.0)</f>
        <v>400</v>
      </c>
      <c r="O155" s="304"/>
      <c r="P155" s="312"/>
      <c r="Q155" s="304"/>
      <c r="R155" s="304"/>
      <c r="S155" s="304"/>
      <c r="V155" s="304"/>
      <c r="W155" s="185"/>
    </row>
    <row r="156" ht="14.25" customHeight="1">
      <c r="A156" s="178"/>
      <c r="B156" s="12">
        <v>2021515.0</v>
      </c>
      <c r="C156" s="13">
        <v>46076.92361111111</v>
      </c>
      <c r="D156" s="179" t="s">
        <v>81</v>
      </c>
      <c r="E156" s="180" t="s">
        <v>7131</v>
      </c>
      <c r="F156" s="181"/>
      <c r="G156" s="179" t="s">
        <v>544</v>
      </c>
      <c r="H156" s="190"/>
      <c r="I156" s="190"/>
      <c r="J156" s="187" t="s">
        <v>2019</v>
      </c>
      <c r="K156" s="187" t="s">
        <v>2078</v>
      </c>
      <c r="L156" s="270" t="str">
        <f>IFERROR(__xludf.DUMMYFUNCTION("IF(
  AND(D156=""Saída"", J156=""Sangria""),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2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IFERROR(__xludf.DUMMYFUNCTION("ifna(VALUE(REGEXEXTRACT(E156,""[0-9.]+[,]+[0-9]+"")))"),9.81)</f>
        <v>9.81</v>
      </c>
      <c r="O156" s="308"/>
      <c r="P156" s="313"/>
      <c r="Q156" s="308"/>
      <c r="R156" s="308"/>
      <c r="S156" s="308"/>
      <c r="V156" s="308"/>
      <c r="W156" s="185"/>
    </row>
    <row r="157" ht="14.25" customHeight="1">
      <c r="A157" s="178"/>
      <c r="B157" s="12">
        <v>2021529.0</v>
      </c>
      <c r="C157" s="13">
        <v>46076.924849537034</v>
      </c>
      <c r="D157" s="179" t="s">
        <v>81</v>
      </c>
      <c r="E157" s="180" t="s">
        <v>590</v>
      </c>
      <c r="F157" s="181"/>
      <c r="G157" s="179" t="s">
        <v>381</v>
      </c>
      <c r="H157" s="190"/>
      <c r="I157" s="190"/>
      <c r="J157" s="187" t="s">
        <v>2735</v>
      </c>
      <c r="K157" s="187" t="s">
        <v>6576</v>
      </c>
      <c r="L157" s="270" t="str">
        <f>IFERROR(__xludf.DUMMYFUNCTION("IF(
  AND(D157=""Saída"", J157=""Sangria""),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"),"Confirmada")</f>
        <v>Confirmada</v>
      </c>
      <c r="M157" s="274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IFERROR(__xludf.DUMMYFUNCTION("ifna(VALUE(REGEXEXTRACT(E157,""[0-9.]+[,]+[0-9]+"")))"),350.0)</f>
        <v>350</v>
      </c>
      <c r="O157" s="304"/>
      <c r="P157" s="312"/>
      <c r="Q157" s="304"/>
      <c r="R157" s="304"/>
      <c r="S157" s="304"/>
      <c r="V157" s="304"/>
      <c r="W157" s="185"/>
    </row>
    <row r="158" ht="14.25" customHeight="1">
      <c r="A158" s="178"/>
      <c r="B158" s="12">
        <v>2022995.0</v>
      </c>
      <c r="C158" s="13">
        <v>46077.91400462963</v>
      </c>
      <c r="D158" s="179" t="s">
        <v>81</v>
      </c>
      <c r="E158" s="180" t="s">
        <v>7132</v>
      </c>
      <c r="F158" s="188"/>
      <c r="G158" s="179" t="s">
        <v>193</v>
      </c>
      <c r="H158" s="190"/>
      <c r="I158" s="190"/>
      <c r="J158" s="187" t="s">
        <v>3151</v>
      </c>
      <c r="K158" s="187"/>
      <c r="L158" s="270" t="str">
        <f>IFERROR(__xludf.DUMMYFUNCTION("IF(
  AND(D158=""Saída"", J158=""Sangria""),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2" t="str">
        <f>IFERROR(__xludf.DUMMYFUNCTION("IF(J158=""Compra de Mercadorias"",
   IF(
      COUNTIF(ARRAYFORMULA(TRIM(CLEAN(TO_TEXT(Notas!BS:BS)))), TRIM(CLEAN(TO_TEXT(B158)))) &gt; 0,
      ""Encontrada"",
      ""Não Encontrada""
   ),
"""")"),"Não Encontrada")</f>
        <v>Não Encontrada</v>
      </c>
      <c r="N158" s="185">
        <f>IFERROR(__xludf.DUMMYFUNCTION("ifna(VALUE(REGEXEXTRACT(E158,""[0-9.]+[,]+[0-9]+"")))"),11.97)</f>
        <v>11.97</v>
      </c>
      <c r="O158" s="308"/>
      <c r="P158" s="313"/>
      <c r="Q158" s="308"/>
      <c r="R158" s="308"/>
      <c r="S158" s="308"/>
      <c r="V158" s="308"/>
      <c r="W158" s="185"/>
    </row>
    <row r="159" ht="14.25" customHeight="1">
      <c r="A159" s="178"/>
      <c r="B159" s="12">
        <v>2023008.0</v>
      </c>
      <c r="C159" s="13">
        <v>46077.91578703704</v>
      </c>
      <c r="D159" s="179" t="s">
        <v>81</v>
      </c>
      <c r="E159" s="180" t="s">
        <v>979</v>
      </c>
      <c r="F159" s="181"/>
      <c r="G159" s="179" t="s">
        <v>6838</v>
      </c>
      <c r="H159" s="190"/>
      <c r="I159" s="190"/>
      <c r="J159" s="187" t="s">
        <v>2019</v>
      </c>
      <c r="K159" s="187" t="s">
        <v>6745</v>
      </c>
      <c r="L159" s="270" t="str">
        <f>IFERROR(__xludf.DUMMYFUNCTION("IF(
  AND(D159=""Saída"", J159=""Sangria""),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74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IFERROR(__xludf.DUMMYFUNCTION("ifna(VALUE(REGEXEXTRACT(E159,""[0-9.]+[,]+[0-9]+"")))"),3.0)</f>
        <v>3</v>
      </c>
      <c r="O159" s="185"/>
      <c r="P159" s="185"/>
      <c r="Q159" s="185"/>
      <c r="R159" s="185"/>
      <c r="S159" s="185"/>
      <c r="T159" s="185"/>
      <c r="U159" s="185"/>
      <c r="V159" s="185"/>
      <c r="W159" s="185"/>
    </row>
    <row r="160" ht="14.25" customHeight="1">
      <c r="A160" s="178"/>
      <c r="B160" s="12">
        <v>2023624.0</v>
      </c>
      <c r="C160" s="13">
        <v>46078.58162037037</v>
      </c>
      <c r="D160" s="179" t="s">
        <v>152</v>
      </c>
      <c r="E160" s="180" t="s">
        <v>7135</v>
      </c>
      <c r="F160" s="181"/>
      <c r="G160" s="179" t="s">
        <v>158</v>
      </c>
      <c r="H160" s="190"/>
      <c r="I160" s="190"/>
      <c r="J160" s="187" t="s">
        <v>5195</v>
      </c>
      <c r="K160" s="187"/>
      <c r="L160" s="270" t="str">
        <f>IFERROR(__xludf.DUMMYFUNCTION("IF(
  AND(D160=""Saída"", J160=""Sangria""),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2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IFERROR(__xludf.DUMMYFUNCTION("ifna(VALUE(REGEXEXTRACT(E160,""[0-9.]+[,]+[0-9]+"")))"),26.5)</f>
        <v>26.5</v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4.25" customHeight="1">
      <c r="A161" s="178"/>
      <c r="B161" s="12">
        <v>2023755.0</v>
      </c>
      <c r="C161" s="13">
        <v>46078.63611111111</v>
      </c>
      <c r="D161" s="179" t="s">
        <v>152</v>
      </c>
      <c r="E161" s="180" t="s">
        <v>485</v>
      </c>
      <c r="F161" s="188"/>
      <c r="G161" s="179" t="s">
        <v>7137</v>
      </c>
      <c r="H161" s="190"/>
      <c r="I161" s="190"/>
      <c r="J161" s="187" t="s">
        <v>5195</v>
      </c>
      <c r="K161" s="187"/>
      <c r="L161" s="270" t="str">
        <f>IFERROR(__xludf.DUMMYFUNCTION("IF(
  AND(D161=""Saída"", J161=""Sangria""),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74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>
        <f>IFERROR(__xludf.DUMMYFUNCTION("ifna(VALUE(REGEXEXTRACT(E161,""[0-9.]+[,]+[0-9]+"")))"),60.0)</f>
        <v>60</v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2">
        <v>2023897.0</v>
      </c>
      <c r="C162" s="13">
        <v>46078.6828125</v>
      </c>
      <c r="D162" s="179" t="s">
        <v>81</v>
      </c>
      <c r="E162" s="180" t="s">
        <v>5440</v>
      </c>
      <c r="F162" s="181"/>
      <c r="G162" s="179" t="s">
        <v>6743</v>
      </c>
      <c r="H162" s="190"/>
      <c r="I162" s="190"/>
      <c r="J162" s="187" t="s">
        <v>3151</v>
      </c>
      <c r="K162" s="187"/>
      <c r="L162" s="270" t="str">
        <f>IFERROR(__xludf.DUMMYFUNCTION("IF(
  AND(D162=""Saída"", J162=""Sangria""),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2" t="str">
        <f>IFERROR(__xludf.DUMMYFUNCTION("IF(J162=""Compra de Mercadorias"",
   IF(
      COUNTIF(ARRAYFORMULA(TRIM(CLEAN(TO_TEXT(Notas!BS:BS)))), TRIM(CLEAN(TO_TEXT(B162)))) &gt; 0,
      ""Encontrada"",
      ""Não Encontrada""
   ),
"""")"),"Não Encontrada")</f>
        <v>Não Encontrada</v>
      </c>
      <c r="N162" s="185">
        <f>IFERROR(__xludf.DUMMYFUNCTION("ifna(VALUE(REGEXEXTRACT(E162,""[0-9.]+[,]+[0-9]+"")))"),140.0)</f>
        <v>140</v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2">
        <v>2023924.0</v>
      </c>
      <c r="C163" s="13">
        <v>46078.69380787037</v>
      </c>
      <c r="D163" s="179" t="s">
        <v>81</v>
      </c>
      <c r="E163" s="180" t="s">
        <v>541</v>
      </c>
      <c r="F163" s="181"/>
      <c r="G163" s="179" t="s">
        <v>629</v>
      </c>
      <c r="H163" s="190"/>
      <c r="I163" s="190"/>
      <c r="J163" s="187" t="s">
        <v>3151</v>
      </c>
      <c r="K163" s="187"/>
      <c r="L163" s="270" t="str">
        <f>IFERROR(__xludf.DUMMYFUNCTION("IF(
  AND(D163=""Saída"", J163=""Sangria""),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74" t="str">
        <f>IFERROR(__xludf.DUMMYFUNCTION("IF(J163=""Compra de Mercadorias"",
   IF(
      COUNTIF(ARRAYFORMULA(TRIM(CLEAN(TO_TEXT(Notas!BS:BS)))), TRIM(CLEAN(TO_TEXT(B163)))) &gt; 0,
      ""Encontrada"",
      ""Não Encontrada""
   ),
"""")"),"Não Encontrada")</f>
        <v>Não Encontrada</v>
      </c>
      <c r="N163" s="185">
        <f>IFERROR(__xludf.DUMMYFUNCTION("ifna(VALUE(REGEXEXTRACT(E163,""[0-9.]+[,]+[0-9]+"")))"),13.84)</f>
        <v>13.84</v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2">
        <v>2024160.0</v>
      </c>
      <c r="C164" s="13">
        <v>46078.75996527778</v>
      </c>
      <c r="D164" s="179" t="s">
        <v>81</v>
      </c>
      <c r="E164" s="180" t="s">
        <v>5437</v>
      </c>
      <c r="F164" s="181"/>
      <c r="G164" s="179" t="s">
        <v>4071</v>
      </c>
      <c r="H164" s="190"/>
      <c r="I164" s="190"/>
      <c r="J164" s="187" t="s">
        <v>2735</v>
      </c>
      <c r="K164" s="187" t="s">
        <v>2018</v>
      </c>
      <c r="L164" s="270" t="str">
        <f>IFERROR(__xludf.DUMMYFUNCTION("IF(
  AND(D164=""Saída"", J164=""Sangria""),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"),"Confirmada")</f>
        <v>Confirmada</v>
      </c>
      <c r="M164" s="272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>
        <f>IFERROR(__xludf.DUMMYFUNCTION("ifna(VALUE(REGEXEXTRACT(E164,""[0-9.]+[,]+[0-9]+"")))"),600.0)</f>
        <v>600</v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2">
        <v>2024860.0</v>
      </c>
      <c r="C165" s="13">
        <v>46078.945543981485</v>
      </c>
      <c r="D165" s="179" t="s">
        <v>81</v>
      </c>
      <c r="E165" s="180" t="s">
        <v>162</v>
      </c>
      <c r="F165" s="181"/>
      <c r="G165" s="179" t="s">
        <v>381</v>
      </c>
      <c r="H165" s="190"/>
      <c r="I165" s="190"/>
      <c r="J165" s="187" t="s">
        <v>2735</v>
      </c>
      <c r="K165" s="187" t="s">
        <v>6576</v>
      </c>
      <c r="L165" s="270" t="str">
        <f>IFERROR(__xludf.DUMMYFUNCTION("IF(
  AND(D165=""Saída"", J165=""Sangria""),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"),"Confirmada")</f>
        <v>Confirmada</v>
      </c>
      <c r="M165" s="274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85">
        <f>IFERROR(__xludf.DUMMYFUNCTION("ifna(VALUE(REGEXEXTRACT(E165,""[0-9.]+[,]+[0-9]+"")))"),150.0)</f>
        <v>150</v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2"/>
      <c r="C166" s="13"/>
      <c r="D166" s="179"/>
      <c r="E166" s="180"/>
      <c r="F166" s="181"/>
      <c r="G166" s="179"/>
      <c r="H166" s="190"/>
      <c r="I166" s="190"/>
      <c r="J166" s="187"/>
      <c r="K166" s="187"/>
      <c r="L166" s="270" t="str">
        <f>IFERROR(__xludf.DUMMYFUNCTION("IF(
  AND(D166=""Saída"", J166=""Sangria""),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2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 t="str">
        <f>IFERROR(__xludf.DUMMYFUNCTION("ifna(VALUE(REGEXEXTRACT(E166,""[0-9.]+[,]+[0-9]+"")))"),"")</f>
        <v/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2"/>
      <c r="C167" s="13"/>
      <c r="D167" s="179"/>
      <c r="E167" s="180"/>
      <c r="F167" s="181"/>
      <c r="G167" s="179"/>
      <c r="H167" s="190"/>
      <c r="I167" s="190"/>
      <c r="J167" s="187"/>
      <c r="K167" s="187"/>
      <c r="L167" s="270" t="str">
        <f>IFERROR(__xludf.DUMMYFUNCTION("IF(
  AND(D167=""Saída"", J167=""Sangria""),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74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 t="str">
        <f>IFERROR(__xludf.DUMMYFUNCTION("ifna(VALUE(REGEXEXTRACT(E167,""[0-9.]+[,]+[0-9]+"")))"),"")</f>
        <v/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2"/>
      <c r="C168" s="13"/>
      <c r="D168" s="179"/>
      <c r="E168" s="180"/>
      <c r="F168" s="181"/>
      <c r="G168" s="179"/>
      <c r="H168" s="190"/>
      <c r="I168" s="190"/>
      <c r="J168" s="187"/>
      <c r="K168" s="187"/>
      <c r="L168" s="270" t="str">
        <f>IFERROR(__xludf.DUMMYFUNCTION("IF(
  AND(D168=""Saída"", J168=""Sangria""),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2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 t="str">
        <f>IFERROR(__xludf.DUMMYFUNCTION("ifna(VALUE(REGEXEXTRACT(E168,""[0-9.]+[,]+[0-9]+"")))"),"")</f>
        <v/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2"/>
      <c r="C169" s="13"/>
      <c r="D169" s="179"/>
      <c r="E169" s="180"/>
      <c r="F169" s="181"/>
      <c r="G169" s="179"/>
      <c r="H169" s="190"/>
      <c r="I169" s="190"/>
      <c r="J169" s="187"/>
      <c r="K169" s="187"/>
      <c r="L169" s="270" t="str">
        <f>IFERROR(__xludf.DUMMYFUNCTION("IF(
  AND(D169=""Saída"", J169=""Sangria""),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74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 t="str">
        <f>IFERROR(__xludf.DUMMYFUNCTION("ifna(VALUE(REGEXEXTRACT(E169,""[0-9.]+[,]+[0-9]+"")))"),"")</f>
        <v/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2"/>
      <c r="C170" s="13"/>
      <c r="D170" s="179"/>
      <c r="E170" s="180"/>
      <c r="F170" s="181"/>
      <c r="G170" s="179"/>
      <c r="H170" s="190"/>
      <c r="I170" s="190"/>
      <c r="J170" s="187"/>
      <c r="K170" s="187"/>
      <c r="L170" s="270" t="str">
        <f>IFERROR(__xludf.DUMMYFUNCTION("IF(
  AND(D170=""Saída"", J170=""Sangria""),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2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 t="str">
        <f>IFERROR(__xludf.DUMMYFUNCTION("ifna(VALUE(REGEXEXTRACT(E170,""[0-9.]+[,]+[0-9]+"")))"),"")</f>
        <v/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2"/>
      <c r="C171" s="13"/>
      <c r="D171" s="179"/>
      <c r="E171" s="180"/>
      <c r="F171" s="181"/>
      <c r="G171" s="179"/>
      <c r="H171" s="190"/>
      <c r="I171" s="190"/>
      <c r="J171" s="187"/>
      <c r="K171" s="187"/>
      <c r="L171" s="270" t="str">
        <f>IFERROR(__xludf.DUMMYFUNCTION("IF(
  AND(D171=""Saída"", J171=""Sangria""),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74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 t="str">
        <f>IFERROR(__xludf.DUMMYFUNCTION("ifna(VALUE(REGEXEXTRACT(E171,""[0-9.]+[,]+[0-9]+"")))"),"")</f>
        <v/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2"/>
      <c r="C172" s="13"/>
      <c r="D172" s="179"/>
      <c r="E172" s="180"/>
      <c r="F172" s="181"/>
      <c r="G172" s="179"/>
      <c r="H172" s="190"/>
      <c r="I172" s="190"/>
      <c r="J172" s="187"/>
      <c r="K172" s="187"/>
      <c r="L172" s="270" t="str">
        <f>IFERROR(__xludf.DUMMYFUNCTION("IF(
  AND(D172=""Saída"", J172=""Sangria""),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2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 t="str">
        <f>IFERROR(__xludf.DUMMYFUNCTION("ifna(VALUE(REGEXEXTRACT(E172,""[0-9.]+[,]+[0-9]+"")))"),"")</f>
        <v/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2"/>
      <c r="C173" s="13"/>
      <c r="D173" s="179"/>
      <c r="E173" s="180"/>
      <c r="F173" s="188"/>
      <c r="G173" s="179"/>
      <c r="H173" s="190"/>
      <c r="I173" s="190"/>
      <c r="J173" s="187"/>
      <c r="K173" s="187"/>
      <c r="L173" s="270" t="str">
        <f>IFERROR(__xludf.DUMMYFUNCTION("IF(
  AND(D173=""Saída"", J173=""Sangria""),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74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 t="str">
        <f>IFERROR(__xludf.DUMMYFUNCTION("ifna(VALUE(REGEXEXTRACT(E173,""[0-9.]+[,]+[0-9]+"")))"),"")</f>
        <v/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2"/>
      <c r="C174" s="13"/>
      <c r="D174" s="179"/>
      <c r="E174" s="180"/>
      <c r="F174" s="188"/>
      <c r="G174" s="179"/>
      <c r="H174" s="190"/>
      <c r="I174" s="190"/>
      <c r="J174" s="187"/>
      <c r="K174" s="187"/>
      <c r="L174" s="270" t="str">
        <f>IFERROR(__xludf.DUMMYFUNCTION("IF(
  AND(D174=""Saída"", J174=""Sangria""),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2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 t="str">
        <f>IFERROR(__xludf.DUMMYFUNCTION("ifna(VALUE(REGEXEXTRACT(E174,""[0-9.]+[,]+[0-9]+"")))"),"")</f>
        <v/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2"/>
      <c r="C175" s="13"/>
      <c r="D175" s="179"/>
      <c r="E175" s="180"/>
      <c r="F175" s="181"/>
      <c r="G175" s="179"/>
      <c r="H175" s="190"/>
      <c r="I175" s="190"/>
      <c r="J175" s="187"/>
      <c r="K175" s="187"/>
      <c r="L175" s="270" t="str">
        <f>IFERROR(__xludf.DUMMYFUNCTION("IF(
  AND(D175=""Saída"", J175=""Sangria""),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74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 t="str">
        <f>IFERROR(__xludf.DUMMYFUNCTION("ifna(VALUE(REGEXEXTRACT(E175,""[0-9.]+[,]+[0-9]+"")))"),"")</f>
        <v/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2"/>
      <c r="C176" s="13"/>
      <c r="D176" s="179"/>
      <c r="E176" s="180"/>
      <c r="F176" s="181"/>
      <c r="G176" s="179"/>
      <c r="H176" s="190"/>
      <c r="I176" s="190"/>
      <c r="J176" s="187"/>
      <c r="K176" s="187"/>
      <c r="L176" s="270" t="str">
        <f>IFERROR(__xludf.DUMMYFUNCTION("IF(
  AND(D176=""Saída"", J176=""Sangria""),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2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 t="str">
        <f>IFERROR(__xludf.DUMMYFUNCTION("ifna(VALUE(REGEXEXTRACT(E176,""[0-9.]+[,]+[0-9]+"")))"),"")</f>
        <v/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2"/>
      <c r="C177" s="13"/>
      <c r="D177" s="179"/>
      <c r="E177" s="180"/>
      <c r="F177" s="181"/>
      <c r="G177" s="179"/>
      <c r="H177" s="190"/>
      <c r="I177" s="190"/>
      <c r="J177" s="187"/>
      <c r="K177" s="187"/>
      <c r="L177" s="270" t="str">
        <f>IFERROR(__xludf.DUMMYFUNCTION("IF(
  AND(D177=""Saída"", J177=""Sangria""),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74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 t="str">
        <f>IFERROR(__xludf.DUMMYFUNCTION("ifna(VALUE(REGEXEXTRACT(E177,""[0-9.]+[,]+[0-9]+"")))"),"")</f>
        <v/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2"/>
      <c r="C178" s="13"/>
      <c r="D178" s="179"/>
      <c r="E178" s="180"/>
      <c r="F178" s="181"/>
      <c r="G178" s="179"/>
      <c r="H178" s="190"/>
      <c r="I178" s="190"/>
      <c r="J178" s="187"/>
      <c r="K178" s="187"/>
      <c r="L178" s="270" t="str">
        <f>IFERROR(__xludf.DUMMYFUNCTION("IF(
  AND(D178=""Saída"", J178=""Sangria""),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2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 t="str">
        <f>IFERROR(__xludf.DUMMYFUNCTION("ifna(VALUE(REGEXEXTRACT(E178,""[0-9.]+[,]+[0-9]+"")))"),"")</f>
        <v/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270" t="str">
        <f>IFERROR(__xludf.DUMMYFUNCTION("IF(
  AND(D179=""Saída"", J179=""Sangria""),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74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 t="str">
        <f>IFERROR(__xludf.DUMMYFUNCTION("ifna(VALUE(REGEXEXTRACT(E179,""[0-9.]+[,]+[0-9]+"")))"),"")</f>
        <v/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2"/>
      <c r="C180" s="13"/>
      <c r="D180" s="179"/>
      <c r="E180" s="180"/>
      <c r="F180" s="181"/>
      <c r="G180" s="179"/>
      <c r="H180" s="190"/>
      <c r="I180" s="190"/>
      <c r="J180" s="187"/>
      <c r="K180" s="187"/>
      <c r="L180" s="270" t="str">
        <f>IFERROR(__xludf.DUMMYFUNCTION("IF(
  AND(D180=""Saída"", J180=""Sangria""),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2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 t="str">
        <f>IFERROR(__xludf.DUMMYFUNCTION("ifna(VALUE(REGEXEXTRACT(E180,""[0-9.]+[,]+[0-9]+"")))"),"")</f>
        <v/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2"/>
      <c r="C181" s="13"/>
      <c r="D181" s="179"/>
      <c r="E181" s="180"/>
      <c r="F181" s="188"/>
      <c r="G181" s="179"/>
      <c r="H181" s="190"/>
      <c r="I181" s="190"/>
      <c r="J181" s="187"/>
      <c r="K181" s="187"/>
      <c r="L181" s="270" t="str">
        <f>IFERROR(__xludf.DUMMYFUNCTION("IF(
  AND(D181=""Saída"", J181=""Sangria""),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74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 t="str">
        <f>IFERROR(__xludf.DUMMYFUNCTION("ifna(VALUE(REGEXEXTRACT(E181,""[0-9.]+[,]+[0-9]+"")))"),"")</f>
        <v/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270" t="str">
        <f>IFERROR(__xludf.DUMMYFUNCTION("IF(
  AND(D182=""Saída"", J182=""Sangria""),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2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 t="str">
        <f>IFERROR(__xludf.DUMMYFUNCTION("ifna(VALUE(REGEXEXTRACT(E182,""[0-9.]+[,]+[0-9]+"")))"),"")</f>
        <v/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270" t="str">
        <f>IFERROR(__xludf.DUMMYFUNCTION("IF(
  AND(D183=""Saída"", J183=""Sangria""),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74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 t="str">
        <f>IFERROR(__xludf.DUMMYFUNCTION("ifna(VALUE(REGEXEXTRACT(E183,""[0-9.]+[,]+[0-9]+"")))"),"")</f>
        <v/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2"/>
      <c r="C184" s="13"/>
      <c r="D184" s="179"/>
      <c r="E184" s="180"/>
      <c r="F184" s="181"/>
      <c r="G184" s="179"/>
      <c r="H184" s="190"/>
      <c r="I184" s="190"/>
      <c r="J184" s="187"/>
      <c r="K184" s="187"/>
      <c r="L184" s="270" t="str">
        <f>IFERROR(__xludf.DUMMYFUNCTION("IF(
  AND(D184=""Saída"", J184=""Sangria""),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2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 t="str">
        <f>IFERROR(__xludf.DUMMYFUNCTION("ifna(VALUE(REGEXEXTRACT(E184,""[0-9.]+[,]+[0-9]+"")))"),"")</f>
        <v/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270" t="str">
        <f>IFERROR(__xludf.DUMMYFUNCTION("IF(
  AND(D185=""Saída"", J185=""Sangria""),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74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 t="str">
        <f>IFERROR(__xludf.DUMMYFUNCTION("ifna(VALUE(REGEXEXTRACT(E185,""[0-9.]+[,]+[0-9]+"")))"),"")</f>
        <v/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2"/>
      <c r="C186" s="13"/>
      <c r="D186" s="179"/>
      <c r="E186" s="180"/>
      <c r="F186" s="181"/>
      <c r="G186" s="179"/>
      <c r="H186" s="190"/>
      <c r="I186" s="190"/>
      <c r="J186" s="187"/>
      <c r="K186" s="187"/>
      <c r="L186" s="270" t="str">
        <f>IFERROR(__xludf.DUMMYFUNCTION("IF(
  AND(D186=""Saída"", J186=""Sangria""),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2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 t="str">
        <f>IFERROR(__xludf.DUMMYFUNCTION("ifna(VALUE(REGEXEXTRACT(E186,""[0-9.]+[,]+[0-9]+"")))"),"")</f>
        <v/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270" t="str">
        <f>IFERROR(__xludf.DUMMYFUNCTION("IF(
  AND(D187=""Saída"", J187=""Sangria""),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74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 t="str">
        <f>IFERROR(__xludf.DUMMYFUNCTION("ifna(VALUE(REGEXEXTRACT(E187,""[0-9.]+[,]+[0-9]+"")))"),"")</f>
        <v/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270" t="str">
        <f>IFERROR(__xludf.DUMMYFUNCTION("IF(
  AND(D188=""Saída"", J188=""Sangria""),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2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 t="str">
        <f>IFERROR(__xludf.DUMMYFUNCTION("ifna(VALUE(REGEXEXTRACT(E188,""[0-9.]+[,]+[0-9]+"")))"),"")</f>
        <v/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270" t="str">
        <f>IFERROR(__xludf.DUMMYFUNCTION("IF(
  AND(D189=""Saída"", J189=""Sangria""),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74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 t="str">
        <f>IFERROR(__xludf.DUMMYFUNCTION("ifna(VALUE(REGEXEXTRACT(E189,""[0-9.]+[,]+[0-9]+"")))"),"")</f>
        <v/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2"/>
      <c r="C190" s="13"/>
      <c r="D190" s="179"/>
      <c r="E190" s="180"/>
      <c r="F190" s="188"/>
      <c r="G190" s="179"/>
      <c r="H190" s="190"/>
      <c r="I190" s="190"/>
      <c r="J190" s="187"/>
      <c r="K190" s="187"/>
      <c r="L190" s="270" t="str">
        <f>IFERROR(__xludf.DUMMYFUNCTION("IF(
  AND(D190=""Saída"", J190=""Sangria""),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2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 t="str">
        <f>IFERROR(__xludf.DUMMYFUNCTION("ifna(VALUE(REGEXEXTRACT(E190,""[0-9.]+[,]+[0-9]+"")))"),"")</f>
        <v/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187"/>
      <c r="K191" s="187"/>
      <c r="L191" s="270" t="str">
        <f>IFERROR(__xludf.DUMMYFUNCTION("IF(
  AND(D191=""Saída"", J191=""Sangria""),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74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 t="str">
        <f>IFERROR(__xludf.DUMMYFUNCTION("ifna(VALUE(REGEXEXTRACT(E191,""[0-9.]+[,]+[0-9]+"")))"),"")</f>
        <v/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2"/>
      <c r="C192" s="13"/>
      <c r="D192" s="179"/>
      <c r="E192" s="180"/>
      <c r="F192" s="181"/>
      <c r="G192" s="179"/>
      <c r="H192" s="190"/>
      <c r="I192" s="190"/>
      <c r="J192" s="187"/>
      <c r="K192" s="187"/>
      <c r="L192" s="270" t="str">
        <f>IFERROR(__xludf.DUMMYFUNCTION("IF(
  AND(D192=""Saída"", J192=""Sangria""),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2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 t="str">
        <f>IFERROR(__xludf.DUMMYFUNCTION("ifna(VALUE(REGEXEXTRACT(E192,""[0-9.]+[,]+[0-9]+"")))"),"")</f>
        <v/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270" t="str">
        <f>IFERROR(__xludf.DUMMYFUNCTION("IF(
  AND(D193=""Saída"", J193=""Sangria""),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74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 t="str">
        <f>IFERROR(__xludf.DUMMYFUNCTION("ifna(VALUE(REGEXEXTRACT(E193,""[0-9.]+[,]+[0-9]+"")))"),"")</f>
        <v/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270" t="str">
        <f>IFERROR(__xludf.DUMMYFUNCTION("IF(
  AND(D194=""Saída"", J194=""Sangria""),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2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85" t="str">
        <f>IFERROR(__xludf.DUMMYFUNCTION("ifna(VALUE(REGEXEXTRACT(E194,""[0-9.]+[,]+[0-9]+"")))"),"")</f>
        <v/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2"/>
      <c r="C195" s="13"/>
      <c r="D195" s="179"/>
      <c r="E195" s="180"/>
      <c r="F195" s="181"/>
      <c r="G195" s="179"/>
      <c r="H195" s="190"/>
      <c r="I195" s="190"/>
      <c r="J195" s="187"/>
      <c r="K195" s="187"/>
      <c r="L195" s="270" t="str">
        <f>IFERROR(__xludf.DUMMYFUNCTION("IF(
  AND(D195=""Saída"", J195=""Sangria""),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74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 t="str">
        <f>IFERROR(__xludf.DUMMYFUNCTION("ifna(VALUE(REGEXEXTRACT(E195,""[0-9.]+[,]+[0-9]+"")))"),"")</f>
        <v/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J196" s="187"/>
      <c r="K196" s="187"/>
      <c r="L196" s="270" t="str">
        <f>IFERROR(__xludf.DUMMYFUNCTION("IF(
  AND(D196=""Saída"", J196=""Sangria""),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2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 t="str">
        <f>IFERROR(__xludf.DUMMYFUNCTION("ifna(VALUE(REGEXEXTRACT(E196,""[0-9.]+[,]+[0-9]+"")))"),"")</f>
        <v/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270" t="str">
        <f>IFERROR(__xludf.DUMMYFUNCTION("IF(
  AND(D197=""Saída"", J197=""Sangria""),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74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 t="str">
        <f>IFERROR(__xludf.DUMMYFUNCTION("ifna(VALUE(REGEXEXTRACT(E197,""[0-9.]+[,]+[0-9]+"")))"),"")</f>
        <v/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270" t="str">
        <f>IFERROR(__xludf.DUMMYFUNCTION("IF(
  AND(D198=""Saída"", J198=""Sangria""),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2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 t="str">
        <f>IFERROR(__xludf.DUMMYFUNCTION("ifna(VALUE(REGEXEXTRACT(E198,""[0-9.]+[,]+[0-9]+"")))"),"")</f>
        <v/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270" t="str">
        <f>IFERROR(__xludf.DUMMYFUNCTION("IF(
  AND(D199=""Saída"", J199=""Sangria""),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74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 t="str">
        <f>IFERROR(__xludf.DUMMYFUNCTION("ifna(VALUE(REGEXEXTRACT(E199,""[0-9.]+[,]+[0-9]+"")))"),"")</f>
        <v/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2"/>
      <c r="C200" s="13"/>
      <c r="D200" s="179"/>
      <c r="E200" s="180"/>
      <c r="F200" s="188"/>
      <c r="G200" s="179"/>
      <c r="H200" s="190"/>
      <c r="I200" s="190"/>
      <c r="J200" s="187"/>
      <c r="K200" s="187"/>
      <c r="L200" s="270" t="str">
        <f>IFERROR(__xludf.DUMMYFUNCTION("IF(
  AND(D200=""Saída"", J200=""Sangria""),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2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 t="str">
        <f>IFERROR(__xludf.DUMMYFUNCTION("ifna(VALUE(REGEXEXTRACT(E200,""[0-9.]+[,]+[0-9]+"")))"),"")</f>
        <v/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270" t="str">
        <f>IFERROR(__xludf.DUMMYFUNCTION("IF(
  AND(D201=""Saída"", J201=""Sangria""),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74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 t="str">
        <f>IFERROR(__xludf.DUMMYFUNCTION("ifna(VALUE(REGEXEXTRACT(E201,""[0-9.]+[,]+[0-9]+"")))"),"")</f>
        <v/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270" t="str">
        <f>IFERROR(__xludf.DUMMYFUNCTION("IF(
  AND(D202=""Saída"", J202=""Sangria""),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2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 t="str">
        <f>IFERROR(__xludf.DUMMYFUNCTION("ifna(VALUE(REGEXEXTRACT(E202,""[0-9.]+[,]+[0-9]+"")))"),"")</f>
        <v/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270" t="str">
        <f>IFERROR(__xludf.DUMMYFUNCTION("IF(
  AND(D203=""Saída"", J203=""Sangria""),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74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 t="str">
        <f>IFERROR(__xludf.DUMMYFUNCTION("ifna(VALUE(REGEXEXTRACT(E203,""[0-9.]+[,]+[0-9]+"")))"),"")</f>
        <v/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270" t="str">
        <f>IFERROR(__xludf.DUMMYFUNCTION("IF(
  AND(D204=""Saída"", J204=""Sangria""),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2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 t="str">
        <f>IFERROR(__xludf.DUMMYFUNCTION("ifna(VALUE(REGEXEXTRACT(E204,""[0-9.]+[,]+[0-9]+"")))"),"")</f>
        <v/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2"/>
      <c r="C205" s="13"/>
      <c r="D205" s="179"/>
      <c r="E205" s="180"/>
      <c r="F205" s="181"/>
      <c r="G205" s="179"/>
      <c r="H205" s="190"/>
      <c r="I205" s="190"/>
      <c r="J205" s="187"/>
      <c r="K205" s="187"/>
      <c r="L205" s="270" t="str">
        <f>IFERROR(__xludf.DUMMYFUNCTION("IF(
  AND(D205=""Saída"", J205=""Sangria""),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74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 t="str">
        <f>IFERROR(__xludf.DUMMYFUNCTION("ifna(VALUE(REGEXEXTRACT(E205,""[0-9.]+[,]+[0-9]+"")))"),"")</f>
        <v/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2"/>
      <c r="C206" s="13"/>
      <c r="D206" s="179"/>
      <c r="E206" s="180"/>
      <c r="F206" s="188"/>
      <c r="G206" s="179"/>
      <c r="H206" s="190"/>
      <c r="I206" s="190"/>
      <c r="J206" s="187"/>
      <c r="K206" s="187"/>
      <c r="L206" s="270" t="str">
        <f>IFERROR(__xludf.DUMMYFUNCTION("IF(
  AND(D206=""Saída"", J206=""Sangria""),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2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 t="str">
        <f>IFERROR(__xludf.DUMMYFUNCTION("ifna(VALUE(REGEXEXTRACT(E206,""[0-9.]+[,]+[0-9]+"")))"),"")</f>
        <v/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270" t="str">
        <f>IFERROR(__xludf.DUMMYFUNCTION("IF(
  AND(D207=""Saída"", J207=""Sangria""),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74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270" t="str">
        <f>IFERROR(__xludf.DUMMYFUNCTION("IF(
  AND(D208=""Saída"", J208=""Sangria""),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2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270" t="str">
        <f>IFERROR(__xludf.DUMMYFUNCTION("IF(
  AND(D209=""Saída"", J209=""Sangria""),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74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270" t="str">
        <f>IFERROR(__xludf.DUMMYFUNCTION("IF(
  AND(D210=""Saída"", J210=""Sangria""),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2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270" t="str">
        <f>IFERROR(__xludf.DUMMYFUNCTION("IF(
  AND(D211=""Saída"", J211=""Sangria""),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74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270" t="str">
        <f>IFERROR(__xludf.DUMMYFUNCTION("IF(
  AND(D212=""Saída"", J212=""Sangria""),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2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270" t="str">
        <f>IFERROR(__xludf.DUMMYFUNCTION("IF(
  AND(D213=""Saída"", J213=""Sangria""),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74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270" t="str">
        <f>IFERROR(__xludf.DUMMYFUNCTION("IF(
  AND(D214=""Saída"", J214=""Sangria""),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2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270" t="str">
        <f>IFERROR(__xludf.DUMMYFUNCTION("IF(
  AND(D215=""Saída"", J215=""Sangria""),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74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270" t="str">
        <f>IFERROR(__xludf.DUMMYFUNCTION("IF(
  AND(D216=""Saída"", J216=""Sangria""),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2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270" t="str">
        <f>IFERROR(__xludf.DUMMYFUNCTION("IF(
  AND(D217=""Saída"", J217=""Sangria""),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74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270" t="str">
        <f>IFERROR(__xludf.DUMMYFUNCTION("IF(
  AND(D218=""Saída"", J218=""Sangria""),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2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270" t="str">
        <f>IFERROR(__xludf.DUMMYFUNCTION("IF(
  AND(D219=""Saída"", J219=""Sangria""),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74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270" t="str">
        <f>IFERROR(__xludf.DUMMYFUNCTION("IF(
  AND(D220=""Saída"", J220=""Sangria""),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2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270" t="str">
        <f>IFERROR(__xludf.DUMMYFUNCTION("IF(
  AND(D221=""Saída"", J221=""Sangria""),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74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270" t="str">
        <f>IFERROR(__xludf.DUMMYFUNCTION("IF(
  AND(D222=""Saída"", J222=""Sangria""),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2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270" t="str">
        <f>IFERROR(__xludf.DUMMYFUNCTION("IF(
  AND(D223=""Saída"", J223=""Sangria""),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74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270" t="str">
        <f>IFERROR(__xludf.DUMMYFUNCTION("IF(
  AND(D224=""Saída"", J224=""Sangria""),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2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270" t="str">
        <f>IFERROR(__xludf.DUMMYFUNCTION("IF(
  AND(D225=""Saída"", J225=""Sangria""),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74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270" t="str">
        <f>IFERROR(__xludf.DUMMYFUNCTION("IF(
  AND(D226=""Saída"", J226=""Sangria""),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2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270" t="str">
        <f>IFERROR(__xludf.DUMMYFUNCTION("IF(
  AND(D227=""Saída"", J227=""Sangria""),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74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270" t="str">
        <f>IFERROR(__xludf.DUMMYFUNCTION("IF(
  AND(D228=""Saída"", J228=""Sangria""),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2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270" t="str">
        <f>IFERROR(__xludf.DUMMYFUNCTION("IF(
  AND(D229=""Saída"", J229=""Sangria""),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74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270" t="str">
        <f>IFERROR(__xludf.DUMMYFUNCTION("IF(
  AND(D230=""Saída"", J230=""Sangria""),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2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270" t="str">
        <f>IFERROR(__xludf.DUMMYFUNCTION("IF(
  AND(D231=""Saída"", J231=""Sangria""),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74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270" t="str">
        <f>IFERROR(__xludf.DUMMYFUNCTION("IF(
  AND(D232=""Saída"", J232=""Sangria""),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2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270" t="str">
        <f>IFERROR(__xludf.DUMMYFUNCTION("IF(
  AND(D233=""Saída"", J233=""Sangria""),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74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270" t="str">
        <f>IFERROR(__xludf.DUMMYFUNCTION("IF(
  AND(D234=""Saída"", J234=""Sangria""),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2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270" t="str">
        <f>IFERROR(__xludf.DUMMYFUNCTION("IF(
  AND(D235=""Saída"", J235=""Sangria""),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74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270" t="str">
        <f>IFERROR(__xludf.DUMMYFUNCTION("IF(
  AND(D236=""Saída"", J236=""Sangria""),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2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270" t="str">
        <f>IFERROR(__xludf.DUMMYFUNCTION("IF(
  AND(D237=""Saída"", J237=""Sangria""),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74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270" t="str">
        <f>IFERROR(__xludf.DUMMYFUNCTION("IF(
  AND(D238=""Saída"", J238=""Sangria""),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2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270" t="str">
        <f>IFERROR(__xludf.DUMMYFUNCTION("IF(
  AND(D239=""Saída"", J239=""Sangria""),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74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270" t="str">
        <f>IFERROR(__xludf.DUMMYFUNCTION("IF(
  AND(D240=""Saída"", J240=""Sangria""),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2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270" t="str">
        <f>IFERROR(__xludf.DUMMYFUNCTION("IF(
  AND(D241=""Saída"", J241=""Sangria""),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74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270" t="str">
        <f>IFERROR(__xludf.DUMMYFUNCTION("IF(
  AND(D242=""Saída"", J242=""Sangria""),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2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270" t="str">
        <f>IFERROR(__xludf.DUMMYFUNCTION("IF(
  AND(D243=""Saída"", J243=""Sangria""),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74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270" t="str">
        <f>IFERROR(__xludf.DUMMYFUNCTION("IF(
  AND(D244=""Saída"", J244=""Sangria""),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2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270" t="str">
        <f>IFERROR(__xludf.DUMMYFUNCTION("IF(
  AND(D245=""Saída"", J245=""Sangria""),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74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270" t="str">
        <f>IFERROR(__xludf.DUMMYFUNCTION("IF(
  AND(D246=""Saída"", J246=""Sangria""),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2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270" t="str">
        <f>IFERROR(__xludf.DUMMYFUNCTION("IF(
  AND(D247=""Saída"", J247=""Sangria""),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74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270" t="str">
        <f>IFERROR(__xludf.DUMMYFUNCTION("IF(
  AND(D248=""Saída"", J248=""Sangria""),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2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270" t="str">
        <f>IFERROR(__xludf.DUMMYFUNCTION("IF(
  AND(D249=""Saída"", J249=""Sangria""),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74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270" t="str">
        <f>IFERROR(__xludf.DUMMYFUNCTION("IF(
  AND(D250=""Saída"", J250=""Sangria""),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2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270" t="str">
        <f>IFERROR(__xludf.DUMMYFUNCTION("IF(
  AND(D251=""Saída"", J251=""Sangria""),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74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270" t="str">
        <f>IFERROR(__xludf.DUMMYFUNCTION("IF(
  AND(D252=""Saída"", J252=""Sangria""),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2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270" t="str">
        <f>IFERROR(__xludf.DUMMYFUNCTION("IF(
  AND(D253=""Saída"", J253=""Sangria""),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74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270" t="str">
        <f>IFERROR(__xludf.DUMMYFUNCTION("IF(
  AND(D254=""Saída"", J254=""Sangria""),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2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270" t="str">
        <f>IFERROR(__xludf.DUMMYFUNCTION("IF(
  AND(D255=""Saída"", J255=""Sangria""),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74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270" t="str">
        <f>IFERROR(__xludf.DUMMYFUNCTION("IF(
  AND(D256=""Saída"", J256=""Sangria""),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2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270" t="str">
        <f>IFERROR(__xludf.DUMMYFUNCTION("IF(
  AND(D257=""Saída"", J257=""Sangria""),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74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270" t="str">
        <f>IFERROR(__xludf.DUMMYFUNCTION("IF(
  AND(D258=""Saída"", J258=""Sangria""),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2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270" t="str">
        <f>IFERROR(__xludf.DUMMYFUNCTION("IF(
  AND(D259=""Saída"", J259=""Sangria""),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74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270" t="str">
        <f>IFERROR(__xludf.DUMMYFUNCTION("IF(
  AND(D260=""Saída"", J260=""Sangria""),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2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270" t="str">
        <f>IFERROR(__xludf.DUMMYFUNCTION("IF(
  AND(D261=""Saída"", J261=""Sangria""),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74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270" t="str">
        <f>IFERROR(__xludf.DUMMYFUNCTION("IF(
  AND(D262=""Saída"", J262=""Sangria""),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2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270" t="str">
        <f>IFERROR(__xludf.DUMMYFUNCTION("IF(
  AND(D263=""Saída"", J263=""Sangria""),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74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270" t="str">
        <f>IFERROR(__xludf.DUMMYFUNCTION("IF(
  AND(D264=""Saída"", J264=""Sangria""),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2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270" t="str">
        <f>IFERROR(__xludf.DUMMYFUNCTION("IF(
  AND(D265=""Saída"", J265=""Sangria""),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74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270" t="str">
        <f>IFERROR(__xludf.DUMMYFUNCTION("IF(
  AND(D266=""Saída"", J266=""Sangria""),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2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270" t="str">
        <f>IFERROR(__xludf.DUMMYFUNCTION("IF(
  AND(D267=""Saída"", J267=""Sangria""),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74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270" t="str">
        <f>IFERROR(__xludf.DUMMYFUNCTION("IF(
  AND(D268=""Saída"", J268=""Sangria""),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2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270" t="str">
        <f>IFERROR(__xludf.DUMMYFUNCTION("IF(
  AND(D269=""Saída"", J269=""Sangria""),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74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270" t="str">
        <f>IFERROR(__xludf.DUMMYFUNCTION("IF(
  AND(D270=""Saída"", J270=""Sangria""),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2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270" t="str">
        <f>IFERROR(__xludf.DUMMYFUNCTION("IF(
  AND(D271=""Saída"", J271=""Sangria""),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74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270" t="str">
        <f>IFERROR(__xludf.DUMMYFUNCTION("IF(
  AND(D272=""Saída"", J272=""Sangria""),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2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270" t="str">
        <f>IFERROR(__xludf.DUMMYFUNCTION("IF(
  AND(D273=""Saída"", J273=""Sangria""),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74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270" t="str">
        <f>IFERROR(__xludf.DUMMYFUNCTION("IF(
  AND(D274=""Saída"", J274=""Sangria""),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2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270" t="str">
        <f>IFERROR(__xludf.DUMMYFUNCTION("IF(
  AND(D275=""Saída"", J275=""Sangria""),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74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270" t="str">
        <f>IFERROR(__xludf.DUMMYFUNCTION("IF(
  AND(D276=""Saída"", J276=""Sangria""),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2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270" t="str">
        <f>IFERROR(__xludf.DUMMYFUNCTION("IF(
  AND(D277=""Saída"", J277=""Sangria""),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74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270" t="str">
        <f>IFERROR(__xludf.DUMMYFUNCTION("IF(
  AND(D278=""Saída"", J278=""Sangria""),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2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270" t="str">
        <f>IFERROR(__xludf.DUMMYFUNCTION("IF(
  AND(D279=""Saída"", J279=""Sangria""),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74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270" t="str">
        <f>IFERROR(__xludf.DUMMYFUNCTION("IF(
  AND(D280=""Saída"", J280=""Sangria""),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2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270" t="str">
        <f>IFERROR(__xludf.DUMMYFUNCTION("IF(
  AND(D281=""Saída"", J281=""Sangria""),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74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270" t="str">
        <f>IFERROR(__xludf.DUMMYFUNCTION("IF(
  AND(D282=""Saída"", J282=""Sangria""),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2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270" t="str">
        <f>IFERROR(__xludf.DUMMYFUNCTION("IF(
  AND(D283=""Saída"", J283=""Sangria""),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74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270" t="str">
        <f>IFERROR(__xludf.DUMMYFUNCTION("IF(
  AND(D284=""Saída"", J284=""Sangria""),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2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270" t="str">
        <f>IFERROR(__xludf.DUMMYFUNCTION("IF(
  AND(D285=""Saída"", J285=""Sangria""),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74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270" t="str">
        <f>IFERROR(__xludf.DUMMYFUNCTION("IF(
  AND(D286=""Saída"", J286=""Sangria""),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2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270" t="str">
        <f>IFERROR(__xludf.DUMMYFUNCTION("IF(
  AND(D287=""Saída"", J287=""Sangria""),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74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270" t="str">
        <f>IFERROR(__xludf.DUMMYFUNCTION("IF(
  AND(D288=""Saída"", J288=""Sangria""),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2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270" t="str">
        <f>IFERROR(__xludf.DUMMYFUNCTION("IF(
  AND(D289=""Saída"", J289=""Sangria""),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74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270" t="str">
        <f>IFERROR(__xludf.DUMMYFUNCTION("IF(
  AND(D290=""Saída"", J290=""Sangria""),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2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270" t="str">
        <f>IFERROR(__xludf.DUMMYFUNCTION("IF(
  AND(D291=""Saída"", J291=""Sangria""),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74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270" t="str">
        <f>IFERROR(__xludf.DUMMYFUNCTION("IF(
  AND(D292=""Saída"", J292=""Sangria""),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2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270" t="str">
        <f>IFERROR(__xludf.DUMMYFUNCTION("IF(
  AND(D293=""Saída"", J293=""Sangria""),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74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270" t="str">
        <f>IFERROR(__xludf.DUMMYFUNCTION("IF(
  AND(D294=""Saída"", J294=""Sangria""),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2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270" t="str">
        <f>IFERROR(__xludf.DUMMYFUNCTION("IF(
  AND(D295=""Saída"", J295=""Sangria""),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74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270" t="str">
        <f>IFERROR(__xludf.DUMMYFUNCTION("IF(
  AND(D296=""Saída"", J296=""Sangria""),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2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270" t="str">
        <f>IFERROR(__xludf.DUMMYFUNCTION("IF(
  AND(D297=""Saída"", J297=""Sangria""),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74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270" t="str">
        <f>IFERROR(__xludf.DUMMYFUNCTION("IF(
  AND(D298=""Saída"", J298=""Sangria""),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2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270" t="str">
        <f>IFERROR(__xludf.DUMMYFUNCTION("IF(
  AND(D299=""Saída"", J299=""Sangria""),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74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270" t="str">
        <f>IFERROR(__xludf.DUMMYFUNCTION("IF(
  AND(D300=""Saída"", J300=""Sangria""),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2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270" t="str">
        <f>IFERROR(__xludf.DUMMYFUNCTION("IF(
  AND(D301=""Saída"", J301=""Sangria""),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74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270" t="str">
        <f>IFERROR(__xludf.DUMMYFUNCTION("IF(
  AND(D302=""Saída"", J302=""Sangria""),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2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270" t="str">
        <f>IFERROR(__xludf.DUMMYFUNCTION("IF(
  AND(D303=""Saída"", J303=""Sangria""),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74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270" t="str">
        <f>IFERROR(__xludf.DUMMYFUNCTION("IF(
  AND(D304=""Saída"", J304=""Sangria""),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2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270" t="str">
        <f>IFERROR(__xludf.DUMMYFUNCTION("IF(
  AND(D305=""Saída"", J305=""Sangria""),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74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270" t="str">
        <f>IFERROR(__xludf.DUMMYFUNCTION("IF(
  AND(D306=""Saída"", J306=""Sangria""),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2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270" t="str">
        <f>IFERROR(__xludf.DUMMYFUNCTION("IF(
  AND(D307=""Saída"", J307=""Sangria""),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74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270" t="str">
        <f>IFERROR(__xludf.DUMMYFUNCTION("IF(
  AND(D308=""Saída"", J308=""Sangria""),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2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270" t="str">
        <f>IFERROR(__xludf.DUMMYFUNCTION("IF(
  AND(D309=""Saída"", J309=""Sangria""),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74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270" t="str">
        <f>IFERROR(__xludf.DUMMYFUNCTION("IF(
  AND(D310=""Saída"", J310=""Sangria""),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2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270" t="str">
        <f>IFERROR(__xludf.DUMMYFUNCTION("IF(
  AND(D311=""Saída"", J311=""Sangria""),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74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270" t="str">
        <f>IFERROR(__xludf.DUMMYFUNCTION("IF(
  AND(D312=""Saída"", J312=""Sangria""),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2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270" t="str">
        <f>IFERROR(__xludf.DUMMYFUNCTION("IF(
  AND(D313=""Saída"", J313=""Sangria""),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74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270" t="str">
        <f>IFERROR(__xludf.DUMMYFUNCTION("IF(
  AND(D314=""Saída"", J314=""Sangria""),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2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270" t="str">
        <f>IFERROR(__xludf.DUMMYFUNCTION("IF(
  AND(D315=""Saída"", J315=""Sangria""),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74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270" t="str">
        <f>IFERROR(__xludf.DUMMYFUNCTION("IF(
  AND(D316=""Saída"", J316=""Sangria""),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2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270" t="str">
        <f>IFERROR(__xludf.DUMMYFUNCTION("IF(
  AND(D317=""Saída"", J317=""Sangria""),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74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270" t="str">
        <f>IFERROR(__xludf.DUMMYFUNCTION("IF(
  AND(D318=""Saída"", J318=""Sangria""),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2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270" t="str">
        <f>IFERROR(__xludf.DUMMYFUNCTION("IF(
  AND(D319=""Saída"", J319=""Sangria""),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74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270" t="str">
        <f>IFERROR(__xludf.DUMMYFUNCTION("IF(
  AND(D320=""Saída"", J320=""Sangria""),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2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270" t="str">
        <f>IFERROR(__xludf.DUMMYFUNCTION("IF(
  AND(D321=""Saída"", J321=""Sangria""),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74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270" t="str">
        <f>IFERROR(__xludf.DUMMYFUNCTION("IF(
  AND(D322=""Saída"", J322=""Sangria""),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2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270" t="str">
        <f>IFERROR(__xludf.DUMMYFUNCTION("IF(
  AND(D323=""Saída"", J323=""Sangria""),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74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270" t="str">
        <f>IFERROR(__xludf.DUMMYFUNCTION("IF(
  AND(D324=""Saída"", J324=""Sangria""),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2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270" t="str">
        <f>IFERROR(__xludf.DUMMYFUNCTION("IF(
  AND(D325=""Saída"", J325=""Sangria""),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74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270" t="str">
        <f>IFERROR(__xludf.DUMMYFUNCTION("IF(
  AND(D326=""Saída"", J326=""Sangria""),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2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270" t="str">
        <f>IFERROR(__xludf.DUMMYFUNCTION("IF(
  AND(D327=""Saída"", J327=""Sangria""),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74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270" t="str">
        <f>IFERROR(__xludf.DUMMYFUNCTION("IF(
  AND(D328=""Saída"", J328=""Sangria""),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2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270" t="str">
        <f>IFERROR(__xludf.DUMMYFUNCTION("IF(
  AND(D329=""Saída"", J329=""Sangria""),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74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270" t="str">
        <f>IFERROR(__xludf.DUMMYFUNCTION("IF(
  AND(D330=""Saída"", J330=""Sangria""),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2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270" t="str">
        <f>IFERROR(__xludf.DUMMYFUNCTION("IF(
  AND(D331=""Saída"", J331=""Sangria""),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74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270" t="str">
        <f>IFERROR(__xludf.DUMMYFUNCTION("IF(
  AND(D332=""Saída"", J332=""Sangria""),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2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270" t="str">
        <f>IFERROR(__xludf.DUMMYFUNCTION("IF(
  AND(D333=""Saída"", J333=""Sangria""),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74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270" t="str">
        <f>IFERROR(__xludf.DUMMYFUNCTION("IF(
  AND(D334=""Saída"", J334=""Sangria""),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2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270" t="str">
        <f>IFERROR(__xludf.DUMMYFUNCTION("IF(
  AND(D335=""Saída"", J335=""Sangria""),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74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270" t="str">
        <f>IFERROR(__xludf.DUMMYFUNCTION("IF(
  AND(D336=""Saída"", J336=""Sangria""),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2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270" t="str">
        <f>IFERROR(__xludf.DUMMYFUNCTION("IF(
  AND(D337=""Saída"", J337=""Sangria""),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74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270" t="str">
        <f>IFERROR(__xludf.DUMMYFUNCTION("IF(
  AND(D338=""Saída"", J338=""Sangria""),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2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270" t="str">
        <f>IFERROR(__xludf.DUMMYFUNCTION("IF(
  AND(D339=""Saída"", J339=""Sangria""),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74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270" t="str">
        <f>IFERROR(__xludf.DUMMYFUNCTION("IF(
  AND(D340=""Saída"", J340=""Sangria""),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2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270" t="str">
        <f>IFERROR(__xludf.DUMMYFUNCTION("IF(
  AND(D341=""Saída"", J341=""Sangria""),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74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270" t="str">
        <f>IFERROR(__xludf.DUMMYFUNCTION("IF(
  AND(D342=""Saída"", J342=""Sangria""),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2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270" t="str">
        <f>IFERROR(__xludf.DUMMYFUNCTION("IF(
  AND(D343=""Saída"", J343=""Sangria""),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74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270" t="str">
        <f>IFERROR(__xludf.DUMMYFUNCTION("IF(
  AND(D344=""Saída"", J344=""Sangria""),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2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270" t="str">
        <f>IFERROR(__xludf.DUMMYFUNCTION("IF(
  AND(D345=""Saída"", J345=""Sangria""),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74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270" t="str">
        <f>IFERROR(__xludf.DUMMYFUNCTION("IF(
  AND(D346=""Saída"", J346=""Sangria""),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2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270" t="str">
        <f>IFERROR(__xludf.DUMMYFUNCTION("IF(
  AND(D347=""Saída"", J347=""Sangria""),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74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270" t="str">
        <f>IFERROR(__xludf.DUMMYFUNCTION("IF(
  AND(D348=""Saída"", J348=""Sangria""),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2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270" t="str">
        <f>IFERROR(__xludf.DUMMYFUNCTION("IF(
  AND(D349=""Saída"", J349=""Sangria""),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74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270" t="str">
        <f>IFERROR(__xludf.DUMMYFUNCTION("IF(
  AND(D350=""Saída"", J350=""Sangria""),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2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270" t="str">
        <f>IFERROR(__xludf.DUMMYFUNCTION("IF(
  AND(D351=""Saída"", J351=""Sangria""),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74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270" t="str">
        <f>IFERROR(__xludf.DUMMYFUNCTION("IF(
  AND(D352=""Saída"", J352=""Sangria""),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2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270" t="str">
        <f>IFERROR(__xludf.DUMMYFUNCTION("IF(
  AND(D353=""Saída"", J353=""Sangria""),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74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270" t="str">
        <f>IFERROR(__xludf.DUMMYFUNCTION("IF(
  AND(D354=""Saída"", J354=""Sangria""),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2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270" t="str">
        <f>IFERROR(__xludf.DUMMYFUNCTION("IF(
  AND(D355=""Saída"", J355=""Sangria""),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74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270" t="str">
        <f>IFERROR(__xludf.DUMMYFUNCTION("IF(
  AND(D356=""Saída"", J356=""Sangria""),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2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270" t="str">
        <f>IFERROR(__xludf.DUMMYFUNCTION("IF(
  AND(D357=""Saída"", J357=""Sangria""),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74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270" t="str">
        <f>IFERROR(__xludf.DUMMYFUNCTION("IF(
  AND(D358=""Saída"", J358=""Sangria""),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2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270" t="str">
        <f>IFERROR(__xludf.DUMMYFUNCTION("IF(
  AND(D359=""Saída"", J359=""Sangria""),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74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270" t="str">
        <f>IFERROR(__xludf.DUMMYFUNCTION("IF(
  AND(D360=""Saída"", J360=""Sangria""),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2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270" t="str">
        <f>IFERROR(__xludf.DUMMYFUNCTION("IF(
  AND(D361=""Saída"", J361=""Sangria""),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74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270" t="str">
        <f>IFERROR(__xludf.DUMMYFUNCTION("IF(
  AND(D362=""Saída"", J362=""Sangria""),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2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270" t="str">
        <f>IFERROR(__xludf.DUMMYFUNCTION("IF(
  AND(D363=""Saída"", J363=""Sangria""),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74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270" t="str">
        <f>IFERROR(__xludf.DUMMYFUNCTION("IF(
  AND(D364=""Saída"", J364=""Sangria""),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2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270" t="str">
        <f>IFERROR(__xludf.DUMMYFUNCTION("IF(
  AND(D365=""Saída"", J365=""Sangria""),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74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270" t="str">
        <f>IFERROR(__xludf.DUMMYFUNCTION("IF(
  AND(D366=""Saída"", J366=""Sangria""),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2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270" t="str">
        <f>IFERROR(__xludf.DUMMYFUNCTION("IF(
  AND(D367=""Saída"", J367=""Sangria""),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74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270" t="str">
        <f>IFERROR(__xludf.DUMMYFUNCTION("IF(
  AND(D368=""Saída"", J368=""Sangria""),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2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270" t="str">
        <f>IFERROR(__xludf.DUMMYFUNCTION("IF(
  AND(D369=""Saída"", J369=""Sangria""),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74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270" t="str">
        <f>IFERROR(__xludf.DUMMYFUNCTION("IF(
  AND(D370=""Saída"", J370=""Sangria""),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2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270" t="str">
        <f>IFERROR(__xludf.DUMMYFUNCTION("IF(
  AND(D371=""Saída"", J371=""Sangria""),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74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270" t="str">
        <f>IFERROR(__xludf.DUMMYFUNCTION("IF(
  AND(D372=""Saída"", J372=""Sangria""),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2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270" t="str">
        <f>IFERROR(__xludf.DUMMYFUNCTION("IF(
  AND(D373=""Saída"", J373=""Sangria""),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74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270" t="str">
        <f>IFERROR(__xludf.DUMMYFUNCTION("IF(
  AND(D374=""Saída"", J374=""Sangria""),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2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270" t="str">
        <f>IFERROR(__xludf.DUMMYFUNCTION("IF(
  AND(D375=""Saída"", J375=""Sangria""),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74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270" t="str">
        <f>IFERROR(__xludf.DUMMYFUNCTION("IF(
  AND(D376=""Saída"", J376=""Sangria""),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2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270" t="str">
        <f>IFERROR(__xludf.DUMMYFUNCTION("IF(
  AND(D377=""Saída"", J377=""Sangria""),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74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270" t="str">
        <f>IFERROR(__xludf.DUMMYFUNCTION("IF(
  AND(D378=""Saída"", J378=""Sangria""),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2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270" t="str">
        <f>IFERROR(__xludf.DUMMYFUNCTION("IF(
  AND(D379=""Saída"", J379=""Sangria""),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74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270" t="str">
        <f>IFERROR(__xludf.DUMMYFUNCTION("IF(
  AND(D380=""Saída"", J380=""Sangria""),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2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270" t="str">
        <f>IFERROR(__xludf.DUMMYFUNCTION("IF(
  AND(D381=""Saída"", J381=""Sangria""),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74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270" t="str">
        <f>IFERROR(__xludf.DUMMYFUNCTION("IF(
  AND(D382=""Saída"", J382=""Sangria""),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2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270" t="str">
        <f>IFERROR(__xludf.DUMMYFUNCTION("IF(
  AND(D383=""Saída"", J383=""Sangria""),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74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270" t="str">
        <f>IFERROR(__xludf.DUMMYFUNCTION("IF(
  AND(D384=""Saída"", J384=""Sangria""),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2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270" t="str">
        <f>IFERROR(__xludf.DUMMYFUNCTION("IF(
  AND(D385=""Saída"", J385=""Sangria""),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74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270" t="str">
        <f>IFERROR(__xludf.DUMMYFUNCTION("IF(
  AND(D386=""Saída"", J386=""Sangria""),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2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270" t="str">
        <f>IFERROR(__xludf.DUMMYFUNCTION("IF(
  AND(D387=""Saída"", J387=""Sangria""),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74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270" t="str">
        <f>IFERROR(__xludf.DUMMYFUNCTION("IF(
  AND(D388=""Saída"", J388=""Sangria""),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2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270" t="str">
        <f>IFERROR(__xludf.DUMMYFUNCTION("IF(
  AND(D389=""Saída"", J389=""Sangria""),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74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270" t="str">
        <f>IFERROR(__xludf.DUMMYFUNCTION("IF(
  AND(D390=""Saída"", J390=""Sangria""),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2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270" t="str">
        <f>IFERROR(__xludf.DUMMYFUNCTION("IF(
  AND(D391=""Saída"", J391=""Sangria""),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74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270" t="str">
        <f>IFERROR(__xludf.DUMMYFUNCTION("IF(
  AND(D392=""Saída"", J392=""Sangria""),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2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270" t="str">
        <f>IFERROR(__xludf.DUMMYFUNCTION("IF(
  AND(D393=""Saída"", J393=""Sangria""),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74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270" t="str">
        <f>IFERROR(__xludf.DUMMYFUNCTION("IF(
  AND(D394=""Saída"", J394=""Sangria""),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2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270" t="str">
        <f>IFERROR(__xludf.DUMMYFUNCTION("IF(
  AND(D395=""Saída"", J395=""Sangria""),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74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270" t="str">
        <f>IFERROR(__xludf.DUMMYFUNCTION("IF(
  AND(D396=""Saída"", J396=""Sangria""),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2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270" t="str">
        <f>IFERROR(__xludf.DUMMYFUNCTION("IF(
  AND(D397=""Saída"", J397=""Sangria""),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74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270" t="str">
        <f>IFERROR(__xludf.DUMMYFUNCTION("IF(
  AND(D398=""Saída"", J398=""Sangria""),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2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270" t="str">
        <f>IFERROR(__xludf.DUMMYFUNCTION("IF(
  AND(D399=""Saída"", J399=""Sangria""),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74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270" t="str">
        <f>IFERROR(__xludf.DUMMYFUNCTION("IF(
  AND(D400=""Saída"", J400=""Sangria""),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2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270" t="str">
        <f>IFERROR(__xludf.DUMMYFUNCTION("IF(
  AND(D401=""Saída"", J401=""Sangria""),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74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270" t="str">
        <f>IFERROR(__xludf.DUMMYFUNCTION("IF(
  AND(D402=""Saída"", J402=""Sangria""),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2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270" t="str">
        <f>IFERROR(__xludf.DUMMYFUNCTION("IF(
  AND(D403=""Saída"", J403=""Sangria""),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74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270" t="str">
        <f>IFERROR(__xludf.DUMMYFUNCTION("IF(
  AND(D404=""Saída"", J404=""Sangria""),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2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270" t="str">
        <f>IFERROR(__xludf.DUMMYFUNCTION("IF(
  AND(D405=""Saída"", J405=""Sangria""),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74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270" t="str">
        <f>IFERROR(__xludf.DUMMYFUNCTION("IF(
  AND(D406=""Saída"", J406=""Sangria""),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2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270" t="str">
        <f>IFERROR(__xludf.DUMMYFUNCTION("IF(
  AND(D407=""Saída"", J407=""Sangria""),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74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270" t="str">
        <f>IFERROR(__xludf.DUMMYFUNCTION("IF(
  AND(D408=""Saída"", J408=""Sangria""),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2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270" t="str">
        <f>IFERROR(__xludf.DUMMYFUNCTION("IF(
  AND(D409=""Saída"", J409=""Sangria""),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74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270" t="str">
        <f>IFERROR(__xludf.DUMMYFUNCTION("IF(
  AND(D410=""Saída"", J410=""Sangria""),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2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270" t="str">
        <f>IFERROR(__xludf.DUMMYFUNCTION("IF(
  AND(D411=""Saída"", J411=""Sangria""),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74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270" t="str">
        <f>IFERROR(__xludf.DUMMYFUNCTION("IF(
  AND(D412=""Saída"", J412=""Sangria""),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2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270" t="str">
        <f>IFERROR(__xludf.DUMMYFUNCTION("IF(
  AND(D413=""Saída"", J413=""Sangria""),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74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270" t="str">
        <f>IFERROR(__xludf.DUMMYFUNCTION("IF(
  AND(D414=""Saída"", J414=""Sangria""),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2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270" t="str">
        <f>IFERROR(__xludf.DUMMYFUNCTION("IF(
  AND(D415=""Saída"", J415=""Sangria""),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74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270" t="str">
        <f>IFERROR(__xludf.DUMMYFUNCTION("IF(
  AND(D416=""Saída"", J416=""Sangria""),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2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270" t="str">
        <f>IFERROR(__xludf.DUMMYFUNCTION("IF(
  AND(D417=""Saída"", J417=""Sangria""),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74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270" t="str">
        <f>IFERROR(__xludf.DUMMYFUNCTION("IF(
  AND(D418=""Saída"", J418=""Sangria""),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2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270" t="str">
        <f>IFERROR(__xludf.DUMMYFUNCTION("IF(
  AND(D419=""Saída"", J419=""Sangria""),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74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270" t="str">
        <f>IFERROR(__xludf.DUMMYFUNCTION("IF(
  AND(D420=""Saída"", J420=""Sangria""),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2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270" t="str">
        <f>IFERROR(__xludf.DUMMYFUNCTION("IF(
  AND(D421=""Saída"", J421=""Sangria""),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74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270" t="str">
        <f>IFERROR(__xludf.DUMMYFUNCTION("IF(
  AND(D422=""Saída"", J422=""Sangria""),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2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270" t="str">
        <f>IFERROR(__xludf.DUMMYFUNCTION("IF(
  AND(D423=""Saída"", J423=""Sangria""),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74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270" t="str">
        <f>IFERROR(__xludf.DUMMYFUNCTION("IF(
  AND(D424=""Saída"", J424=""Sangria""),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2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270" t="str">
        <f>IFERROR(__xludf.DUMMYFUNCTION("IF(
  AND(D425=""Saída"", J425=""Sangria""),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74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270" t="str">
        <f>IFERROR(__xludf.DUMMYFUNCTION("IF(
  AND(D426=""Saída"", J426=""Sangria""),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2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270" t="str">
        <f>IFERROR(__xludf.DUMMYFUNCTION("IF(
  AND(D427=""Saída"", J427=""Sangria""),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74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270" t="str">
        <f>IFERROR(__xludf.DUMMYFUNCTION("IF(
  AND(D428=""Saída"", J428=""Sangria""),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2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270" t="str">
        <f>IFERROR(__xludf.DUMMYFUNCTION("IF(
  AND(D429=""Saída"", J429=""Sangria""),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74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270" t="str">
        <f>IFERROR(__xludf.DUMMYFUNCTION("IF(
  AND(D430=""Saída"", J430=""Sangria""),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2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270" t="str">
        <f>IFERROR(__xludf.DUMMYFUNCTION("IF(
  AND(D431=""Saída"", J431=""Sangria""),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74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270" t="str">
        <f>IFERROR(__xludf.DUMMYFUNCTION("IF(
  AND(D432=""Saída"", J432=""Sangria""),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2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270" t="str">
        <f>IFERROR(__xludf.DUMMYFUNCTION("IF(
  AND(D433=""Saída"", J433=""Sangria""),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74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270" t="str">
        <f>IFERROR(__xludf.DUMMYFUNCTION("IF(
  AND(D434=""Saída"", J434=""Sangria""),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2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270" t="str">
        <f>IFERROR(__xludf.DUMMYFUNCTION("IF(
  AND(D435=""Saída"", J435=""Sangria""),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74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270" t="str">
        <f>IFERROR(__xludf.DUMMYFUNCTION("IF(
  AND(D436=""Saída"", J436=""Sangria""),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2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270" t="str">
        <f>IFERROR(__xludf.DUMMYFUNCTION("IF(
  AND(D437=""Saída"", J437=""Sangria""),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74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270" t="str">
        <f>IFERROR(__xludf.DUMMYFUNCTION("IF(
  AND(D438=""Saída"", J438=""Sangria""),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2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270" t="str">
        <f>IFERROR(__xludf.DUMMYFUNCTION("IF(
  AND(D439=""Saída"", J439=""Sangria""),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74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270" t="str">
        <f>IFERROR(__xludf.DUMMYFUNCTION("IF(
  AND(D440=""Saída"", J440=""Sangria""),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2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270" t="str">
        <f>IFERROR(__xludf.DUMMYFUNCTION("IF(
  AND(D441=""Saída"", J441=""Sangria""),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74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270" t="str">
        <f>IFERROR(__xludf.DUMMYFUNCTION("IF(
  AND(D442=""Saída"", J442=""Sangria""),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2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270" t="str">
        <f>IFERROR(__xludf.DUMMYFUNCTION("IF(
  AND(D443=""Saída"", J443=""Sangria""),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74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270" t="str">
        <f>IFERROR(__xludf.DUMMYFUNCTION("IF(
  AND(D444=""Saída"", J444=""Sangria""),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2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270" t="str">
        <f>IFERROR(__xludf.DUMMYFUNCTION("IF(
  AND(D445=""Saída"", J445=""Sangria""),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74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270" t="str">
        <f>IFERROR(__xludf.DUMMYFUNCTION("IF(
  AND(D446=""Saída"", J446=""Sangria""),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2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270" t="str">
        <f>IFERROR(__xludf.DUMMYFUNCTION("IF(
  AND(D447=""Saída"", J447=""Sangria""),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74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270" t="str">
        <f>IFERROR(__xludf.DUMMYFUNCTION("IF(
  AND(D448=""Saída"", J448=""Sangria""),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2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270" t="str">
        <f>IFERROR(__xludf.DUMMYFUNCTION("IF(
  AND(D449=""Saída"", J449=""Sangria""),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74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270" t="str">
        <f>IFERROR(__xludf.DUMMYFUNCTION("IF(
  AND(D450=""Saída"", J450=""Sangria""),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2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270" t="str">
        <f>IFERROR(__xludf.DUMMYFUNCTION("IF(
  AND(D451=""Saída"", J451=""Sangria""),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74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270" t="str">
        <f>IFERROR(__xludf.DUMMYFUNCTION("IF(
  AND(D452=""Saída"", J452=""Sangria""),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2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270" t="str">
        <f>IFERROR(__xludf.DUMMYFUNCTION("IF(
  AND(D453=""Saída"", J453=""Sangria""),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74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270" t="str">
        <f>IFERROR(__xludf.DUMMYFUNCTION("IF(
  AND(D454=""Saída"", J454=""Sangria""),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2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270" t="str">
        <f>IFERROR(__xludf.DUMMYFUNCTION("IF(
  AND(D455=""Saída"", J455=""Sangria""),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74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270" t="str">
        <f>IFERROR(__xludf.DUMMYFUNCTION("IF(
  AND(D456=""Saída"", J456=""Sangria""),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2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270" t="str">
        <f>IFERROR(__xludf.DUMMYFUNCTION("IF(
  AND(D457=""Saída"", J457=""Sangria""),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74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270" t="str">
        <f>IFERROR(__xludf.DUMMYFUNCTION("IF(
  AND(D458=""Saída"", J458=""Sangria""),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2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270" t="str">
        <f>IFERROR(__xludf.DUMMYFUNCTION("IF(
  AND(D459=""Saída"", J459=""Sangria""),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74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270" t="str">
        <f>IFERROR(__xludf.DUMMYFUNCTION("IF(
  AND(D460=""Saída"", J460=""Sangria""),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2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270" t="str">
        <f>IFERROR(__xludf.DUMMYFUNCTION("IF(
  AND(D461=""Saída"", J461=""Sangria""),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74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270" t="str">
        <f>IFERROR(__xludf.DUMMYFUNCTION("IF(
  AND(D462=""Saída"", J462=""Sangria""),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2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270" t="str">
        <f>IFERROR(__xludf.DUMMYFUNCTION("IF(
  AND(D463=""Saída"", J463=""Sangria""),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74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270" t="str">
        <f>IFERROR(__xludf.DUMMYFUNCTION("IF(
  AND(D464=""Saída"", J464=""Sangria""),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2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270" t="str">
        <f>IFERROR(__xludf.DUMMYFUNCTION("IF(
  AND(D465=""Saída"", J465=""Sangria""),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74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270" t="str">
        <f>IFERROR(__xludf.DUMMYFUNCTION("IF(
  AND(D466=""Saída"", J466=""Sangria""),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2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270" t="str">
        <f>IFERROR(__xludf.DUMMYFUNCTION("IF(
  AND(D467=""Saída"", J467=""Sangria""),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74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270" t="str">
        <f>IFERROR(__xludf.DUMMYFUNCTION("IF(
  AND(D468=""Saída"", J468=""Sangria""),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2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270" t="str">
        <f>IFERROR(__xludf.DUMMYFUNCTION("IF(
  AND(D469=""Saída"", J469=""Sangria""),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74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270" t="str">
        <f>IFERROR(__xludf.DUMMYFUNCTION("IF(
  AND(D470=""Saída"", J470=""Sangria""),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2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270" t="str">
        <f>IFERROR(__xludf.DUMMYFUNCTION("IF(
  AND(D471=""Saída"", J471=""Sangria""),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74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270" t="str">
        <f>IFERROR(__xludf.DUMMYFUNCTION("IF(
  AND(D472=""Saída"", J472=""Sangria""),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2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270" t="str">
        <f>IFERROR(__xludf.DUMMYFUNCTION("IF(
  AND(D473=""Saída"", J473=""Sangria""),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74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270" t="str">
        <f>IFERROR(__xludf.DUMMYFUNCTION("IF(
  AND(D474=""Saída"", J474=""Sangria""),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2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270" t="str">
        <f>IFERROR(__xludf.DUMMYFUNCTION("IF(
  AND(D475=""Saída"", J475=""Sangria""),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74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270" t="str">
        <f>IFERROR(__xludf.DUMMYFUNCTION("IF(
  AND(D476=""Saída"", J476=""Sangria""),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2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270" t="str">
        <f>IFERROR(__xludf.DUMMYFUNCTION("IF(
  AND(D477=""Saída"", J477=""Sangria""),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74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270" t="str">
        <f>IFERROR(__xludf.DUMMYFUNCTION("IF(
  AND(D478=""Saída"", J478=""Sangria""),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2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270" t="str">
        <f>IFERROR(__xludf.DUMMYFUNCTION("IF(
  AND(D479=""Saída"", J479=""Sangria""),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74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270" t="str">
        <f>IFERROR(__xludf.DUMMYFUNCTION("IF(
  AND(D480=""Saída"", J480=""Sangria""),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2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270" t="str">
        <f>IFERROR(__xludf.DUMMYFUNCTION("IF(
  AND(D481=""Saída"", J481=""Sangria""),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74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270" t="str">
        <f>IFERROR(__xludf.DUMMYFUNCTION("IF(
  AND(D482=""Saída"", J482=""Sangria""),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2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270" t="str">
        <f>IFERROR(__xludf.DUMMYFUNCTION("IF(
  AND(D483=""Saída"", J483=""Sangria""),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74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270" t="str">
        <f>IFERROR(__xludf.DUMMYFUNCTION("IF(
  AND(D484=""Saída"", J484=""Sangria""),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2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270" t="str">
        <f>IFERROR(__xludf.DUMMYFUNCTION("IF(
  AND(D485=""Saída"", J485=""Sangria""),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74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270" t="str">
        <f>IFERROR(__xludf.DUMMYFUNCTION("IF(
  AND(D486=""Saída"", J486=""Sangria""),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2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270" t="str">
        <f>IFERROR(__xludf.DUMMYFUNCTION("IF(
  AND(D487=""Saída"", J487=""Sangria""),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74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270" t="str">
        <f>IFERROR(__xludf.DUMMYFUNCTION("IF(
  AND(D488=""Saída"", J488=""Sangria""),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2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270" t="str">
        <f>IFERROR(__xludf.DUMMYFUNCTION("IF(
  AND(D489=""Saída"", J489=""Sangria""),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74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270" t="str">
        <f>IFERROR(__xludf.DUMMYFUNCTION("IF(
  AND(D490=""Saída"", J490=""Sangria""),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2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270" t="str">
        <f>IFERROR(__xludf.DUMMYFUNCTION("IF(
  AND(D491=""Saída"", J491=""Sangria""),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74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270" t="str">
        <f>IFERROR(__xludf.DUMMYFUNCTION("IF(
  AND(D492=""Saída"", J492=""Sangria""),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2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270" t="str">
        <f>IFERROR(__xludf.DUMMYFUNCTION("IF(
  AND(D493=""Saída"", J493=""Sangria""),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74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270" t="str">
        <f>IFERROR(__xludf.DUMMYFUNCTION("IF(
  AND(D494=""Saída"", J494=""Sangria""),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2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270" t="str">
        <f>IFERROR(__xludf.DUMMYFUNCTION("IF(
  AND(D495=""Saída"", J495=""Sangria""),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74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270" t="str">
        <f>IFERROR(__xludf.DUMMYFUNCTION("IF(
  AND(D496=""Saída"", J496=""Sangria""),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2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270" t="str">
        <f>IFERROR(__xludf.DUMMYFUNCTION("IF(
  AND(D497=""Saída"", J497=""Sangria""),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74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270" t="str">
        <f>IFERROR(__xludf.DUMMYFUNCTION("IF(
  AND(D498=""Saída"", J498=""Sangria""),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2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270" t="str">
        <f>IFERROR(__xludf.DUMMYFUNCTION("IF(
  AND(D499=""Saída"", J499=""Sangria""),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74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270" t="str">
        <f>IFERROR(__xludf.DUMMYFUNCTION("IF(
  AND(D500=""Saída"", J500=""Sangria""),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2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270" t="str">
        <f>IFERROR(__xludf.DUMMYFUNCTION("IF(
  AND(D501=""Saída"", J501=""Sangria""),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74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270" t="str">
        <f>IFERROR(__xludf.DUMMYFUNCTION("IF(
  AND(D502=""Saída"", J502=""Sangria""),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2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270" t="str">
        <f>IFERROR(__xludf.DUMMYFUNCTION("IF(
  AND(D503=""Saída"", J503=""Sangria""),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74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270" t="str">
        <f>IFERROR(__xludf.DUMMYFUNCTION("IF(
  AND(D504=""Saída"", J504=""Sangria""),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2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5"/>
      <c r="B505" s="320"/>
      <c r="C505" s="255"/>
      <c r="D505" s="190"/>
      <c r="E505" s="257"/>
      <c r="F505" s="190"/>
      <c r="G505" s="258"/>
      <c r="H505" s="190"/>
      <c r="I505" s="190"/>
      <c r="J505" s="189"/>
      <c r="K505" s="189"/>
      <c r="L505" s="270" t="str">
        <f>IFERROR(__xludf.DUMMYFUNCTION("IF(
  AND(D505=""Saída"", J505=""Sangria""),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74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5"/>
      <c r="B506" s="320"/>
      <c r="C506" s="255"/>
      <c r="D506" s="190"/>
      <c r="E506" s="257"/>
      <c r="F506" s="190"/>
      <c r="G506" s="258"/>
      <c r="H506" s="190"/>
      <c r="I506" s="190"/>
      <c r="J506" s="189"/>
      <c r="K506" s="189"/>
      <c r="L506" s="270" t="str">
        <f>IFERROR(__xludf.DUMMYFUNCTION("IF(
  AND(D506=""Saída"", J506=""Sangria""),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2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5"/>
      <c r="B507" s="320"/>
      <c r="C507" s="255"/>
      <c r="D507" s="190"/>
      <c r="E507" s="257"/>
      <c r="F507" s="190"/>
      <c r="G507" s="258"/>
      <c r="H507" s="190"/>
      <c r="I507" s="190"/>
      <c r="J507" s="189"/>
      <c r="K507" s="189"/>
      <c r="L507" s="270" t="str">
        <f>IFERROR(__xludf.DUMMYFUNCTION("IF(
  AND(D507=""Saída"", J507=""Sangria""),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74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7:R37"/>
    <mergeCell ref="O59:T60"/>
    <mergeCell ref="S61:T61"/>
    <mergeCell ref="O106:V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52:U152"/>
    <mergeCell ref="S153:U153"/>
    <mergeCell ref="S154:U154"/>
    <mergeCell ref="S155:U155"/>
    <mergeCell ref="S156:U156"/>
    <mergeCell ref="S157:U157"/>
    <mergeCell ref="S158:U158"/>
    <mergeCell ref="S145:U145"/>
    <mergeCell ref="S146:U146"/>
    <mergeCell ref="S147:U147"/>
    <mergeCell ref="S148:U148"/>
    <mergeCell ref="S149:U149"/>
    <mergeCell ref="S150:U150"/>
    <mergeCell ref="S151:U151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7:W37"/>
  </mergeCells>
  <conditionalFormatting sqref="E29:E213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W4 L11 D20 O20:W20 O38:W38 U58:W58">
    <cfRule type="cellIs" dxfId="6" priority="10" operator="greaterThanOrEqual">
      <formula>500</formula>
    </cfRule>
  </conditionalFormatting>
  <conditionalFormatting sqref="L4:W4 L11 D20 O20:W20 O38:W38 U58:W58">
    <cfRule type="cellIs" dxfId="7" priority="11" operator="between">
      <formula>400</formula>
      <formula>500</formula>
    </cfRule>
  </conditionalFormatting>
  <conditionalFormatting sqref="E29:E507">
    <cfRule type="containsText" dxfId="9" priority="12" operator="containsText" text="R$">
      <formula>NOT(ISERROR(SEARCH(("R$"),(E29))))</formula>
    </cfRule>
  </conditionalFormatting>
  <conditionalFormatting sqref="B29:B60 C29:K507 B62:B507">
    <cfRule type="expression" dxfId="5" priority="13">
      <formula>and($J$29:$J$504="Sangria",$D$29:$D$504="Saída")</formula>
    </cfRule>
  </conditionalFormatting>
  <conditionalFormatting sqref="K29:K507">
    <cfRule type="expression" dxfId="10" priority="14">
      <formula>or($J$29:$J$218="Compra Moedas",$J$29:$J$218="Cortesias",$J$29:$J$218="Troco")</formula>
    </cfRule>
  </conditionalFormatting>
  <conditionalFormatting sqref="K29:K507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7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1">
      <formula>and($C$29:$C$218="",or($D$29:$D$218="Entrada",$D$29:$D$218="Saída"))</formula>
    </cfRule>
  </conditionalFormatting>
  <conditionalFormatting sqref="I29:I507">
    <cfRule type="expression" dxfId="8" priority="22">
      <formula>and(K29 = "",or(J29="Consumo",J29="Adiantamento"))</formula>
    </cfRule>
  </conditionalFormatting>
  <conditionalFormatting sqref="M29:M507">
    <cfRule type="cellIs" dxfId="8" priority="23" operator="equal">
      <formula>"Não Encontrada"</formula>
    </cfRule>
  </conditionalFormatting>
  <conditionalFormatting sqref="L29:L507">
    <cfRule type="cellIs" dxfId="8" priority="24" operator="equal">
      <formula>"Caixa Sangria"</formula>
    </cfRule>
  </conditionalFormatting>
  <dataValidations>
    <dataValidation type="list" allowBlank="1" showErrorMessage="1" sqref="K29:K507">
      <formula1>'FEVEREIRO 2026'!$B$4:$B$16</formula1>
    </dataValidation>
    <dataValidation type="list" allowBlank="1" showErrorMessage="1" sqref="J29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3.25"/>
    <col customWidth="1" min="15" max="15" width="10.13"/>
    <col customWidth="1" min="16" max="16" width="12.0"/>
    <col customWidth="1" min="17" max="17" width="12.75"/>
    <col customWidth="1" min="18" max="18" width="14.63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26"/>
      <c r="O2" s="30" t="s">
        <v>1840</v>
      </c>
      <c r="P2" s="28"/>
      <c r="Q2" s="28"/>
      <c r="R2" s="28"/>
      <c r="S2" s="28"/>
      <c r="T2" s="28"/>
      <c r="U2" s="28"/>
      <c r="V2" s="28"/>
      <c r="W2" s="29"/>
    </row>
    <row r="3">
      <c r="A3" s="31" t="s">
        <v>1847</v>
      </c>
      <c r="B3" s="32"/>
      <c r="C3" s="33" t="str">
        <f>B4</f>
        <v>Marcelo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>Helena Cardoso</v>
      </c>
      <c r="J3" s="32"/>
      <c r="K3" s="34" t="str">
        <f>B8</f>
        <v>Gabriel Azevedo</v>
      </c>
      <c r="L3" s="35"/>
      <c r="M3" s="36"/>
      <c r="N3" s="36"/>
      <c r="O3" s="37" t="str">
        <f>B4</f>
        <v>Marcelo</v>
      </c>
      <c r="P3" s="28"/>
      <c r="Q3" s="28"/>
      <c r="R3" s="29"/>
      <c r="S3" s="38"/>
      <c r="T3" s="39" t="str">
        <f>B5</f>
        <v>Mariane</v>
      </c>
      <c r="U3" s="28"/>
      <c r="V3" s="28"/>
      <c r="W3" s="29"/>
    </row>
    <row r="4" ht="15.75" customHeight="1">
      <c r="A4" s="40" t="s">
        <v>132</v>
      </c>
      <c r="B4" s="41" t="s">
        <v>6576</v>
      </c>
      <c r="C4" s="42" t="s">
        <v>1900</v>
      </c>
      <c r="D4" s="43">
        <f>SUMIFS(N29:N504,J29:J504,C4,K29:K504,C3)+SUMIF(Q62:Q104,A4,R62:R104)+D9</f>
        <v>0</v>
      </c>
      <c r="E4" s="44" t="s">
        <v>1900</v>
      </c>
      <c r="F4" s="43">
        <f>SUMIFS(N29:N504,J29:J504,E4,K29:K504,E3)+SUMIF(Q62:Q104,A5,R62:R104)+F9</f>
        <v>0</v>
      </c>
      <c r="G4" s="44" t="s">
        <v>1900</v>
      </c>
      <c r="H4" s="43">
        <f>SUMIFS(N29:N504,J29:J504,C4,K29:K504,G3)+SUMIF(Q62:Q104,A6,R62:R104)+H9</f>
        <v>0</v>
      </c>
      <c r="I4" s="44" t="s">
        <v>1900</v>
      </c>
      <c r="J4" s="43">
        <f>SUMIFS(N29:N504,J29:J504,C4,K29:K504,I3)+SUMIF(Q62:Q104,A7,R62:R104)+J9</f>
        <v>0</v>
      </c>
      <c r="K4" s="44" t="s">
        <v>1900</v>
      </c>
      <c r="L4" s="45">
        <f>SUMIFS(N29:N504,J29:J504,C4,K29:K504,K3)+SUMIF(Q62:Q104,A8,R62:R104)+L9</f>
        <v>300</v>
      </c>
      <c r="M4" s="26"/>
      <c r="N4" s="26"/>
      <c r="O4" s="46" t="str">
        <f>IFERROR(__xludf.DUMMYFUNCTION("query(C28:L507,""select Col1,Col3,Col8,Col9 where (Col8 = 'Adiantamento' or Col8 = 'Consumo') and Col9 = '""&amp;B4&amp;""'"",1)"),"Data")</f>
        <v>Data</v>
      </c>
      <c r="P4" s="47" t="str">
        <f>IFERROR(__xludf.DUMMYFUNCTION("""COMPUTED_VALUE"""),"Valor ")</f>
        <v>Valor </v>
      </c>
      <c r="Q4" s="47" t="str">
        <f>IFERROR(__xludf.DUMMYFUNCTION("""COMPUTED_VALUE"""),"Tipo")</f>
        <v>Tipo</v>
      </c>
      <c r="R4" s="48" t="str">
        <f>IFERROR(__xludf.DUMMYFUNCTION("""COMPUTED_VALUE"""),"Funcionário")</f>
        <v>Funcionário</v>
      </c>
      <c r="S4" s="49"/>
      <c r="T4" s="50" t="str">
        <f>IFERROR(__xludf.DUMMYFUNCTION("query(C28:L507,""select Col1,Col3,Col8,Col9 where (Col8 = 'Adiantamento' or Col8 = 'Consumo') and Col9 = '""&amp;B5&amp;""'"",1)"),"Data")</f>
        <v>Data</v>
      </c>
      <c r="U4" s="50" t="str">
        <f>IFERROR(__xludf.DUMMYFUNCTION("""COMPUTED_VALUE"""),"Valor ")</f>
        <v>Valor </v>
      </c>
      <c r="V4" s="50" t="str">
        <f>IFERROR(__xludf.DUMMYFUNCTION("""COMPUTED_VALUE"""),"Tipo")</f>
        <v>Tipo</v>
      </c>
      <c r="W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SUMIFS(N29:N504,J29:J504,C5,K29:K504,C3)</f>
        <v>0</v>
      </c>
      <c r="E5" s="44" t="s">
        <v>2019</v>
      </c>
      <c r="F5" s="43">
        <f>SUMIFS(N29:N504,J29:J504,C5,K29:K504,E3)</f>
        <v>0</v>
      </c>
      <c r="G5" s="44" t="s">
        <v>2019</v>
      </c>
      <c r="H5" s="43">
        <f>SUMIFS(N29:N504,J29:J504,C5,K29:K504,G3)</f>
        <v>189.52</v>
      </c>
      <c r="I5" s="44" t="s">
        <v>2019</v>
      </c>
      <c r="J5" s="43">
        <f>SUMIFS(N29:N504,J29:J504,C5,K29:K504,I3)</f>
        <v>110.1</v>
      </c>
      <c r="K5" s="44" t="s">
        <v>2019</v>
      </c>
      <c r="L5" s="45">
        <f>SUMIFS(N29:N504,J29:J504,C5,K29:K504,K3)</f>
        <v>113.63</v>
      </c>
      <c r="M5" s="26"/>
      <c r="N5" s="26"/>
      <c r="O5" s="52"/>
      <c r="P5" s="53"/>
      <c r="Q5" s="53"/>
      <c r="R5" s="54"/>
      <c r="S5" s="55"/>
      <c r="T5" s="53"/>
      <c r="U5" s="53"/>
      <c r="V5" s="53"/>
      <c r="W5" s="54"/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0</v>
      </c>
      <c r="G6" s="44" t="s">
        <v>2079</v>
      </c>
      <c r="H6" s="43">
        <f>H5*0.8</f>
        <v>151.616</v>
      </c>
      <c r="I6" s="44" t="s">
        <v>2079</v>
      </c>
      <c r="J6" s="43">
        <f>J5*0.8</f>
        <v>88.08</v>
      </c>
      <c r="K6" s="57" t="s">
        <v>2079</v>
      </c>
      <c r="L6" s="45">
        <f>L5*0.8</f>
        <v>90.904</v>
      </c>
      <c r="M6" s="26"/>
      <c r="N6" s="26"/>
      <c r="O6" s="52"/>
      <c r="P6" s="53"/>
      <c r="Q6" s="53"/>
      <c r="R6" s="54"/>
      <c r="S6" s="55"/>
      <c r="T6" s="53"/>
      <c r="U6" s="53"/>
      <c r="V6" s="53"/>
      <c r="W6" s="54"/>
    </row>
    <row r="7" ht="14.25" customHeight="1">
      <c r="A7" s="40" t="s">
        <v>754</v>
      </c>
      <c r="B7" s="41" t="s">
        <v>2117</v>
      </c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62"/>
      <c r="O7" s="52"/>
      <c r="P7" s="53"/>
      <c r="Q7" s="53"/>
      <c r="R7" s="54"/>
      <c r="S7" s="55"/>
      <c r="T7" s="53"/>
      <c r="U7" s="53"/>
      <c r="V7" s="53"/>
      <c r="W7" s="54"/>
    </row>
    <row r="8" ht="14.25" customHeight="1">
      <c r="A8" s="16" t="s">
        <v>6077</v>
      </c>
      <c r="B8" s="41" t="s">
        <v>6745</v>
      </c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69"/>
      <c r="O8" s="52"/>
      <c r="P8" s="53"/>
      <c r="Q8" s="53"/>
      <c r="R8" s="54"/>
      <c r="S8" s="55"/>
      <c r="T8" s="53"/>
      <c r="U8" s="53"/>
      <c r="V8" s="53"/>
      <c r="W8" s="54"/>
    </row>
    <row r="9">
      <c r="A9" s="40" t="s">
        <v>6086</v>
      </c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69"/>
      <c r="O9" s="52"/>
      <c r="P9" s="53"/>
      <c r="Q9" s="53"/>
      <c r="R9" s="54"/>
      <c r="S9" s="55"/>
      <c r="T9" s="53"/>
      <c r="U9" s="53"/>
      <c r="V9" s="53"/>
      <c r="W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25"/>
      <c r="O10" s="52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1900</v>
      </c>
      <c r="D11" s="85">
        <f>SUMIFS(N29:N514,J29:J514,C11,K29:K514,C10)+SUMIF(Q62:Q104,A9,R62:R104)+D16</f>
        <v>0</v>
      </c>
      <c r="E11" s="86" t="s">
        <v>1900</v>
      </c>
      <c r="F11" s="85">
        <f>SUMIFS(N29:N514,J29:J514,E11,K29:K514,E10)+SUMIF(Q62:Q104,A10,R62:R104)+F16</f>
        <v>0</v>
      </c>
      <c r="G11" s="86" t="s">
        <v>1900</v>
      </c>
      <c r="H11" s="85">
        <f>SUMIFS(N29:N514,J29:J514,C11,K29:K514,G10)+SUMIF(Q62:Q104,A11,R62:R104)+H16</f>
        <v>0</v>
      </c>
      <c r="I11" s="86" t="s">
        <v>1900</v>
      </c>
      <c r="J11" s="85">
        <f>SUMIFS(N29:N514,J29:J514,C11,K29:K514,I10)+SUMIF(Q62:Q104,A11,R62:R104)+J16</f>
        <v>0</v>
      </c>
      <c r="K11" s="86" t="s">
        <v>1900</v>
      </c>
      <c r="L11" s="87">
        <f>SUMIFS(N29:N514,J29:J514,C11,K29:K514,K10)+SUMIF(Q62:Q104,A13,R62:R104)+L16</f>
        <v>0</v>
      </c>
      <c r="M11" s="25"/>
      <c r="N11" s="25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2019</v>
      </c>
      <c r="D12" s="85">
        <f>SUMIFS(N36:N514,J36:J514,C12,K36:K514,C10)</f>
        <v>0</v>
      </c>
      <c r="E12" s="86" t="s">
        <v>2019</v>
      </c>
      <c r="F12" s="85">
        <f>SUMIFS(N29:N514,J29:J514,C12,K29:K514,E10)</f>
        <v>0</v>
      </c>
      <c r="G12" s="86" t="s">
        <v>2019</v>
      </c>
      <c r="H12" s="85">
        <f>SUMIFS(N36:N514,J36:J514,C12,K36:K514,G10)</f>
        <v>0</v>
      </c>
      <c r="I12" s="86" t="s">
        <v>2019</v>
      </c>
      <c r="J12" s="85">
        <f>SUMIFS(N29:N514,J29:J514,C12,K29:K514,I10)</f>
        <v>0</v>
      </c>
      <c r="K12" s="86" t="s">
        <v>2019</v>
      </c>
      <c r="L12" s="87">
        <f>SUMIFS(N29:N514,J29:J514,C12,K29:K514,K10)</f>
        <v>0</v>
      </c>
      <c r="M12" s="25"/>
      <c r="N12" s="25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25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25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25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25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25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25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4"/>
      <c r="B19" s="24"/>
      <c r="C19" s="112"/>
      <c r="D19" s="113"/>
      <c r="E19" s="112"/>
      <c r="F19" s="114"/>
      <c r="G19" s="266" t="s">
        <v>6509</v>
      </c>
      <c r="H19" s="116">
        <f>SUMIF(L29:L499,G19,N29:N499)</f>
        <v>0</v>
      </c>
      <c r="I19" s="117" t="s">
        <v>2436</v>
      </c>
      <c r="J19" s="118" t="s">
        <v>2438</v>
      </c>
      <c r="K19" s="119" t="s">
        <v>2440</v>
      </c>
      <c r="L19" s="113"/>
      <c r="M19" s="25"/>
      <c r="N19" s="25"/>
      <c r="O19" s="123" t="str">
        <f>B6</f>
        <v>Isabeli Grassmann</v>
      </c>
      <c r="P19" s="106"/>
      <c r="Q19" s="106"/>
      <c r="R19" s="124"/>
      <c r="S19" s="122"/>
      <c r="T19" s="123" t="str">
        <f>B7</f>
        <v>Helena Cardoso</v>
      </c>
      <c r="U19" s="106"/>
      <c r="V19" s="106"/>
      <c r="W19" s="124"/>
    </row>
    <row r="20">
      <c r="A20" s="125"/>
      <c r="B20" s="125"/>
      <c r="C20" s="126" t="s">
        <v>1900</v>
      </c>
      <c r="D20" s="127">
        <f>SUMIFS(N29:N504,J29:J504,C20,K29:K504,C19)+SUMIF(Q68:Q104,A9,R68:R104)+D25</f>
        <v>0</v>
      </c>
      <c r="E20" s="126" t="s">
        <v>1900</v>
      </c>
      <c r="F20" s="128">
        <f>SUMIFS(N29:N504,J29:J504,C20,K29:K504,E19)+SUMIF(Q68:Q104,A10,R68:R104)+F25</f>
        <v>0</v>
      </c>
      <c r="G20" s="129" t="s">
        <v>2473</v>
      </c>
      <c r="H20" s="130">
        <v>8450.0</v>
      </c>
      <c r="I20" s="131">
        <f>SUMIF(J29:J504,I19,N29:N504)</f>
        <v>0</v>
      </c>
      <c r="J20" s="132">
        <f>SUMIF(J29:J504,J19,N29:N504)</f>
        <v>753.29</v>
      </c>
      <c r="K20" s="133" t="s">
        <v>2491</v>
      </c>
      <c r="L20" s="134"/>
      <c r="M20" s="25"/>
      <c r="N20" s="25"/>
      <c r="O20" s="50" t="str">
        <f>IFERROR(__xludf.DUMMYFUNCTION("query(C28:L507,""select Col1,Col3,Col8,Col9 where (Col8 = 'Adiantamento' or Col8 = 'Consumo') and Col9 = '""&amp;B6&amp;""'"",1)"),"Data")</f>
        <v>Data</v>
      </c>
      <c r="P20" s="50" t="str">
        <f>IFERROR(__xludf.DUMMYFUNCTION("""COMPUTED_VALUE"""),"Valor ")</f>
        <v>Valor </v>
      </c>
      <c r="Q20" s="50" t="str">
        <f>IFERROR(__xludf.DUMMYFUNCTION("""COMPUTED_VALUE"""),"Tipo")</f>
        <v>Tipo</v>
      </c>
      <c r="R20" s="51" t="str">
        <f>IFERROR(__xludf.DUMMYFUNCTION("""COMPUTED_VALUE"""),"Funcionário")</f>
        <v>Funcionário</v>
      </c>
      <c r="S20" s="49"/>
      <c r="T20" s="50" t="str">
        <f>IFERROR(__xludf.DUMMYFUNCTION("query(C28:L507,""select Col1,Col3,Col8,Col9 where (Col8 = 'Adiantamento' or Col8 = 'Consumo') and Col9 = '""&amp;B7&amp;""'"",1)"),"Data")</f>
        <v>Data</v>
      </c>
      <c r="U20" s="50" t="str">
        <f>IFERROR(__xludf.DUMMYFUNCTION("""COMPUTED_VALUE"""),"Valor ")</f>
        <v>Valor </v>
      </c>
      <c r="V20" s="50" t="str">
        <f>IFERROR(__xludf.DUMMYFUNCTION("""COMPUTED_VALUE"""),"Tipo")</f>
        <v>Tipo</v>
      </c>
      <c r="W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SUMIFS(N29:N504,J29:J504,C21,K29:K504,C19)</f>
        <v>0</v>
      </c>
      <c r="E21" s="126" t="s">
        <v>2019</v>
      </c>
      <c r="F21" s="128">
        <f>SUMIFS(N29:N504,J29:J504,E21,K29:K504,E19)</f>
        <v>0</v>
      </c>
      <c r="G21" s="86" t="s">
        <v>2522</v>
      </c>
      <c r="H21" s="127">
        <f>SUMIFS(N29:N504,D29:D504,"Saída",J29:J504,"Sangria")</f>
        <v>31080</v>
      </c>
      <c r="I21" s="138"/>
      <c r="J21" s="139"/>
      <c r="K21" s="133" t="s">
        <v>2530</v>
      </c>
      <c r="L21" s="134"/>
      <c r="M21" s="25"/>
      <c r="N21" s="25"/>
      <c r="O21" s="238">
        <f>IFERROR(__xludf.DUMMYFUNCTION("""COMPUTED_VALUE"""),46081.94368055556)</f>
        <v>46081.94368</v>
      </c>
      <c r="P21" s="53" t="str">
        <f>IFERROR(__xludf.DUMMYFUNCTION("""COMPUTED_VALUE"""),"R$ 20,36")</f>
        <v>R$ 20,36</v>
      </c>
      <c r="Q21" s="53" t="str">
        <f>IFERROR(__xludf.DUMMYFUNCTION("""COMPUTED_VALUE"""),"Consumo")</f>
        <v>Consumo</v>
      </c>
      <c r="R21" s="54" t="str">
        <f>IFERROR(__xludf.DUMMYFUNCTION("""COMPUTED_VALUE"""),"Isabeli Grassmann")</f>
        <v>Isabeli Grassmann</v>
      </c>
      <c r="S21" s="55"/>
      <c r="T21" s="238">
        <f>IFERROR(__xludf.DUMMYFUNCTION("""COMPUTED_VALUE"""),46082.94237268518)</f>
        <v>46082.94237</v>
      </c>
      <c r="U21" s="53" t="str">
        <f>IFERROR(__xludf.DUMMYFUNCTION("""COMPUTED_VALUE"""),"R$ 3,00")</f>
        <v>R$ 3,00</v>
      </c>
      <c r="V21" s="53" t="str">
        <f>IFERROR(__xludf.DUMMYFUNCTION("""COMPUTED_VALUE"""),"Consumo")</f>
        <v>Consumo</v>
      </c>
      <c r="W21" s="54" t="str">
        <f>IFERROR(__xludf.DUMMYFUNCTION("""COMPUTED_VALUE"""),"Helena Cardoso")</f>
        <v>Helena Cardoso</v>
      </c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SUMIFS(N29:N504,D29:D504,"Entrada",J29:J504,"Sangria")</f>
        <v>0</v>
      </c>
      <c r="I22" s="144" t="s">
        <v>2556</v>
      </c>
      <c r="J22" s="145"/>
      <c r="K22" s="133" t="s">
        <v>2559</v>
      </c>
      <c r="L22" s="134"/>
      <c r="M22" s="25"/>
      <c r="N22" s="25"/>
      <c r="O22" s="238">
        <f>IFERROR(__xludf.DUMMYFUNCTION("""COMPUTED_VALUE"""),46084.88574074074)</f>
        <v>46084.88574</v>
      </c>
      <c r="P22" s="53" t="str">
        <f>IFERROR(__xludf.DUMMYFUNCTION("""COMPUTED_VALUE"""),"R$ 31,82")</f>
        <v>R$ 31,82</v>
      </c>
      <c r="Q22" s="53" t="str">
        <f>IFERROR(__xludf.DUMMYFUNCTION("""COMPUTED_VALUE"""),"Consumo")</f>
        <v>Consumo</v>
      </c>
      <c r="R22" s="54" t="str">
        <f>IFERROR(__xludf.DUMMYFUNCTION("""COMPUTED_VALUE"""),"Isabeli Grassmann")</f>
        <v>Isabeli Grassmann</v>
      </c>
      <c r="S22" s="55"/>
      <c r="T22" s="238">
        <f>IFERROR(__xludf.DUMMYFUNCTION("""COMPUTED_VALUE"""),46084.885462962964)</f>
        <v>46084.88546</v>
      </c>
      <c r="U22" s="53" t="str">
        <f>IFERROR(__xludf.DUMMYFUNCTION("""COMPUTED_VALUE"""),"R$ 18,12")</f>
        <v>R$ 18,12</v>
      </c>
      <c r="V22" s="53" t="str">
        <f>IFERROR(__xludf.DUMMYFUNCTION("""COMPUTED_VALUE"""),"Consumo")</f>
        <v>Consumo</v>
      </c>
      <c r="W22" s="54" t="str">
        <f>IFERROR(__xludf.DUMMYFUNCTION("""COMPUTED_VALUE"""),"Helena Cardoso")</f>
        <v>Helena Cardoso</v>
      </c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SUMIF(J29:J504,I22,N29:N504)</f>
        <v>0</v>
      </c>
      <c r="J23" s="152"/>
      <c r="K23" s="133" t="s">
        <v>2578</v>
      </c>
      <c r="L23" s="134"/>
      <c r="M23" s="25"/>
      <c r="N23" s="25"/>
      <c r="O23" s="238">
        <f>IFERROR(__xludf.DUMMYFUNCTION("""COMPUTED_VALUE"""),46090.84833333333)</f>
        <v>46090.84833</v>
      </c>
      <c r="P23" s="53" t="str">
        <f>IFERROR(__xludf.DUMMYFUNCTION("""COMPUTED_VALUE"""),"R$ 10,06")</f>
        <v>R$ 10,06</v>
      </c>
      <c r="Q23" s="53" t="str">
        <f>IFERROR(__xludf.DUMMYFUNCTION("""COMPUTED_VALUE"""),"Consumo")</f>
        <v>Consumo</v>
      </c>
      <c r="R23" s="54" t="str">
        <f>IFERROR(__xludf.DUMMYFUNCTION("""COMPUTED_VALUE"""),"Isabeli Grassmann")</f>
        <v>Isabeli Grassmann</v>
      </c>
      <c r="S23" s="55"/>
      <c r="T23" s="238">
        <f>IFERROR(__xludf.DUMMYFUNCTION("""COMPUTED_VALUE"""),46087.82645833334)</f>
        <v>46087.82646</v>
      </c>
      <c r="U23" s="53" t="str">
        <f>IFERROR(__xludf.DUMMYFUNCTION("""COMPUTED_VALUE"""),"R$ 24,13")</f>
        <v>R$ 24,13</v>
      </c>
      <c r="V23" s="53" t="str">
        <f>IFERROR(__xludf.DUMMYFUNCTION("""COMPUTED_VALUE"""),"Consumo")</f>
        <v>Consumo</v>
      </c>
      <c r="W23" s="54" t="str">
        <f>IFERROR(__xludf.DUMMYFUNCTION("""COMPUTED_VALUE"""),"Helena Cardoso")</f>
        <v>Helena Cardoso</v>
      </c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SUMIF(L29:L504,G24,N29:N504)</f>
        <v>0</v>
      </c>
      <c r="I24" s="157" t="s">
        <v>2593</v>
      </c>
      <c r="J24" s="150"/>
      <c r="K24" s="133" t="s">
        <v>2594</v>
      </c>
      <c r="L24" s="134"/>
      <c r="M24" s="25"/>
      <c r="N24" s="25"/>
      <c r="O24" s="238">
        <f>IFERROR(__xludf.DUMMYFUNCTION("""COMPUTED_VALUE"""),46091.93880787037)</f>
        <v>46091.93881</v>
      </c>
      <c r="P24" s="53" t="str">
        <f>IFERROR(__xludf.DUMMYFUNCTION("""COMPUTED_VALUE"""),"R$ 3,00")</f>
        <v>R$ 3,00</v>
      </c>
      <c r="Q24" s="53" t="str">
        <f>IFERROR(__xludf.DUMMYFUNCTION("""COMPUTED_VALUE"""),"Consumo")</f>
        <v>Consumo</v>
      </c>
      <c r="R24" s="54" t="str">
        <f>IFERROR(__xludf.DUMMYFUNCTION("""COMPUTED_VALUE"""),"Isabeli Grassmann")</f>
        <v>Isabeli Grassmann</v>
      </c>
      <c r="S24" s="55"/>
      <c r="T24" s="238">
        <f>IFERROR(__xludf.DUMMYFUNCTION("""COMPUTED_VALUE"""),46091.93858796296)</f>
        <v>46091.93859</v>
      </c>
      <c r="U24" s="53" t="str">
        <f>IFERROR(__xludf.DUMMYFUNCTION("""COMPUTED_VALUE"""),"R$ 5,00")</f>
        <v>R$ 5,00</v>
      </c>
      <c r="V24" s="53" t="str">
        <f>IFERROR(__xludf.DUMMYFUNCTION("""COMPUTED_VALUE"""),"Consumo")</f>
        <v>Consumo</v>
      </c>
      <c r="W24" s="54" t="str">
        <f>IFERROR(__xludf.DUMMYFUNCTION("""COMPUTED_VALUE"""),"Helena Cardoso")</f>
        <v>Helena Cardoso</v>
      </c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SUMIF(L29:L504,G25,N29:N504)</f>
        <v>0</v>
      </c>
      <c r="I25" s="151">
        <f>SUMIF(J29:J504,I24,N29:N504)</f>
        <v>0</v>
      </c>
      <c r="J25" s="152"/>
      <c r="K25" s="162"/>
      <c r="L25" s="163"/>
      <c r="M25" s="26"/>
      <c r="N25" s="26"/>
      <c r="O25" s="238">
        <f>IFERROR(__xludf.DUMMYFUNCTION("""COMPUTED_VALUE"""),46093.84811342593)</f>
        <v>46093.84811</v>
      </c>
      <c r="P25" s="53" t="str">
        <f>IFERROR(__xludf.DUMMYFUNCTION("""COMPUTED_VALUE"""),"R$ 12,20")</f>
        <v>R$ 12,20</v>
      </c>
      <c r="Q25" s="53" t="str">
        <f>IFERROR(__xludf.DUMMYFUNCTION("""COMPUTED_VALUE"""),"Consumo")</f>
        <v>Consumo</v>
      </c>
      <c r="R25" s="54" t="str">
        <f>IFERROR(__xludf.DUMMYFUNCTION("""COMPUTED_VALUE"""),"Isabeli Grassmann")</f>
        <v>Isabeli Grassmann</v>
      </c>
      <c r="S25" s="55"/>
      <c r="T25" s="238">
        <f>IFERROR(__xludf.DUMMYFUNCTION("""COMPUTED_VALUE"""),46093.84834490741)</f>
        <v>46093.84834</v>
      </c>
      <c r="U25" s="53" t="str">
        <f>IFERROR(__xludf.DUMMYFUNCTION("""COMPUTED_VALUE"""),"R$ 5,00")</f>
        <v>R$ 5,00</v>
      </c>
      <c r="V25" s="53" t="str">
        <f>IFERROR(__xludf.DUMMYFUNCTION("""COMPUTED_VALUE"""),"Consumo")</f>
        <v>Consumo</v>
      </c>
      <c r="W25" s="54" t="str">
        <f>IFERROR(__xludf.DUMMYFUNCTION("""COMPUTED_VALUE"""),"Helena Cardoso")</f>
        <v>Helena Cardoso</v>
      </c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238">
        <f>IFERROR(__xludf.DUMMYFUNCTION("""COMPUTED_VALUE"""),46094.958449074074)</f>
        <v>46094.95845</v>
      </c>
      <c r="P26" s="79" t="str">
        <f>IFERROR(__xludf.DUMMYFUNCTION("""COMPUTED_VALUE"""),"R$ 3,00")</f>
        <v>R$ 3,00</v>
      </c>
      <c r="Q26" s="79" t="str">
        <f>IFERROR(__xludf.DUMMYFUNCTION("""COMPUTED_VALUE"""),"Consumo")</f>
        <v>Consumo</v>
      </c>
      <c r="R26" s="80" t="str">
        <f>IFERROR(__xludf.DUMMYFUNCTION("""COMPUTED_VALUE"""),"Isabeli Grassmann")</f>
        <v>Isabeli Grassmann</v>
      </c>
      <c r="S26" s="81"/>
      <c r="T26" s="238">
        <f>IFERROR(__xludf.DUMMYFUNCTION("""COMPUTED_VALUE"""),46096.94425925926)</f>
        <v>46096.94426</v>
      </c>
      <c r="U26" s="79" t="str">
        <f>IFERROR(__xludf.DUMMYFUNCTION("""COMPUTED_VALUE"""),"R$ 10,00")</f>
        <v>R$ 10,00</v>
      </c>
      <c r="V26" s="79" t="str">
        <f>IFERROR(__xludf.DUMMYFUNCTION("""COMPUTED_VALUE"""),"Consumo")</f>
        <v>Consumo</v>
      </c>
      <c r="W26" s="80" t="str">
        <f>IFERROR(__xludf.DUMMYFUNCTION("""COMPUTED_VALUE"""),"Helena Cardoso")</f>
        <v>Helena Cardoso</v>
      </c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04"/>
      <c r="N27" s="167"/>
      <c r="O27" s="267">
        <f>IFERROR(__xludf.DUMMYFUNCTION("""COMPUTED_VALUE"""),46095.9058912037)</f>
        <v>46095.90589</v>
      </c>
      <c r="P27" s="89" t="str">
        <f>IFERROR(__xludf.DUMMYFUNCTION("""COMPUTED_VALUE"""),"R$ 3,00")</f>
        <v>R$ 3,00</v>
      </c>
      <c r="Q27" s="89" t="str">
        <f>IFERROR(__xludf.DUMMYFUNCTION("""COMPUTED_VALUE"""),"Consumo")</f>
        <v>Consumo</v>
      </c>
      <c r="R27" s="90" t="str">
        <f>IFERROR(__xludf.DUMMYFUNCTION("""COMPUTED_VALUE"""),"Isabeli Grassmann")</f>
        <v>Isabeli Grassmann</v>
      </c>
      <c r="S27" s="91"/>
      <c r="T27" s="267">
        <f>IFERROR(__xludf.DUMMYFUNCTION("""COMPUTED_VALUE"""),46097.93101851852)</f>
        <v>46097.93102</v>
      </c>
      <c r="U27" s="89" t="str">
        <f>IFERROR(__xludf.DUMMYFUNCTION("""COMPUTED_VALUE"""),"R$ 5,00")</f>
        <v>R$ 5,00</v>
      </c>
      <c r="V27" s="89" t="str">
        <f>IFERROR(__xludf.DUMMYFUNCTION("""COMPUTED_VALUE"""),"Consumo")</f>
        <v>Consumo</v>
      </c>
      <c r="W27" s="90" t="str">
        <f>IFERROR(__xludf.DUMMYFUNCTION("""COMPUTED_VALUE"""),"Helena Cardoso")</f>
        <v>Helena Cardoso</v>
      </c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268" t="s">
        <v>2647</v>
      </c>
      <c r="M28" s="269" t="s">
        <v>8</v>
      </c>
      <c r="N28" s="167"/>
      <c r="O28" s="267">
        <f>IFERROR(__xludf.DUMMYFUNCTION("""COMPUTED_VALUE"""),46100.96287037037)</f>
        <v>46100.96287</v>
      </c>
      <c r="P28" s="89" t="str">
        <f>IFERROR(__xludf.DUMMYFUNCTION("""COMPUTED_VALUE"""),"R$ 13,04")</f>
        <v>R$ 13,04</v>
      </c>
      <c r="Q28" s="89" t="str">
        <f>IFERROR(__xludf.DUMMYFUNCTION("""COMPUTED_VALUE"""),"Consumo")</f>
        <v>Consumo</v>
      </c>
      <c r="R28" s="90" t="str">
        <f>IFERROR(__xludf.DUMMYFUNCTION("""COMPUTED_VALUE"""),"Isabeli Grassmann")</f>
        <v>Isabeli Grassmann</v>
      </c>
      <c r="S28" s="91"/>
      <c r="T28" s="267">
        <f>IFERROR(__xludf.DUMMYFUNCTION("""COMPUTED_VALUE"""),46099.914143518516)</f>
        <v>46099.91414</v>
      </c>
      <c r="U28" s="89" t="str">
        <f>IFERROR(__xludf.DUMMYFUNCTION("""COMPUTED_VALUE"""),"R$ 13,96")</f>
        <v>R$ 13,96</v>
      </c>
      <c r="V28" s="89" t="str">
        <f>IFERROR(__xludf.DUMMYFUNCTION("""COMPUTED_VALUE"""),"Consumo")</f>
        <v>Consumo</v>
      </c>
      <c r="W28" s="90" t="str">
        <f>IFERROR(__xludf.DUMMYFUNCTION("""COMPUTED_VALUE"""),"Helena Cardoso")</f>
        <v>Helena Cardoso</v>
      </c>
    </row>
    <row r="29" ht="14.25" customHeight="1">
      <c r="A29" s="178"/>
      <c r="B29" s="12">
        <v>2025122.0</v>
      </c>
      <c r="C29" s="13">
        <v>46079.52719907407</v>
      </c>
      <c r="D29" s="179" t="s">
        <v>152</v>
      </c>
      <c r="E29" s="180" t="s">
        <v>7001</v>
      </c>
      <c r="F29" s="181"/>
      <c r="G29" s="179" t="s">
        <v>158</v>
      </c>
      <c r="H29" s="182"/>
      <c r="I29" s="182"/>
      <c r="J29" s="183" t="s">
        <v>5195</v>
      </c>
      <c r="K29" s="183"/>
      <c r="L29" s="270" t="str">
        <f>IFERROR(__xludf.DUMMYFUNCTION("IF(
  AND(D29=""Saída"", J29=""Sangria""),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IFERROR(__xludf.DUMMYFUNCTION("ifna(VALUE(REGEXEXTRACT(E29,""[0-9.]+[,]+[0-9]+"")))"),19.85)</f>
        <v>19.85</v>
      </c>
      <c r="O29" s="267">
        <f>IFERROR(__xludf.DUMMYFUNCTION("""COMPUTED_VALUE"""),46101.864895833336)</f>
        <v>46101.8649</v>
      </c>
      <c r="P29" s="89" t="str">
        <f>IFERROR(__xludf.DUMMYFUNCTION("""COMPUTED_VALUE"""),"R$ 3,00")</f>
        <v>R$ 3,00</v>
      </c>
      <c r="Q29" s="89" t="str">
        <f>IFERROR(__xludf.DUMMYFUNCTION("""COMPUTED_VALUE"""),"Consumo")</f>
        <v>Consumo</v>
      </c>
      <c r="R29" s="90" t="str">
        <f>IFERROR(__xludf.DUMMYFUNCTION("""COMPUTED_VALUE"""),"Isabeli Grassmann")</f>
        <v>Isabeli Grassmann</v>
      </c>
      <c r="S29" s="91"/>
      <c r="T29" s="267">
        <f>IFERROR(__xludf.DUMMYFUNCTION("""COMPUTED_VALUE"""),46100.963101851856)</f>
        <v>46100.9631</v>
      </c>
      <c r="U29" s="89" t="str">
        <f>IFERROR(__xludf.DUMMYFUNCTION("""COMPUTED_VALUE"""),"R$ 10,06")</f>
        <v>R$ 10,06</v>
      </c>
      <c r="V29" s="89" t="str">
        <f>IFERROR(__xludf.DUMMYFUNCTION("""COMPUTED_VALUE"""),"Consumo")</f>
        <v>Consumo</v>
      </c>
      <c r="W29" s="90" t="str">
        <f>IFERROR(__xludf.DUMMYFUNCTION("""COMPUTED_VALUE"""),"Helena Cardoso")</f>
        <v>Helena Cardoso</v>
      </c>
    </row>
    <row r="30" ht="14.25" customHeight="1">
      <c r="A30" s="178"/>
      <c r="B30" s="12">
        <v>2025438.0</v>
      </c>
      <c r="C30" s="13">
        <v>46079.673634259256</v>
      </c>
      <c r="D30" s="179" t="s">
        <v>81</v>
      </c>
      <c r="E30" s="180" t="s">
        <v>7004</v>
      </c>
      <c r="F30" s="181"/>
      <c r="G30" s="179" t="s">
        <v>7005</v>
      </c>
      <c r="H30" s="186"/>
      <c r="I30" s="186"/>
      <c r="J30" s="187" t="s">
        <v>3151</v>
      </c>
      <c r="K30" s="187"/>
      <c r="L30" s="270" t="str">
        <f>IFERROR(__xludf.DUMMYFUNCTION("IF(
  AND(D30=""Saída"", J30=""Sangria""),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2" t="str">
        <f>IFERROR(__xludf.DUMMYFUNCTION("IF(J30=""Compra de Mercadorias"",
   IF(
      COUNTIF(ARRAYFORMULA(TRIM(CLEAN(TO_TEXT(Notas!BS:BS)))), TRIM(CLEAN(TO_TEXT(B30)))) &gt; 0,
      ""Encontrada"",
      ""Não Encontrada""
   ),
"""")"),"Não Encontrada")</f>
        <v>Não Encontrada</v>
      </c>
      <c r="N30" s="185">
        <f>IFERROR(__xludf.DUMMYFUNCTION("ifna(VALUE(REGEXEXTRACT(E30,""[0-9.]+[,]+[0-9]+"")))"),111.75)</f>
        <v>111.75</v>
      </c>
      <c r="O30" s="267">
        <f>IFERROR(__xludf.DUMMYFUNCTION("""COMPUTED_VALUE"""),46103.916030092594)</f>
        <v>46103.91603</v>
      </c>
      <c r="P30" s="89" t="str">
        <f>IFERROR(__xludf.DUMMYFUNCTION("""COMPUTED_VALUE"""),"R$ 84,04")</f>
        <v>R$ 84,04</v>
      </c>
      <c r="Q30" s="89" t="str">
        <f>IFERROR(__xludf.DUMMYFUNCTION("""COMPUTED_VALUE"""),"Consumo")</f>
        <v>Consumo</v>
      </c>
      <c r="R30" s="90" t="str">
        <f>IFERROR(__xludf.DUMMYFUNCTION("""COMPUTED_VALUE"""),"Isabeli Grassmann")</f>
        <v>Isabeli Grassmann</v>
      </c>
      <c r="S30" s="91"/>
      <c r="T30" s="267">
        <f>IFERROR(__xludf.DUMMYFUNCTION("""COMPUTED_VALUE"""),46101.864652777775)</f>
        <v>46101.86465</v>
      </c>
      <c r="U30" s="89" t="str">
        <f>IFERROR(__xludf.DUMMYFUNCTION("""COMPUTED_VALUE"""),"R$ 15,83")</f>
        <v>R$ 15,83</v>
      </c>
      <c r="V30" s="89" t="str">
        <f>IFERROR(__xludf.DUMMYFUNCTION("""COMPUTED_VALUE"""),"Consumo")</f>
        <v>Consumo</v>
      </c>
      <c r="W30" s="90" t="str">
        <f>IFERROR(__xludf.DUMMYFUNCTION("""COMPUTED_VALUE"""),"Helena Cardoso")</f>
        <v>Helena Cardoso</v>
      </c>
    </row>
    <row r="31" ht="14.25" customHeight="1">
      <c r="A31" s="178"/>
      <c r="B31" s="12">
        <v>2026282.0</v>
      </c>
      <c r="C31" s="13">
        <v>46079.92172453704</v>
      </c>
      <c r="D31" s="179" t="s">
        <v>81</v>
      </c>
      <c r="E31" s="180" t="s">
        <v>343</v>
      </c>
      <c r="F31" s="188"/>
      <c r="G31" s="179" t="s">
        <v>346</v>
      </c>
      <c r="H31" s="186"/>
      <c r="I31" s="186"/>
      <c r="J31" s="187" t="s">
        <v>2735</v>
      </c>
      <c r="K31" s="187" t="s">
        <v>2018</v>
      </c>
      <c r="L31" s="270" t="str">
        <f>IFERROR(__xludf.DUMMYFUNCTION("IF(
  AND(D31=""Saída"", J31=""Sangria""),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"),"Confirmada")</f>
        <v>Confirmada</v>
      </c>
      <c r="M31" s="273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IFERROR(__xludf.DUMMYFUNCTION("ifna(VALUE(REGEXEXTRACT(E31,""[0-9.]+[,]+[0-9]+"")))"),550.0)</f>
        <v>550</v>
      </c>
      <c r="O31" s="267">
        <f>IFERROR(__xludf.DUMMYFUNCTION("""COMPUTED_VALUE"""),46105.755694444444)</f>
        <v>46105.75569</v>
      </c>
      <c r="P31" s="89" t="str">
        <f>IFERROR(__xludf.DUMMYFUNCTION("""COMPUTED_VALUE"""),"R$ 3,00")</f>
        <v>R$ 3,00</v>
      </c>
      <c r="Q31" s="89" t="str">
        <f>IFERROR(__xludf.DUMMYFUNCTION("""COMPUTED_VALUE"""),"Consumo")</f>
        <v>Consumo</v>
      </c>
      <c r="R31" s="90" t="str">
        <f>IFERROR(__xludf.DUMMYFUNCTION("""COMPUTED_VALUE"""),"Isabeli Grassmann")</f>
        <v>Isabeli Grassmann</v>
      </c>
      <c r="S31" s="91"/>
      <c r="T31" s="89"/>
      <c r="U31" s="89"/>
      <c r="V31" s="89"/>
      <c r="W31" s="90"/>
    </row>
    <row r="32" ht="14.25" customHeight="1">
      <c r="A32" s="178"/>
      <c r="B32" s="12">
        <v>2026370.0</v>
      </c>
      <c r="C32" s="13">
        <v>46079.93375</v>
      </c>
      <c r="D32" s="179" t="s">
        <v>81</v>
      </c>
      <c r="E32" s="180" t="s">
        <v>590</v>
      </c>
      <c r="F32" s="181"/>
      <c r="G32" s="179" t="s">
        <v>128</v>
      </c>
      <c r="H32" s="186"/>
      <c r="I32" s="186"/>
      <c r="J32" s="187" t="s">
        <v>2735</v>
      </c>
      <c r="K32" s="187" t="s">
        <v>6576</v>
      </c>
      <c r="L32" s="270" t="str">
        <f>IFERROR(__xludf.DUMMYFUNCTION("IF(
  AND(D32=""Saída"", J32=""Sangria""),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"),"Confirmada")</f>
        <v>Confirmada</v>
      </c>
      <c r="M32" s="272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IFERROR(__xludf.DUMMYFUNCTION("ifna(VALUE(REGEXEXTRACT(E32,""[0-9.]+[,]+[0-9]+"")))"),350.0)</f>
        <v>350</v>
      </c>
      <c r="O32" s="267">
        <f>IFERROR(__xludf.DUMMYFUNCTION("""COMPUTED_VALUE"""),46105.76423611111)</f>
        <v>46105.76424</v>
      </c>
      <c r="P32" s="89" t="str">
        <f>IFERROR(__xludf.DUMMYFUNCTION("""COMPUTED_VALUE"""),"R$ 3,00")</f>
        <v>R$ 3,00</v>
      </c>
      <c r="Q32" s="89" t="str">
        <f>IFERROR(__xludf.DUMMYFUNCTION("""COMPUTED_VALUE"""),"Consumo")</f>
        <v>Consumo</v>
      </c>
      <c r="R32" s="90" t="str">
        <f>IFERROR(__xludf.DUMMYFUNCTION("""COMPUTED_VALUE"""),"Isabeli Grassmann")</f>
        <v>Isabeli Grassmann</v>
      </c>
      <c r="S32" s="91"/>
      <c r="T32" s="89"/>
      <c r="U32" s="89"/>
      <c r="V32" s="89"/>
      <c r="W32" s="90"/>
    </row>
    <row r="33" ht="14.25" customHeight="1">
      <c r="A33" s="178"/>
      <c r="B33" s="12">
        <v>2028267.0</v>
      </c>
      <c r="C33" s="13">
        <v>46080.94137731481</v>
      </c>
      <c r="D33" s="179" t="s">
        <v>81</v>
      </c>
      <c r="E33" s="180" t="s">
        <v>3486</v>
      </c>
      <c r="F33" s="181"/>
      <c r="G33" s="179" t="s">
        <v>3587</v>
      </c>
      <c r="H33" s="186"/>
      <c r="I33" s="186"/>
      <c r="J33" s="187" t="s">
        <v>2735</v>
      </c>
      <c r="K33" s="187" t="s">
        <v>2018</v>
      </c>
      <c r="L33" s="270" t="str">
        <f>IFERROR(__xludf.DUMMYFUNCTION("IF(
  AND(D33=""Saída"", J33=""Sangria""),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"),"Confirmada")</f>
        <v>Confirmada</v>
      </c>
      <c r="M33" s="274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IFERROR(__xludf.DUMMYFUNCTION("ifna(VALUE(REGEXEXTRACT(E33,""[0-9.]+[,]+[0-9]+"")))"),500.0)</f>
        <v>500</v>
      </c>
      <c r="O33" s="89"/>
      <c r="P33" s="89"/>
      <c r="Q33" s="89"/>
      <c r="R33" s="90"/>
      <c r="S33" s="91"/>
      <c r="T33" s="89"/>
      <c r="U33" s="89"/>
      <c r="V33" s="89"/>
      <c r="W33" s="90"/>
    </row>
    <row r="34" ht="14.25" customHeight="1">
      <c r="A34" s="178"/>
      <c r="B34" s="12">
        <v>2028287.0</v>
      </c>
      <c r="C34" s="13">
        <v>46080.94373842593</v>
      </c>
      <c r="D34" s="179" t="s">
        <v>81</v>
      </c>
      <c r="E34" s="180" t="s">
        <v>3486</v>
      </c>
      <c r="F34" s="188"/>
      <c r="G34" s="179" t="s">
        <v>381</v>
      </c>
      <c r="H34" s="186"/>
      <c r="I34" s="186"/>
      <c r="J34" s="187" t="s">
        <v>2735</v>
      </c>
      <c r="K34" s="187" t="s">
        <v>6576</v>
      </c>
      <c r="L34" s="270" t="str">
        <f>IFERROR(__xludf.DUMMYFUNCTION("IF(
  AND(D34=""Saída"", J34=""Sangria""),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"),"Confirmada")</f>
        <v>Confirmada</v>
      </c>
      <c r="M34" s="272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85">
        <f>IFERROR(__xludf.DUMMYFUNCTION("ifna(VALUE(REGEXEXTRACT(E34,""[0-9.]+[,]+[0-9]+"")))"),500.0)</f>
        <v>500</v>
      </c>
      <c r="O34" s="109"/>
      <c r="P34" s="109"/>
      <c r="Q34" s="109"/>
      <c r="R34" s="111"/>
      <c r="S34" s="110"/>
      <c r="T34" s="109"/>
      <c r="U34" s="109"/>
      <c r="V34" s="109"/>
      <c r="W34" s="111"/>
    </row>
    <row r="35" ht="18.75" customHeight="1">
      <c r="A35" s="178"/>
      <c r="B35" s="12">
        <v>2028890.0</v>
      </c>
      <c r="C35" s="13">
        <v>46081.63119212963</v>
      </c>
      <c r="D35" s="179" t="s">
        <v>152</v>
      </c>
      <c r="E35" s="180" t="s">
        <v>7016</v>
      </c>
      <c r="F35" s="181"/>
      <c r="G35" s="179" t="s">
        <v>158</v>
      </c>
      <c r="H35" s="186"/>
      <c r="I35" s="186"/>
      <c r="J35" s="187" t="s">
        <v>5195</v>
      </c>
      <c r="K35" s="187"/>
      <c r="L35" s="270" t="str">
        <f>IFERROR(__xludf.DUMMYFUNCTION("IF(
  AND(D35=""Saída"", J35=""Sangria""),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74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IFERROR(__xludf.DUMMYFUNCTION("ifna(VALUE(REGEXEXTRACT(E35,""[0-9.]+[,]+[0-9]+"")))"),6.35)</f>
        <v>6.35</v>
      </c>
      <c r="O35" s="275"/>
      <c r="P35" s="25"/>
      <c r="Q35" s="25"/>
      <c r="R35" s="25"/>
      <c r="S35" s="110"/>
      <c r="T35" s="25"/>
      <c r="U35" s="25"/>
      <c r="V35" s="25"/>
      <c r="W35" s="25"/>
    </row>
    <row r="36" ht="14.25" customHeight="1">
      <c r="A36" s="178"/>
      <c r="B36" s="12">
        <v>2030587.0</v>
      </c>
      <c r="C36" s="13">
        <v>46081.94368055555</v>
      </c>
      <c r="D36" s="179" t="s">
        <v>81</v>
      </c>
      <c r="E36" s="180" t="s">
        <v>7018</v>
      </c>
      <c r="F36" s="181"/>
      <c r="G36" s="179" t="s">
        <v>7019</v>
      </c>
      <c r="H36" s="186"/>
      <c r="I36" s="186"/>
      <c r="J36" s="187" t="s">
        <v>2019</v>
      </c>
      <c r="K36" s="187" t="s">
        <v>2078</v>
      </c>
      <c r="L36" s="270" t="str">
        <f>IFERROR(__xludf.DUMMYFUNCTION("IF(
  AND(D36=""Saída"", J36=""Sangria""),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2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IFERROR(__xludf.DUMMYFUNCTION("ifna(VALUE(REGEXEXTRACT(E36,""[0-9.]+[,]+[0-9]+"")))"),20.36)</f>
        <v>20.36</v>
      </c>
      <c r="O36" s="25"/>
      <c r="P36" s="25"/>
      <c r="Q36" s="25"/>
      <c r="R36" s="25"/>
      <c r="S36" s="110"/>
      <c r="T36" s="25"/>
      <c r="U36" s="25"/>
      <c r="V36" s="25"/>
      <c r="W36" s="25"/>
    </row>
    <row r="37" ht="14.25" customHeight="1">
      <c r="A37" s="178"/>
      <c r="B37" s="12">
        <v>2030649.0</v>
      </c>
      <c r="C37" s="13">
        <v>46081.95103009259</v>
      </c>
      <c r="D37" s="179" t="s">
        <v>81</v>
      </c>
      <c r="E37" s="180" t="s">
        <v>7021</v>
      </c>
      <c r="F37" s="181"/>
      <c r="G37" s="179" t="s">
        <v>7022</v>
      </c>
      <c r="H37" s="186"/>
      <c r="I37" s="186"/>
      <c r="J37" s="187" t="s">
        <v>2669</v>
      </c>
      <c r="K37" s="187"/>
      <c r="L37" s="270" t="str">
        <f>IFERROR(__xludf.DUMMYFUNCTION("IF(
  AND(D37=""Saída"", J37=""Sangria""),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74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IFERROR(__xludf.DUMMYFUNCTION("ifna(VALUE(REGEXEXTRACT(E37,""[0-9.]+[,]+[0-9]+"")))"),327.0)</f>
        <v>327</v>
      </c>
      <c r="O37" s="193" t="str">
        <f>B8</f>
        <v>Gabriel Azevedo</v>
      </c>
      <c r="P37" s="106"/>
      <c r="Q37" s="106"/>
      <c r="R37" s="106"/>
      <c r="S37" s="110"/>
      <c r="T37" s="123" t="str">
        <f>B9</f>
        <v/>
      </c>
      <c r="U37" s="106"/>
      <c r="V37" s="106"/>
      <c r="W37" s="124"/>
    </row>
    <row r="38" ht="14.25" customHeight="1">
      <c r="A38" s="178"/>
      <c r="B38" s="12">
        <v>2030653.0</v>
      </c>
      <c r="C38" s="13">
        <v>46081.951273148145</v>
      </c>
      <c r="D38" s="179" t="s">
        <v>81</v>
      </c>
      <c r="E38" s="180" t="s">
        <v>443</v>
      </c>
      <c r="F38" s="181"/>
      <c r="G38" s="179" t="s">
        <v>128</v>
      </c>
      <c r="H38" s="186"/>
      <c r="I38" s="186"/>
      <c r="J38" s="187" t="s">
        <v>2735</v>
      </c>
      <c r="K38" s="187" t="s">
        <v>6576</v>
      </c>
      <c r="L38" s="270" t="str">
        <f>IFERROR(__xludf.DUMMYFUNCTION("IF(
  AND(D38=""Saída"", J38=""Sangria""),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"),"Confirmada")</f>
        <v>Confirmada</v>
      </c>
      <c r="M38" s="272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IFERROR(__xludf.DUMMYFUNCTION("ifna(VALUE(REGEXEXTRACT(E38,""[0-9.]+[,]+[0-9]+"")))"),900.0)</f>
        <v>900</v>
      </c>
      <c r="O38" s="46" t="str">
        <f>IFERROR(__xludf.DUMMYFUNCTION("query(C28:L507,""select Col1,Col3,Col8,Col9 where (Col8 = 'Adiantamento' or Col8 = 'Consumo') and Col9 = '""&amp;B8&amp;""'"",1)"),"Data")</f>
        <v>Data</v>
      </c>
      <c r="P38" s="47" t="str">
        <f>IFERROR(__xludf.DUMMYFUNCTION("""COMPUTED_VALUE"""),"Valor ")</f>
        <v>Valor </v>
      </c>
      <c r="Q38" s="47" t="str">
        <f>IFERROR(__xludf.DUMMYFUNCTION("""COMPUTED_VALUE"""),"Tipo")</f>
        <v>Tipo</v>
      </c>
      <c r="R38" s="47" t="str">
        <f>IFERROR(__xludf.DUMMYFUNCTION("""COMPUTED_VALUE"""),"Funcionário")</f>
        <v>Funcionário</v>
      </c>
      <c r="S38" s="49"/>
      <c r="T38" s="50" t="str">
        <f>IFERROR(__xludf.DUMMYFUNCTION("query(C28:L507,""select Col1,Col3,Col8,Col9 where (Col8 = 'Adiantamento' or Col8 = 'Consumo') and Col9 = '""&amp;B9&amp;""'"",1)"),"Data")</f>
        <v>Data</v>
      </c>
      <c r="U38" s="50" t="str">
        <f>IFERROR(__xludf.DUMMYFUNCTION("""COMPUTED_VALUE"""),"Valor ")</f>
        <v>Valor </v>
      </c>
      <c r="V38" s="50" t="str">
        <f>IFERROR(__xludf.DUMMYFUNCTION("""COMPUTED_VALUE"""),"Tipo")</f>
        <v>Tipo</v>
      </c>
      <c r="W38" s="51" t="str">
        <f>IFERROR(__xludf.DUMMYFUNCTION("""COMPUTED_VALUE"""),"Funcionário")</f>
        <v>Funcionário</v>
      </c>
    </row>
    <row r="39" ht="21.75" customHeight="1">
      <c r="A39" s="178"/>
      <c r="B39" s="12">
        <v>2030658.0</v>
      </c>
      <c r="C39" s="13">
        <v>46081.95261574074</v>
      </c>
      <c r="D39" s="179" t="s">
        <v>81</v>
      </c>
      <c r="E39" s="180" t="s">
        <v>4106</v>
      </c>
      <c r="F39" s="181"/>
      <c r="G39" s="179" t="s">
        <v>128</v>
      </c>
      <c r="H39" s="186"/>
      <c r="I39" s="186"/>
      <c r="J39" s="187" t="s">
        <v>2735</v>
      </c>
      <c r="K39" s="187" t="s">
        <v>6576</v>
      </c>
      <c r="L39" s="270" t="str">
        <f>IFERROR(__xludf.DUMMYFUNCTION("IF(
  AND(D39=""Saída"", J39=""Sangria""),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"),"Confirmada")</f>
        <v>Confirmada</v>
      </c>
      <c r="M39" s="274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85">
        <f>IFERROR(__xludf.DUMMYFUNCTION("ifna(VALUE(REGEXEXTRACT(E39,""[0-9.]+[,]+[0-9]+"")))"),750.0)</f>
        <v>750</v>
      </c>
      <c r="O39" s="52">
        <f>IFERROR(__xludf.DUMMYFUNCTION("""COMPUTED_VALUE"""),46082.9434375)</f>
        <v>46082.94344</v>
      </c>
      <c r="P39" s="53" t="str">
        <f>IFERROR(__xludf.DUMMYFUNCTION("""COMPUTED_VALUE"""),"R$ 15,60")</f>
        <v>R$ 15,60</v>
      </c>
      <c r="Q39" s="53" t="str">
        <f>IFERROR(__xludf.DUMMYFUNCTION("""COMPUTED_VALUE"""),"Consumo")</f>
        <v>Consumo</v>
      </c>
      <c r="R39" s="53" t="str">
        <f>IFERROR(__xludf.DUMMYFUNCTION("""COMPUTED_VALUE"""),"Gabriel Azevedo")</f>
        <v>Gabriel Azevedo</v>
      </c>
      <c r="S39" s="55"/>
      <c r="T39" s="53"/>
      <c r="U39" s="53"/>
      <c r="V39" s="53"/>
      <c r="W39" s="54"/>
    </row>
    <row r="40" ht="14.25" customHeight="1">
      <c r="A40" s="178"/>
      <c r="B40" s="12">
        <v>2031091.0</v>
      </c>
      <c r="C40" s="13">
        <v>46082.55133101852</v>
      </c>
      <c r="D40" s="179" t="s">
        <v>152</v>
      </c>
      <c r="E40" s="180" t="s">
        <v>7027</v>
      </c>
      <c r="F40" s="181"/>
      <c r="G40" s="179" t="s">
        <v>158</v>
      </c>
      <c r="H40" s="186"/>
      <c r="I40" s="186"/>
      <c r="J40" s="187" t="s">
        <v>5195</v>
      </c>
      <c r="K40" s="187"/>
      <c r="L40" s="270" t="str">
        <f>IFERROR(__xludf.DUMMYFUNCTION("IF(
  AND(D40=""Saída"", J40=""Sangria""),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2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85">
        <f>IFERROR(__xludf.DUMMYFUNCTION("ifna(VALUE(REGEXEXTRACT(E40,""[0-9.]+[,]+[0-9]+"")))"),54.55)</f>
        <v>54.55</v>
      </c>
      <c r="O40" s="52">
        <f>IFERROR(__xludf.DUMMYFUNCTION("""COMPUTED_VALUE"""),46085.77533564815)</f>
        <v>46085.77534</v>
      </c>
      <c r="P40" s="53" t="str">
        <f>IFERROR(__xludf.DUMMYFUNCTION("""COMPUTED_VALUE"""),"R$ 3,00")</f>
        <v>R$ 3,00</v>
      </c>
      <c r="Q40" s="53" t="str">
        <f>IFERROR(__xludf.DUMMYFUNCTION("""COMPUTED_VALUE"""),"Consumo")</f>
        <v>Consumo</v>
      </c>
      <c r="R40" s="53" t="str">
        <f>IFERROR(__xludf.DUMMYFUNCTION("""COMPUTED_VALUE"""),"Gabriel Azevedo")</f>
        <v>Gabriel Azevedo</v>
      </c>
      <c r="S40" s="55"/>
      <c r="T40" s="53"/>
      <c r="U40" s="53"/>
      <c r="V40" s="53"/>
      <c r="W40" s="54"/>
    </row>
    <row r="41" ht="14.25" customHeight="1">
      <c r="A41" s="178"/>
      <c r="B41" s="12">
        <v>2032290.0</v>
      </c>
      <c r="C41" s="13">
        <v>46082.82225694445</v>
      </c>
      <c r="D41" s="179" t="s">
        <v>81</v>
      </c>
      <c r="E41" s="180" t="s">
        <v>6805</v>
      </c>
      <c r="F41" s="181"/>
      <c r="G41" s="179" t="s">
        <v>346</v>
      </c>
      <c r="H41" s="186"/>
      <c r="I41" s="186"/>
      <c r="J41" s="187" t="s">
        <v>2735</v>
      </c>
      <c r="K41" s="187" t="s">
        <v>2018</v>
      </c>
      <c r="L41" s="270" t="str">
        <f>IFERROR(__xludf.DUMMYFUNCTION("IF(
  AND(D41=""Saída"", J41=""Sangria""),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"),"Confirmada")</f>
        <v>Confirmada</v>
      </c>
      <c r="M41" s="274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IFERROR(__xludf.DUMMYFUNCTION("ifna(VALUE(REGEXEXTRACT(E41,""[0-9.]+[,]+[0-9]+"")))"),2100.0)</f>
        <v>2100</v>
      </c>
      <c r="O41" s="52">
        <f>IFERROR(__xludf.DUMMYFUNCTION("""COMPUTED_VALUE"""),46087.92480324074)</f>
        <v>46087.9248</v>
      </c>
      <c r="P41" s="53" t="str">
        <f>IFERROR(__xludf.DUMMYFUNCTION("""COMPUTED_VALUE"""),"R$ 9,56")</f>
        <v>R$ 9,56</v>
      </c>
      <c r="Q41" s="53" t="str">
        <f>IFERROR(__xludf.DUMMYFUNCTION("""COMPUTED_VALUE"""),"Consumo")</f>
        <v>Consumo</v>
      </c>
      <c r="R41" s="53" t="str">
        <f>IFERROR(__xludf.DUMMYFUNCTION("""COMPUTED_VALUE"""),"Gabriel Azevedo")</f>
        <v>Gabriel Azevedo</v>
      </c>
      <c r="S41" s="55"/>
      <c r="T41" s="53"/>
      <c r="U41" s="53"/>
      <c r="V41" s="53"/>
      <c r="W41" s="54"/>
    </row>
    <row r="42" ht="14.25" customHeight="1">
      <c r="A42" s="178"/>
      <c r="B42" s="12">
        <v>2033430.0</v>
      </c>
      <c r="C42" s="13">
        <v>46082.94128472222</v>
      </c>
      <c r="D42" s="179" t="s">
        <v>81</v>
      </c>
      <c r="E42" s="180" t="s">
        <v>162</v>
      </c>
      <c r="F42" s="181"/>
      <c r="G42" s="179" t="s">
        <v>7033</v>
      </c>
      <c r="H42" s="186"/>
      <c r="I42" s="186"/>
      <c r="J42" s="187" t="s">
        <v>1782</v>
      </c>
      <c r="K42" s="187"/>
      <c r="L42" s="270" t="str">
        <f>IFERROR(__xludf.DUMMYFUNCTION("IF(
  AND(D42=""Saída"", J42=""Sangria""),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76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IFERROR(__xludf.DUMMYFUNCTION("ifna(VALUE(REGEXEXTRACT(E42,""[0-9.]+[,]+[0-9]+"")))"),150.0)</f>
        <v>150</v>
      </c>
      <c r="O42" s="52">
        <f>IFERROR(__xludf.DUMMYFUNCTION("""COMPUTED_VALUE"""),46090.84805555556)</f>
        <v>46090.84806</v>
      </c>
      <c r="P42" s="53" t="str">
        <f>IFERROR(__xludf.DUMMYFUNCTION("""COMPUTED_VALUE"""),"R$ 6,42")</f>
        <v>R$ 6,42</v>
      </c>
      <c r="Q42" s="53" t="str">
        <f>IFERROR(__xludf.DUMMYFUNCTION("""COMPUTED_VALUE"""),"Consumo")</f>
        <v>Consumo</v>
      </c>
      <c r="R42" s="53" t="str">
        <f>IFERROR(__xludf.DUMMYFUNCTION("""COMPUTED_VALUE"""),"Gabriel Azevedo")</f>
        <v>Gabriel Azevedo</v>
      </c>
      <c r="S42" s="55"/>
      <c r="T42" s="53"/>
      <c r="U42" s="53"/>
      <c r="V42" s="53"/>
      <c r="W42" s="54"/>
    </row>
    <row r="43" ht="14.25" customHeight="1">
      <c r="A43" s="178"/>
      <c r="B43" s="12">
        <v>2033432.0</v>
      </c>
      <c r="C43" s="13">
        <v>46082.94180555556</v>
      </c>
      <c r="D43" s="179" t="s">
        <v>81</v>
      </c>
      <c r="E43" s="180" t="s">
        <v>7034</v>
      </c>
      <c r="F43" s="181"/>
      <c r="G43" s="179" t="s">
        <v>7035</v>
      </c>
      <c r="H43" s="189"/>
      <c r="I43" s="189"/>
      <c r="J43" s="187" t="s">
        <v>1782</v>
      </c>
      <c r="K43" s="187"/>
      <c r="L43" s="270" t="str">
        <f>IFERROR(__xludf.DUMMYFUNCTION("IF(
  AND(D43=""Saída"", J43=""Sangria""),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74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IFERROR(__xludf.DUMMYFUNCTION("ifna(VALUE(REGEXEXTRACT(E43,""[0-9.]+[,]+[0-9]+"")))"),222.0)</f>
        <v>222</v>
      </c>
      <c r="O43" s="52">
        <f>IFERROR(__xludf.DUMMYFUNCTION("""COMPUTED_VALUE"""),46091.93902777778)</f>
        <v>46091.93903</v>
      </c>
      <c r="P43" s="53" t="str">
        <f>IFERROR(__xludf.DUMMYFUNCTION("""COMPUTED_VALUE"""),"R$ 5,00")</f>
        <v>R$ 5,00</v>
      </c>
      <c r="Q43" s="53" t="str">
        <f>IFERROR(__xludf.DUMMYFUNCTION("""COMPUTED_VALUE"""),"Consumo")</f>
        <v>Consumo</v>
      </c>
      <c r="R43" s="53" t="str">
        <f>IFERROR(__xludf.DUMMYFUNCTION("""COMPUTED_VALUE"""),"Gabriel Azevedo")</f>
        <v>Gabriel Azevedo</v>
      </c>
      <c r="S43" s="55"/>
      <c r="T43" s="53"/>
      <c r="U43" s="53"/>
      <c r="V43" s="53"/>
      <c r="W43" s="54"/>
    </row>
    <row r="44" ht="14.25" customHeight="1">
      <c r="A44" s="178"/>
      <c r="B44" s="12">
        <v>2033437.0</v>
      </c>
      <c r="C44" s="13">
        <v>46082.94215277778</v>
      </c>
      <c r="D44" s="179" t="s">
        <v>81</v>
      </c>
      <c r="E44" s="180" t="s">
        <v>7036</v>
      </c>
      <c r="F44" s="188"/>
      <c r="G44" s="179" t="s">
        <v>7037</v>
      </c>
      <c r="H44" s="189"/>
      <c r="I44" s="189"/>
      <c r="J44" s="187" t="s">
        <v>2438</v>
      </c>
      <c r="K44" s="187"/>
      <c r="L44" s="270" t="str">
        <f>IFERROR(__xludf.DUMMYFUNCTION("IF(
  AND(D44=""Saída"", J44=""Sangria""),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2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IFERROR(__xludf.DUMMYFUNCTION("ifna(VALUE(REGEXEXTRACT(E44,""[0-9.]+[,]+[0-9]+"")))"),19.9)</f>
        <v>19.9</v>
      </c>
      <c r="O44" s="52">
        <f>IFERROR(__xludf.DUMMYFUNCTION("""COMPUTED_VALUE"""),46091.94013888889)</f>
        <v>46091.94014</v>
      </c>
      <c r="P44" s="79" t="str">
        <f>IFERROR(__xludf.DUMMYFUNCTION("""COMPUTED_VALUE"""),"R$ 6,29")</f>
        <v>R$ 6,29</v>
      </c>
      <c r="Q44" s="79" t="str">
        <f>IFERROR(__xludf.DUMMYFUNCTION("""COMPUTED_VALUE"""),"Consumo")</f>
        <v>Consumo</v>
      </c>
      <c r="R44" s="79" t="str">
        <f>IFERROR(__xludf.DUMMYFUNCTION("""COMPUTED_VALUE"""),"Gabriel Azevedo")</f>
        <v>Gabriel Azevedo</v>
      </c>
      <c r="S44" s="81"/>
      <c r="T44" s="79"/>
      <c r="U44" s="79"/>
      <c r="V44" s="79"/>
      <c r="W44" s="80"/>
    </row>
    <row r="45" ht="14.25" customHeight="1">
      <c r="A45" s="178"/>
      <c r="B45" s="12">
        <v>2033442.0</v>
      </c>
      <c r="C45" s="13">
        <v>46082.94237268518</v>
      </c>
      <c r="D45" s="179" t="s">
        <v>81</v>
      </c>
      <c r="E45" s="180" t="s">
        <v>979</v>
      </c>
      <c r="F45" s="181"/>
      <c r="G45" s="179" t="s">
        <v>7039</v>
      </c>
      <c r="H45" s="190"/>
      <c r="I45" s="190"/>
      <c r="J45" s="187" t="s">
        <v>2019</v>
      </c>
      <c r="K45" s="187" t="s">
        <v>2117</v>
      </c>
      <c r="L45" s="270" t="str">
        <f>IFERROR(__xludf.DUMMYFUNCTION("IF(
  AND(D45=""Saída"", J45=""Sangria""),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4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IFERROR(__xludf.DUMMYFUNCTION("ifna(VALUE(REGEXEXTRACT(E45,""[0-9.]+[,]+[0-9]+"")))"),3.0)</f>
        <v>3</v>
      </c>
      <c r="O45" s="318">
        <f>IFERROR(__xludf.DUMMYFUNCTION("""COMPUTED_VALUE"""),46093.84783564815)</f>
        <v>46093.84784</v>
      </c>
      <c r="P45" s="89" t="str">
        <f>IFERROR(__xludf.DUMMYFUNCTION("""COMPUTED_VALUE"""),"R$ 17,56")</f>
        <v>R$ 17,56</v>
      </c>
      <c r="Q45" s="89" t="str">
        <f>IFERROR(__xludf.DUMMYFUNCTION("""COMPUTED_VALUE"""),"Consumo")</f>
        <v>Consumo</v>
      </c>
      <c r="R45" s="89" t="str">
        <f>IFERROR(__xludf.DUMMYFUNCTION("""COMPUTED_VALUE"""),"Gabriel Azevedo")</f>
        <v>Gabriel Azevedo</v>
      </c>
      <c r="S45" s="91"/>
      <c r="T45" s="89"/>
      <c r="U45" s="89"/>
      <c r="V45" s="89"/>
      <c r="W45" s="90"/>
    </row>
    <row r="46" ht="18.75" customHeight="1">
      <c r="A46" s="178"/>
      <c r="B46" s="12">
        <v>2033448.0</v>
      </c>
      <c r="C46" s="13">
        <v>46082.94278935185</v>
      </c>
      <c r="D46" s="179" t="s">
        <v>81</v>
      </c>
      <c r="E46" s="180" t="s">
        <v>7041</v>
      </c>
      <c r="F46" s="181"/>
      <c r="G46" s="179" t="s">
        <v>7042</v>
      </c>
      <c r="H46" s="190"/>
      <c r="I46" s="190"/>
      <c r="J46" s="187" t="s">
        <v>2438</v>
      </c>
      <c r="K46" s="187"/>
      <c r="L46" s="270" t="str">
        <f>IFERROR(__xludf.DUMMYFUNCTION("IF(
  AND(D46=""Saída"", J46=""Sangria""),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2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85">
        <f>IFERROR(__xludf.DUMMYFUNCTION("ifna(VALUE(REGEXEXTRACT(E46,""[0-9.]+[,]+[0-9]+"")))"),46.04)</f>
        <v>46.04</v>
      </c>
      <c r="O46" s="318">
        <f>IFERROR(__xludf.DUMMYFUNCTION("""COMPUTED_VALUE"""),46094.9581712963)</f>
        <v>46094.95817</v>
      </c>
      <c r="P46" s="89" t="str">
        <f>IFERROR(__xludf.DUMMYFUNCTION("""COMPUTED_VALUE"""),"R$ 32,96")</f>
        <v>R$ 32,96</v>
      </c>
      <c r="Q46" s="89" t="str">
        <f>IFERROR(__xludf.DUMMYFUNCTION("""COMPUTED_VALUE"""),"Consumo")</f>
        <v>Consumo</v>
      </c>
      <c r="R46" s="89" t="str">
        <f>IFERROR(__xludf.DUMMYFUNCTION("""COMPUTED_VALUE"""),"Gabriel Azevedo")</f>
        <v>Gabriel Azevedo</v>
      </c>
      <c r="S46" s="91"/>
      <c r="T46" s="89"/>
      <c r="U46" s="89"/>
      <c r="V46" s="89"/>
      <c r="W46" s="90"/>
    </row>
    <row r="47" ht="14.25" customHeight="1">
      <c r="A47" s="178"/>
      <c r="B47" s="12">
        <v>2033455.0</v>
      </c>
      <c r="C47" s="13">
        <v>46082.9431712963</v>
      </c>
      <c r="D47" s="179" t="s">
        <v>81</v>
      </c>
      <c r="E47" s="180" t="s">
        <v>7045</v>
      </c>
      <c r="F47" s="181"/>
      <c r="G47" s="179" t="s">
        <v>7046</v>
      </c>
      <c r="H47" s="190"/>
      <c r="I47" s="190"/>
      <c r="J47" s="187" t="s">
        <v>2438</v>
      </c>
      <c r="K47" s="187"/>
      <c r="L47" s="270" t="str">
        <f>IFERROR(__xludf.DUMMYFUNCTION("IF(
  AND(D47=""Saída"", J47=""Sangria""),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74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IFERROR(__xludf.DUMMYFUNCTION("ifna(VALUE(REGEXEXTRACT(E47,""[0-9.]+[,]+[0-9]+"")))"),124.55)</f>
        <v>124.55</v>
      </c>
      <c r="O47" s="318">
        <f>IFERROR(__xludf.DUMMYFUNCTION("""COMPUTED_VALUE"""),46095.90655092592)</f>
        <v>46095.90655</v>
      </c>
      <c r="P47" s="89" t="str">
        <f>IFERROR(__xludf.DUMMYFUNCTION("""COMPUTED_VALUE"""),"R$ 10,32")</f>
        <v>R$ 10,32</v>
      </c>
      <c r="Q47" s="89" t="str">
        <f>IFERROR(__xludf.DUMMYFUNCTION("""COMPUTED_VALUE"""),"Consumo")</f>
        <v>Consumo</v>
      </c>
      <c r="R47" s="89" t="str">
        <f>IFERROR(__xludf.DUMMYFUNCTION("""COMPUTED_VALUE"""),"Gabriel Azevedo")</f>
        <v>Gabriel Azevedo</v>
      </c>
      <c r="S47" s="91"/>
      <c r="T47" s="89"/>
      <c r="U47" s="89"/>
      <c r="V47" s="89"/>
      <c r="W47" s="90"/>
    </row>
    <row r="48">
      <c r="A48" s="178"/>
      <c r="B48" s="12">
        <v>2033457.0</v>
      </c>
      <c r="C48" s="13">
        <v>46082.9434375</v>
      </c>
      <c r="D48" s="179" t="s">
        <v>81</v>
      </c>
      <c r="E48" s="180" t="s">
        <v>7048</v>
      </c>
      <c r="F48" s="181"/>
      <c r="G48" s="179" t="s">
        <v>7049</v>
      </c>
      <c r="H48" s="190"/>
      <c r="I48" s="190"/>
      <c r="J48" s="187" t="s">
        <v>2019</v>
      </c>
      <c r="K48" s="187" t="s">
        <v>6745</v>
      </c>
      <c r="L48" s="270" t="str">
        <f>IFERROR(__xludf.DUMMYFUNCTION("IF(
  AND(D48=""Saída"", J48=""Sangria""),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2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IFERROR(__xludf.DUMMYFUNCTION("ifna(VALUE(REGEXEXTRACT(E48,""[0-9.]+[,]+[0-9]+"")))"),15.6)</f>
        <v>15.6</v>
      </c>
      <c r="O48" s="318">
        <f>IFERROR(__xludf.DUMMYFUNCTION("""COMPUTED_VALUE"""),46101.864224537036)</f>
        <v>46101.86422</v>
      </c>
      <c r="P48" s="89" t="str">
        <f>IFERROR(__xludf.DUMMYFUNCTION("""COMPUTED_VALUE"""),"R$ 6,92")</f>
        <v>R$ 6,92</v>
      </c>
      <c r="Q48" s="89" t="str">
        <f>IFERROR(__xludf.DUMMYFUNCTION("""COMPUTED_VALUE"""),"Consumo")</f>
        <v>Consumo</v>
      </c>
      <c r="R48" s="89" t="str">
        <f>IFERROR(__xludf.DUMMYFUNCTION("""COMPUTED_VALUE"""),"Gabriel Azevedo")</f>
        <v>Gabriel Azevedo</v>
      </c>
      <c r="S48" s="91"/>
      <c r="T48" s="89"/>
      <c r="U48" s="89"/>
      <c r="V48" s="89"/>
      <c r="W48" s="90"/>
    </row>
    <row r="49" ht="14.25" customHeight="1">
      <c r="A49" s="178"/>
      <c r="B49" s="12">
        <v>2033463.0</v>
      </c>
      <c r="C49" s="13">
        <v>46082.94432870371</v>
      </c>
      <c r="D49" s="179" t="s">
        <v>81</v>
      </c>
      <c r="E49" s="180" t="s">
        <v>7050</v>
      </c>
      <c r="F49" s="181"/>
      <c r="G49" s="179" t="s">
        <v>7051</v>
      </c>
      <c r="H49" s="190"/>
      <c r="I49" s="190"/>
      <c r="J49" s="187" t="s">
        <v>3151</v>
      </c>
      <c r="K49" s="187"/>
      <c r="L49" s="270" t="str">
        <f>IFERROR(__xludf.DUMMYFUNCTION("IF(
  AND(D49=""Saída"", J49=""Sangria""),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74" t="str">
        <f>IFERROR(__xludf.DUMMYFUNCTION("IF(J49=""Compra de Mercadorias"",
   IF(
      COUNTIF(ARRAYFORMULA(TRIM(CLEAN(TO_TEXT(Notas!BS:BS)))), TRIM(CLEAN(TO_TEXT(B49)))) &gt; 0,
      ""Encontrada"",
      ""Não Encontrada""
   ),
"""")"),"Não Encontrada")</f>
        <v>Não Encontrada</v>
      </c>
      <c r="N49" s="185">
        <f>IFERROR(__xludf.DUMMYFUNCTION("ifna(VALUE(REGEXEXTRACT(E49,""[0-9.]+[,]+[0-9]+"")))"),41.88)</f>
        <v>41.88</v>
      </c>
      <c r="O49" s="194"/>
      <c r="P49" s="195"/>
      <c r="Q49" s="196"/>
      <c r="R49" s="197"/>
      <c r="S49" s="91"/>
      <c r="T49" s="89"/>
      <c r="U49" s="89"/>
      <c r="V49" s="89"/>
      <c r="W49" s="90"/>
    </row>
    <row r="50" ht="14.25" customHeight="1">
      <c r="A50" s="178"/>
      <c r="B50" s="12">
        <v>2033467.0</v>
      </c>
      <c r="C50" s="13">
        <v>46082.944768518515</v>
      </c>
      <c r="D50" s="179" t="s">
        <v>81</v>
      </c>
      <c r="E50" s="180" t="s">
        <v>6758</v>
      </c>
      <c r="F50" s="181"/>
      <c r="G50" s="179" t="s">
        <v>7052</v>
      </c>
      <c r="H50" s="190"/>
      <c r="I50" s="190"/>
      <c r="J50" s="187" t="s">
        <v>3151</v>
      </c>
      <c r="K50" s="187"/>
      <c r="L50" s="270" t="str">
        <f>IFERROR(__xludf.DUMMYFUNCTION("IF(
  AND(D50=""Saída"", J50=""Sangria""),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2" t="str">
        <f>IFERROR(__xludf.DUMMYFUNCTION("IF(J50=""Compra de Mercadorias"",
   IF(
      COUNTIF(ARRAYFORMULA(TRIM(CLEAN(TO_TEXT(Notas!BS:BS)))), TRIM(CLEAN(TO_TEXT(B50)))) &gt; 0,
      ""Encontrada"",
      ""Não Encontrada""
   ),
"""")"),"Não Encontrada")</f>
        <v>Não Encontrada</v>
      </c>
      <c r="N50" s="185">
        <f>IFERROR(__xludf.DUMMYFUNCTION("ifna(VALUE(REGEXEXTRACT(E50,""[0-9.]+[,]+[0-9]+"")))"),7.04)</f>
        <v>7.04</v>
      </c>
      <c r="O50" s="88"/>
      <c r="P50" s="89"/>
      <c r="Q50" s="89"/>
      <c r="R50" s="89"/>
      <c r="S50" s="91"/>
      <c r="T50" s="89"/>
      <c r="U50" s="89"/>
      <c r="V50" s="89"/>
      <c r="W50" s="90"/>
    </row>
    <row r="51" ht="19.5" customHeight="1">
      <c r="A51" s="178"/>
      <c r="B51" s="12">
        <v>2033495.0</v>
      </c>
      <c r="C51" s="13">
        <v>46082.948275462964</v>
      </c>
      <c r="D51" s="179" t="s">
        <v>81</v>
      </c>
      <c r="E51" s="180" t="s">
        <v>6493</v>
      </c>
      <c r="F51" s="188"/>
      <c r="G51" s="179" t="s">
        <v>128</v>
      </c>
      <c r="H51" s="190"/>
      <c r="I51" s="190"/>
      <c r="J51" s="187" t="s">
        <v>2735</v>
      </c>
      <c r="K51" s="187" t="s">
        <v>6576</v>
      </c>
      <c r="L51" s="270" t="str">
        <f>IFERROR(__xludf.DUMMYFUNCTION("IF(
  AND(D51=""Saída"", J51=""Sangria""),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"),"Confirmada")</f>
        <v>Confirmada</v>
      </c>
      <c r="M51" s="276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IFERROR(__xludf.DUMMYFUNCTION("ifna(VALUE(REGEXEXTRACT(E51,""[0-9.]+[,]+[0-9]+"")))"),420.0)</f>
        <v>420</v>
      </c>
      <c r="O51" s="88"/>
      <c r="P51" s="89"/>
      <c r="Q51" s="89"/>
      <c r="R51" s="89"/>
      <c r="S51" s="91"/>
      <c r="T51" s="89"/>
      <c r="U51" s="89"/>
      <c r="V51" s="89"/>
      <c r="W51" s="90"/>
    </row>
    <row r="52" ht="14.25" customHeight="1">
      <c r="A52" s="178"/>
      <c r="B52" s="12">
        <v>2034039.0</v>
      </c>
      <c r="C52" s="13">
        <v>46083.547685185185</v>
      </c>
      <c r="D52" s="179" t="s">
        <v>81</v>
      </c>
      <c r="E52" s="180" t="s">
        <v>5289</v>
      </c>
      <c r="F52" s="181"/>
      <c r="G52" s="179" t="s">
        <v>7054</v>
      </c>
      <c r="H52" s="190"/>
      <c r="I52" s="190"/>
      <c r="J52" s="187"/>
      <c r="K52" s="187"/>
      <c r="L52" s="270" t="str">
        <f>IFERROR(__xludf.DUMMYFUNCTION("IF(
  AND(D52=""Saída"", J52=""Sangria""),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3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IFERROR(__xludf.DUMMYFUNCTION("ifna(VALUE(REGEXEXTRACT(E52,""[0-9.]+[,]+[0-9]+"")))"),0.01)</f>
        <v>0.01</v>
      </c>
      <c r="O52" s="108"/>
      <c r="P52" s="109"/>
      <c r="Q52" s="109"/>
      <c r="R52" s="109"/>
      <c r="S52" s="110"/>
      <c r="T52" s="109"/>
      <c r="U52" s="109"/>
      <c r="V52" s="109"/>
      <c r="W52" s="111"/>
    </row>
    <row r="53" ht="14.25" customHeight="1">
      <c r="A53" s="178"/>
      <c r="B53" s="12">
        <v>2034108.0</v>
      </c>
      <c r="C53" s="13">
        <v>46083.57846064815</v>
      </c>
      <c r="D53" s="179" t="s">
        <v>81</v>
      </c>
      <c r="E53" s="180" t="s">
        <v>5289</v>
      </c>
      <c r="F53" s="181"/>
      <c r="G53" s="179" t="s">
        <v>7056</v>
      </c>
      <c r="H53" s="190"/>
      <c r="I53" s="190"/>
      <c r="J53" s="187"/>
      <c r="K53" s="187"/>
      <c r="L53" s="270" t="str">
        <f>IFERROR(__xludf.DUMMYFUNCTION("IF(
  AND(D53=""Saída"", J53=""Sangria""),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74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85">
        <f>IFERROR(__xludf.DUMMYFUNCTION("ifna(VALUE(REGEXEXTRACT(E53,""[0-9.]+[,]+[0-9]+"")))"),0.01)</f>
        <v>0.01</v>
      </c>
      <c r="S53" s="25"/>
    </row>
    <row r="54" ht="14.25" customHeight="1">
      <c r="A54" s="178"/>
      <c r="B54" s="12">
        <v>2034165.0</v>
      </c>
      <c r="C54" s="13">
        <v>46083.59887731481</v>
      </c>
      <c r="D54" s="179" t="s">
        <v>152</v>
      </c>
      <c r="E54" s="180" t="s">
        <v>416</v>
      </c>
      <c r="F54" s="181"/>
      <c r="G54" s="179" t="s">
        <v>7057</v>
      </c>
      <c r="H54" s="190"/>
      <c r="I54" s="190"/>
      <c r="J54" s="187"/>
      <c r="K54" s="187"/>
      <c r="L54" s="270" t="str">
        <f>IFERROR(__xludf.DUMMYFUNCTION("IF(
  AND(D54=""Saída"", J54=""Sangria""),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2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IFERROR(__xludf.DUMMYFUNCTION("ifna(VALUE(REGEXEXTRACT(E54,""[0-9.]+[,]+[0-9]+"")))"),100.0)</f>
        <v>100</v>
      </c>
      <c r="S54" s="25"/>
    </row>
    <row r="55" ht="14.25" customHeight="1">
      <c r="A55" s="178"/>
      <c r="B55" s="12">
        <v>2035573.0</v>
      </c>
      <c r="C55" s="13">
        <v>46083.93224537037</v>
      </c>
      <c r="D55" s="179" t="s">
        <v>81</v>
      </c>
      <c r="E55" s="180" t="s">
        <v>536</v>
      </c>
      <c r="F55" s="181"/>
      <c r="G55" s="179" t="s">
        <v>7061</v>
      </c>
      <c r="H55" s="190"/>
      <c r="I55" s="190"/>
      <c r="J55" s="187" t="s">
        <v>1782</v>
      </c>
      <c r="K55" s="187"/>
      <c r="L55" s="270" t="str">
        <f>IFERROR(__xludf.DUMMYFUNCTION("IF(
  AND(D55=""Saída"", J55=""Sangria""),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73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IFERROR(__xludf.DUMMYFUNCTION("ifna(VALUE(REGEXEXTRACT(E55,""[0-9.]+[,]+[0-9]+"")))"),80.0)</f>
        <v>80</v>
      </c>
      <c r="S55" s="25"/>
    </row>
    <row r="56" ht="14.25" customHeight="1">
      <c r="A56" s="178"/>
      <c r="B56" s="12">
        <v>2035574.0</v>
      </c>
      <c r="C56" s="13">
        <v>46083.93224537037</v>
      </c>
      <c r="D56" s="179" t="s">
        <v>81</v>
      </c>
      <c r="E56" s="180" t="s">
        <v>3905</v>
      </c>
      <c r="F56" s="188"/>
      <c r="G56" s="179" t="s">
        <v>381</v>
      </c>
      <c r="H56" s="190"/>
      <c r="I56" s="190"/>
      <c r="J56" s="187" t="s">
        <v>2735</v>
      </c>
      <c r="K56" s="187" t="s">
        <v>6576</v>
      </c>
      <c r="L56" s="270" t="str">
        <f>IFERROR(__xludf.DUMMYFUNCTION("IF(
  AND(D56=""Saída"", J56=""Sangria""),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"),"Confirmada")</f>
        <v>Confirmada</v>
      </c>
      <c r="M56" s="272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IFERROR(__xludf.DUMMYFUNCTION("ifna(VALUE(REGEXEXTRACT(E56,""[0-9.]+[,]+[0-9]+"")))"),1050.0)</f>
        <v>1050</v>
      </c>
      <c r="S56" s="25"/>
    </row>
    <row r="57" ht="17.25" customHeight="1">
      <c r="A57" s="178"/>
      <c r="B57" s="12">
        <v>2036146.0</v>
      </c>
      <c r="C57" s="13">
        <v>46084.589895833335</v>
      </c>
      <c r="D57" s="179" t="s">
        <v>152</v>
      </c>
      <c r="E57" s="180" t="s">
        <v>6050</v>
      </c>
      <c r="F57" s="181"/>
      <c r="G57" s="179" t="s">
        <v>158</v>
      </c>
      <c r="H57" s="190"/>
      <c r="I57" s="190"/>
      <c r="J57" s="187" t="s">
        <v>5195</v>
      </c>
      <c r="K57" s="187"/>
      <c r="L57" s="270" t="str">
        <f>IFERROR(__xludf.DUMMYFUNCTION("IF(
  AND(D57=""Saída"", J57=""Sangria""),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74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IFERROR(__xludf.DUMMYFUNCTION("ifna(VALUE(REGEXEXTRACT(E57,""[0-9.]+[,]+[0-9]+"")))"),130.0)</f>
        <v>130</v>
      </c>
      <c r="O57" s="25"/>
      <c r="P57" s="25"/>
      <c r="Q57" s="25"/>
      <c r="R57" s="25"/>
      <c r="S57" s="25"/>
      <c r="T57" s="25"/>
      <c r="U57" s="122"/>
      <c r="V57" s="122"/>
      <c r="W57" s="277"/>
    </row>
    <row r="58" ht="14.25" customHeight="1">
      <c r="A58" s="178"/>
      <c r="B58" s="12">
        <v>2037219.0</v>
      </c>
      <c r="C58" s="13">
        <v>46084.885462962964</v>
      </c>
      <c r="D58" s="179" t="s">
        <v>81</v>
      </c>
      <c r="E58" s="180" t="s">
        <v>7064</v>
      </c>
      <c r="F58" s="181"/>
      <c r="G58" s="179" t="s">
        <v>5810</v>
      </c>
      <c r="H58" s="190"/>
      <c r="I58" s="190"/>
      <c r="J58" s="187" t="s">
        <v>2019</v>
      </c>
      <c r="K58" s="187" t="s">
        <v>2117</v>
      </c>
      <c r="L58" s="270" t="str">
        <f>IFERROR(__xludf.DUMMYFUNCTION("IF(
  AND(D58=""Saída"", J58=""Sangria""),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2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IFERROR(__xludf.DUMMYFUNCTION("ifna(VALUE(REGEXEXTRACT(E58,""[0-9.]+[,]+[0-9]+"")))"),18.12)</f>
        <v>18.12</v>
      </c>
      <c r="O58" s="25"/>
      <c r="P58" s="25"/>
      <c r="Q58" s="25"/>
      <c r="R58" s="25"/>
      <c r="S58" s="25"/>
      <c r="T58" s="25"/>
      <c r="U58" s="278"/>
      <c r="V58" s="278"/>
      <c r="W58" s="279"/>
    </row>
    <row r="59" ht="14.25" customHeight="1">
      <c r="A59" s="178"/>
      <c r="B59" s="12">
        <v>2037220.0</v>
      </c>
      <c r="C59" s="13">
        <v>46084.88574074074</v>
      </c>
      <c r="D59" s="179" t="s">
        <v>81</v>
      </c>
      <c r="E59" s="180" t="s">
        <v>7067</v>
      </c>
      <c r="F59" s="181"/>
      <c r="G59" s="179" t="s">
        <v>585</v>
      </c>
      <c r="H59" s="190"/>
      <c r="I59" s="190"/>
      <c r="J59" s="187" t="s">
        <v>2019</v>
      </c>
      <c r="K59" s="187" t="s">
        <v>2078</v>
      </c>
      <c r="L59" s="270" t="str">
        <f>IFERROR(__xludf.DUMMYFUNCTION("IF(
  AND(D59=""Saída"", J59=""Sangria""),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73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IFERROR(__xludf.DUMMYFUNCTION("ifna(VALUE(REGEXEXTRACT(E59,""[0-9.]+[,]+[0-9]+"")))"),31.82)</f>
        <v>31.82</v>
      </c>
      <c r="O59" s="209" t="s">
        <v>3799</v>
      </c>
      <c r="P59" s="210"/>
      <c r="Q59" s="210"/>
      <c r="R59" s="210"/>
      <c r="S59" s="210"/>
      <c r="T59" s="59"/>
      <c r="U59" s="280"/>
      <c r="V59" s="280"/>
      <c r="W59" s="281"/>
    </row>
    <row r="60" ht="14.25" customHeight="1">
      <c r="A60" s="178"/>
      <c r="B60" s="12">
        <v>2037251.0</v>
      </c>
      <c r="C60" s="13">
        <v>46084.89234953704</v>
      </c>
      <c r="D60" s="179" t="s">
        <v>81</v>
      </c>
      <c r="E60" s="180" t="s">
        <v>1026</v>
      </c>
      <c r="F60" s="181"/>
      <c r="G60" s="179" t="s">
        <v>7069</v>
      </c>
      <c r="H60" s="190"/>
      <c r="I60" s="190"/>
      <c r="J60" s="187" t="s">
        <v>3151</v>
      </c>
      <c r="K60" s="187"/>
      <c r="L60" s="270" t="str">
        <f>IFERROR(__xludf.DUMMYFUNCTION("IF(
  AND(D60=""Saída"", J60=""Sangria""),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3" t="str">
        <f>IFERROR(__xludf.DUMMYFUNCTION("IF(J60=""Compra de Mercadorias"",
   IF(
      COUNTIF(ARRAYFORMULA(TRIM(CLEAN(TO_TEXT(Notas!BS:BS)))), TRIM(CLEAN(TO_TEXT(B60)))) &gt; 0,
      ""Encontrada"",
      ""Não Encontrada""
   ),
"""")"),"Não Encontrada")</f>
        <v>Não Encontrada</v>
      </c>
      <c r="N60" s="185">
        <f>IFERROR(__xludf.DUMMYFUNCTION("ifna(VALUE(REGEXEXTRACT(E60,""[0-9.]+[,]+[0-9]+"")))"),118.0)</f>
        <v>118</v>
      </c>
      <c r="O60" s="211"/>
      <c r="T60" s="212"/>
      <c r="U60" s="280"/>
      <c r="V60" s="280"/>
      <c r="W60" s="281"/>
    </row>
    <row r="61" ht="14.25" customHeight="1">
      <c r="A61" s="178"/>
      <c r="B61" s="12">
        <v>2037392.0</v>
      </c>
      <c r="C61" s="13">
        <v>46084.914513888885</v>
      </c>
      <c r="D61" s="179" t="s">
        <v>81</v>
      </c>
      <c r="E61" s="180" t="s">
        <v>7071</v>
      </c>
      <c r="F61" s="188"/>
      <c r="G61" s="179" t="s">
        <v>128</v>
      </c>
      <c r="H61" s="190"/>
      <c r="I61" s="190"/>
      <c r="J61" s="187" t="s">
        <v>2735</v>
      </c>
      <c r="K61" s="187" t="s">
        <v>6576</v>
      </c>
      <c r="L61" s="270" t="str">
        <f>IFERROR(__xludf.DUMMYFUNCTION("IF(
  AND(D61=""Saída"", J61=""Sangria""),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"),"Confirmada")</f>
        <v>Confirmada</v>
      </c>
      <c r="M61" s="274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IFERROR(__xludf.DUMMYFUNCTION("ifna(VALUE(REGEXEXTRACT(E61,""[0-9.]+[,]+[0-9]+"")))"),940.0)</f>
        <v>940</v>
      </c>
      <c r="O61" s="213" t="s">
        <v>1</v>
      </c>
      <c r="P61" s="214" t="s">
        <v>2</v>
      </c>
      <c r="Q61" s="214" t="s">
        <v>3830</v>
      </c>
      <c r="R61" s="214" t="s">
        <v>46</v>
      </c>
      <c r="S61" s="215" t="s">
        <v>33</v>
      </c>
      <c r="T61" s="212"/>
      <c r="U61" s="280"/>
      <c r="V61" s="280"/>
      <c r="W61" s="281"/>
    </row>
    <row r="62" ht="14.25" customHeight="1">
      <c r="A62" s="178"/>
      <c r="B62" s="12">
        <v>2038020.0</v>
      </c>
      <c r="C62" s="13">
        <v>46085.533217592594</v>
      </c>
      <c r="D62" s="179" t="s">
        <v>152</v>
      </c>
      <c r="E62" s="180" t="s">
        <v>7073</v>
      </c>
      <c r="F62" s="181"/>
      <c r="G62" s="179" t="s">
        <v>158</v>
      </c>
      <c r="H62" s="190"/>
      <c r="I62" s="190"/>
      <c r="J62" s="187" t="s">
        <v>5195</v>
      </c>
      <c r="K62" s="187"/>
      <c r="L62" s="270" t="str">
        <f>IFERROR(__xludf.DUMMYFUNCTION("IF(
  AND(D62=""Saída"", J62=""Sangria""),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2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IFERROR(__xludf.DUMMYFUNCTION("ifna(VALUE(REGEXEXTRACT(E62,""[0-9.]+[,]+[0-9]+"")))"),48.25)</f>
        <v>48.25</v>
      </c>
      <c r="O62" s="216"/>
      <c r="P62" s="195">
        <v>46105.0</v>
      </c>
      <c r="Q62" s="196" t="s">
        <v>6077</v>
      </c>
      <c r="R62" s="196">
        <v>300.0</v>
      </c>
      <c r="S62" s="217"/>
      <c r="T62" s="218" t="str">
        <f t="shared" ref="T62:T82" si="1">IFERROR(VLOOKUP(Q62, $A$4:$B$11, 2, FALSE), "")</f>
        <v>Gabriel Azevedo</v>
      </c>
      <c r="U62" s="280"/>
      <c r="V62" s="280"/>
      <c r="W62" s="281"/>
    </row>
    <row r="63" ht="14.25" customHeight="1">
      <c r="A63" s="178"/>
      <c r="B63" s="12">
        <v>2038764.0</v>
      </c>
      <c r="C63" s="13">
        <v>46085.77533564815</v>
      </c>
      <c r="D63" s="179" t="s">
        <v>81</v>
      </c>
      <c r="E63" s="180" t="s">
        <v>979</v>
      </c>
      <c r="F63" s="181"/>
      <c r="G63" s="179" t="s">
        <v>6779</v>
      </c>
      <c r="H63" s="190"/>
      <c r="I63" s="190"/>
      <c r="J63" s="187" t="s">
        <v>2019</v>
      </c>
      <c r="K63" s="187" t="s">
        <v>6745</v>
      </c>
      <c r="L63" s="270" t="str">
        <f>IFERROR(__xludf.DUMMYFUNCTION("IF(
  AND(D63=""Saída"", J63=""Sangria""),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74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IFERROR(__xludf.DUMMYFUNCTION("ifna(VALUE(REGEXEXTRACT(E63,""[0-9.]+[,]+[0-9]+"")))"),3.0)</f>
        <v>3</v>
      </c>
      <c r="O63" s="216"/>
      <c r="P63" s="195"/>
      <c r="Q63" s="196"/>
      <c r="R63" s="197"/>
      <c r="S63" s="219"/>
      <c r="T63" s="218" t="str">
        <f t="shared" si="1"/>
        <v/>
      </c>
      <c r="U63" s="280"/>
      <c r="V63" s="280"/>
      <c r="W63" s="281"/>
    </row>
    <row r="64" ht="14.25" customHeight="1">
      <c r="A64" s="178"/>
      <c r="B64" s="12">
        <v>2039568.0</v>
      </c>
      <c r="C64" s="13">
        <v>46085.9634375</v>
      </c>
      <c r="D64" s="179" t="s">
        <v>81</v>
      </c>
      <c r="E64" s="180" t="s">
        <v>7075</v>
      </c>
      <c r="F64" s="181"/>
      <c r="G64" s="179" t="s">
        <v>6718</v>
      </c>
      <c r="H64" s="190"/>
      <c r="I64" s="190"/>
      <c r="J64" s="187" t="s">
        <v>2438</v>
      </c>
      <c r="K64" s="187"/>
      <c r="L64" s="270" t="str">
        <f>IFERROR(__xludf.DUMMYFUNCTION("IF(
  AND(D64=""Saída"", J64=""Sangria""),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2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IFERROR(__xludf.DUMMYFUNCTION("ifna(VALUE(REGEXEXTRACT(E64,""[0-9.]+[,]+[0-9]+"")))"),34.85)</f>
        <v>34.85</v>
      </c>
      <c r="O64" s="216"/>
      <c r="P64" s="195"/>
      <c r="Q64" s="196"/>
      <c r="R64" s="197"/>
      <c r="S64" s="220"/>
      <c r="T64" s="218" t="str">
        <f t="shared" si="1"/>
        <v/>
      </c>
      <c r="U64" s="282"/>
      <c r="V64" s="282"/>
      <c r="W64" s="283"/>
    </row>
    <row r="65" ht="14.25" customHeight="1">
      <c r="A65" s="178"/>
      <c r="B65" s="12">
        <v>2039574.0</v>
      </c>
      <c r="C65" s="13">
        <v>46085.96412037037</v>
      </c>
      <c r="D65" s="179" t="s">
        <v>81</v>
      </c>
      <c r="E65" s="180" t="s">
        <v>5399</v>
      </c>
      <c r="F65" s="181"/>
      <c r="G65" s="179" t="s">
        <v>7035</v>
      </c>
      <c r="H65" s="190"/>
      <c r="I65" s="190"/>
      <c r="J65" s="187" t="s">
        <v>1782</v>
      </c>
      <c r="K65" s="187"/>
      <c r="L65" s="270" t="str">
        <f>IFERROR(__xludf.DUMMYFUNCTION("IF(
  AND(D65=""Saída"", J65=""Sangria""),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74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IFERROR(__xludf.DUMMYFUNCTION("ifna(VALUE(REGEXEXTRACT(E65,""[0-9.]+[,]+[0-9]+"")))"),75.0)</f>
        <v>75</v>
      </c>
      <c r="O65" s="216"/>
      <c r="P65" s="195"/>
      <c r="Q65" s="196"/>
      <c r="R65" s="197"/>
      <c r="S65" s="221"/>
      <c r="T65" s="218" t="str">
        <f t="shared" si="1"/>
        <v/>
      </c>
      <c r="U65" s="284"/>
      <c r="V65" s="284"/>
      <c r="W65" s="285"/>
    </row>
    <row r="66" ht="14.25" customHeight="1">
      <c r="A66" s="178"/>
      <c r="B66" s="12">
        <v>2039576.0</v>
      </c>
      <c r="C66" s="13">
        <v>46085.964780092596</v>
      </c>
      <c r="D66" s="179" t="s">
        <v>81</v>
      </c>
      <c r="E66" s="180" t="s">
        <v>7080</v>
      </c>
      <c r="F66" s="181"/>
      <c r="G66" s="179" t="s">
        <v>7081</v>
      </c>
      <c r="H66" s="190"/>
      <c r="I66" s="190"/>
      <c r="J66" s="187" t="s">
        <v>3151</v>
      </c>
      <c r="K66" s="187"/>
      <c r="L66" s="270" t="str">
        <f>IFERROR(__xludf.DUMMYFUNCTION("IF(
  AND(D66=""Saída"", J66=""Sangria""),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2" t="str">
        <f>IFERROR(__xludf.DUMMYFUNCTION("IF(J66=""Compra de Mercadorias"",
   IF(
      COUNTIF(ARRAYFORMULA(TRIM(CLEAN(TO_TEXT(Notas!BS:BS)))), TRIM(CLEAN(TO_TEXT(B66)))) &gt; 0,
      ""Encontrada"",
      ""Não Encontrada""
   ),
"""")"),"Não Encontrada")</f>
        <v>Não Encontrada</v>
      </c>
      <c r="N66" s="185">
        <f>IFERROR(__xludf.DUMMYFUNCTION("ifna(VALUE(REGEXEXTRACT(E66,""[0-9.]+[,]+[0-9]+"")))"),102.67)</f>
        <v>102.67</v>
      </c>
      <c r="O66" s="216"/>
      <c r="P66" s="195"/>
      <c r="Q66" s="196"/>
      <c r="R66" s="197"/>
      <c r="S66" s="220"/>
      <c r="T66" s="218" t="str">
        <f t="shared" si="1"/>
        <v/>
      </c>
      <c r="U66" s="284"/>
      <c r="V66" s="284"/>
      <c r="W66" s="285"/>
    </row>
    <row r="67" ht="14.25" customHeight="1">
      <c r="A67" s="178"/>
      <c r="B67" s="12">
        <v>2039580.0</v>
      </c>
      <c r="C67" s="13">
        <v>46085.96608796297</v>
      </c>
      <c r="D67" s="179" t="s">
        <v>81</v>
      </c>
      <c r="E67" s="180" t="s">
        <v>7083</v>
      </c>
      <c r="F67" s="188"/>
      <c r="G67" s="179" t="s">
        <v>7084</v>
      </c>
      <c r="H67" s="190"/>
      <c r="I67" s="190"/>
      <c r="J67" s="187" t="s">
        <v>3151</v>
      </c>
      <c r="K67" s="187"/>
      <c r="L67" s="270" t="str">
        <f>IFERROR(__xludf.DUMMYFUNCTION("IF(
  AND(D67=""Saída"", J67=""Sangria""),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73" t="str">
        <f>IFERROR(__xludf.DUMMYFUNCTION("IF(J67=""Compra de Mercadorias"",
   IF(
      COUNTIF(ARRAYFORMULA(TRIM(CLEAN(TO_TEXT(Notas!BS:BS)))), TRIM(CLEAN(TO_TEXT(B67)))) &gt; 0,
      ""Encontrada"",
      ""Não Encontrada""
   ),
"""")"),"Não Encontrada")</f>
        <v>Não Encontrada</v>
      </c>
      <c r="N67" s="185">
        <f>IFERROR(__xludf.DUMMYFUNCTION("ifna(VALUE(REGEXEXTRACT(E67,""[0-9.]+[,]+[0-9]+"")))"),187.79)</f>
        <v>187.79</v>
      </c>
      <c r="O67" s="222"/>
      <c r="P67" s="223"/>
      <c r="Q67" s="224"/>
      <c r="R67" s="225"/>
      <c r="S67" s="221"/>
      <c r="T67" s="218" t="str">
        <f t="shared" si="1"/>
        <v/>
      </c>
      <c r="U67" s="284"/>
      <c r="V67" s="284"/>
      <c r="W67" s="285"/>
    </row>
    <row r="68">
      <c r="A68" s="178"/>
      <c r="B68" s="12">
        <v>2039606.0</v>
      </c>
      <c r="C68" s="13">
        <v>46085.97246527778</v>
      </c>
      <c r="D68" s="179" t="s">
        <v>81</v>
      </c>
      <c r="E68" s="180" t="s">
        <v>1248</v>
      </c>
      <c r="F68" s="181"/>
      <c r="G68" s="179" t="s">
        <v>128</v>
      </c>
      <c r="H68" s="190"/>
      <c r="I68" s="190"/>
      <c r="J68" s="187" t="s">
        <v>2735</v>
      </c>
      <c r="K68" s="187" t="s">
        <v>6576</v>
      </c>
      <c r="L68" s="270" t="str">
        <f>IFERROR(__xludf.DUMMYFUNCTION("IF(
  AND(D68=""Saída"", J68=""Sangria""),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"),"Confirmada")</f>
        <v>Confirmada</v>
      </c>
      <c r="M68" s="272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IFERROR(__xludf.DUMMYFUNCTION("ifna(VALUE(REGEXEXTRACT(E68,""[0-9.]+[,]+[0-9]+"")))"),850.0)</f>
        <v>850</v>
      </c>
      <c r="O68" s="226"/>
      <c r="P68" s="227"/>
      <c r="Q68" s="220"/>
      <c r="R68" s="228" t="str">
        <f t="shared" ref="R68:R104" si="2">IFERROR(VLOOKUP(Q68, $B$4:$C$18, 2, FALSE), "")</f>
        <v/>
      </c>
      <c r="S68" s="220" t="str">
        <f t="shared" ref="S68:S104" si="3">IFERROR(VLOOKUP(Q68, $A$4:$B$18, 2, FALSE), "")</f>
        <v/>
      </c>
      <c r="T68" s="218" t="str">
        <f t="shared" si="1"/>
        <v/>
      </c>
      <c r="U68" s="284"/>
      <c r="V68" s="284"/>
      <c r="W68" s="285"/>
    </row>
    <row r="69" ht="14.25" customHeight="1">
      <c r="A69" s="178"/>
      <c r="B69" s="12">
        <v>2039617.0</v>
      </c>
      <c r="C69" s="13">
        <v>46085.976319444446</v>
      </c>
      <c r="D69" s="179" t="s">
        <v>81</v>
      </c>
      <c r="E69" s="180" t="s">
        <v>7087</v>
      </c>
      <c r="F69" s="181"/>
      <c r="G69" s="179" t="s">
        <v>211</v>
      </c>
      <c r="H69" s="190"/>
      <c r="I69" s="190"/>
      <c r="J69" s="187" t="s">
        <v>3151</v>
      </c>
      <c r="K69" s="187"/>
      <c r="L69" s="270" t="str">
        <f>IFERROR(__xludf.DUMMYFUNCTION("IF(
  AND(D69=""Saída"", J69=""Sangria""),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74" t="str">
        <f>IFERROR(__xludf.DUMMYFUNCTION("IF(J69=""Compra de Mercadorias"",
   IF(
      COUNTIF(ARRAYFORMULA(TRIM(CLEAN(TO_TEXT(Notas!BS:BS)))), TRIM(CLEAN(TO_TEXT(B69)))) &gt; 0,
      ""Encontrada"",
      ""Não Encontrada""
   ),
"""")"),"Não Encontrada")</f>
        <v>Não Encontrada</v>
      </c>
      <c r="N69" s="185">
        <f>IFERROR(__xludf.DUMMYFUNCTION("ifna(VALUE(REGEXEXTRACT(E69,""[0-9.]+[,]+[0-9]+"")))"),113.14)</f>
        <v>113.14</v>
      </c>
      <c r="O69" s="229"/>
      <c r="P69" s="230"/>
      <c r="Q69" s="221"/>
      <c r="R69" s="231" t="str">
        <f t="shared" si="2"/>
        <v/>
      </c>
      <c r="S69" s="221" t="str">
        <f t="shared" si="3"/>
        <v/>
      </c>
      <c r="T69" s="218" t="str">
        <f t="shared" si="1"/>
        <v/>
      </c>
      <c r="U69" s="284"/>
      <c r="V69" s="284"/>
      <c r="W69" s="285"/>
    </row>
    <row r="70" ht="14.25" customHeight="1">
      <c r="A70" s="178"/>
      <c r="B70" s="12">
        <v>2040909.0</v>
      </c>
      <c r="C70" s="13">
        <v>46086.869675925926</v>
      </c>
      <c r="D70" s="179" t="s">
        <v>152</v>
      </c>
      <c r="E70" s="180" t="s">
        <v>485</v>
      </c>
      <c r="F70" s="181"/>
      <c r="G70" s="179" t="s">
        <v>7090</v>
      </c>
      <c r="H70" s="190"/>
      <c r="I70" s="190"/>
      <c r="J70" s="187" t="s">
        <v>5195</v>
      </c>
      <c r="K70" s="187"/>
      <c r="L70" s="270" t="str">
        <f>IFERROR(__xludf.DUMMYFUNCTION("IF(
  AND(D70=""Saída"", J70=""Sangria""),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2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IFERROR(__xludf.DUMMYFUNCTION("ifna(VALUE(REGEXEXTRACT(E70,""[0-9.]+[,]+[0-9]+"")))"),60.0)</f>
        <v>60</v>
      </c>
      <c r="O70" s="226"/>
      <c r="P70" s="227"/>
      <c r="Q70" s="220"/>
      <c r="R70" s="228" t="str">
        <f t="shared" si="2"/>
        <v/>
      </c>
      <c r="S70" s="220" t="str">
        <f t="shared" si="3"/>
        <v/>
      </c>
      <c r="T70" s="218" t="str">
        <f t="shared" si="1"/>
        <v/>
      </c>
      <c r="U70" s="284"/>
      <c r="V70" s="284"/>
      <c r="W70" s="285"/>
    </row>
    <row r="71" ht="14.25" customHeight="1">
      <c r="A71" s="178"/>
      <c r="B71" s="12">
        <v>2040936.0</v>
      </c>
      <c r="C71" s="13">
        <v>46086.876284722224</v>
      </c>
      <c r="D71" s="179" t="s">
        <v>81</v>
      </c>
      <c r="E71" s="180" t="s">
        <v>5300</v>
      </c>
      <c r="F71" s="181"/>
      <c r="G71" s="179" t="s">
        <v>506</v>
      </c>
      <c r="H71" s="190"/>
      <c r="I71" s="190"/>
      <c r="J71" s="187" t="s">
        <v>1782</v>
      </c>
      <c r="K71" s="187"/>
      <c r="L71" s="270" t="str">
        <f>IFERROR(__xludf.DUMMYFUNCTION("IF(
  AND(D71=""Saída"", J71=""Sangria""),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74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IFERROR(__xludf.DUMMYFUNCTION("ifna(VALUE(REGEXEXTRACT(E71,""[0-9.]+[,]+[0-9]+"")))"),52.0)</f>
        <v>52</v>
      </c>
      <c r="O71" s="229"/>
      <c r="P71" s="230"/>
      <c r="Q71" s="221"/>
      <c r="R71" s="231" t="str">
        <f t="shared" si="2"/>
        <v/>
      </c>
      <c r="S71" s="221" t="str">
        <f t="shared" si="3"/>
        <v/>
      </c>
      <c r="T71" s="218" t="str">
        <f t="shared" si="1"/>
        <v/>
      </c>
      <c r="U71" s="284"/>
      <c r="V71" s="284"/>
      <c r="W71" s="285"/>
    </row>
    <row r="72" ht="14.25" customHeight="1">
      <c r="A72" s="178"/>
      <c r="B72" s="12">
        <v>2040951.0</v>
      </c>
      <c r="C72" s="13">
        <v>46086.87888888889</v>
      </c>
      <c r="D72" s="179" t="s">
        <v>81</v>
      </c>
      <c r="E72" s="180" t="s">
        <v>6504</v>
      </c>
      <c r="F72" s="181"/>
      <c r="G72" s="179" t="s">
        <v>7098</v>
      </c>
      <c r="H72" s="190"/>
      <c r="I72" s="190"/>
      <c r="J72" s="187" t="s">
        <v>3151</v>
      </c>
      <c r="K72" s="187"/>
      <c r="L72" s="270" t="str">
        <f>IFERROR(__xludf.DUMMYFUNCTION("IF(
  AND(D72=""Saída"", J72=""Sangria""),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6" t="str">
        <f>IFERROR(__xludf.DUMMYFUNCTION("IF(J72=""Compra de Mercadorias"",
   IF(
      COUNTIF(ARRAYFORMULA(TRIM(CLEAN(TO_TEXT(Notas!BS:BS)))), TRIM(CLEAN(TO_TEXT(B72)))) &gt; 0,
      ""Encontrada"",
      ""Não Encontrada""
   ),
"""")"),"Não Encontrada")</f>
        <v>Não Encontrada</v>
      </c>
      <c r="N72" s="185">
        <f>IFERROR(__xludf.DUMMYFUNCTION("ifna(VALUE(REGEXEXTRACT(E72,""[0-9.]+[,]+[0-9]+"")))"),17.0)</f>
        <v>17</v>
      </c>
      <c r="O72" s="226"/>
      <c r="P72" s="227"/>
      <c r="Q72" s="220"/>
      <c r="R72" s="228" t="str">
        <f t="shared" si="2"/>
        <v/>
      </c>
      <c r="S72" s="220" t="str">
        <f t="shared" si="3"/>
        <v/>
      </c>
      <c r="T72" s="218" t="str">
        <f t="shared" si="1"/>
        <v/>
      </c>
      <c r="U72" s="275"/>
      <c r="V72" s="275"/>
      <c r="W72" s="286"/>
    </row>
    <row r="73" ht="14.25" customHeight="1">
      <c r="A73" s="178"/>
      <c r="B73" s="12">
        <v>2040954.0</v>
      </c>
      <c r="C73" s="13">
        <v>46086.87954861111</v>
      </c>
      <c r="D73" s="179" t="s">
        <v>81</v>
      </c>
      <c r="E73" s="180" t="s">
        <v>416</v>
      </c>
      <c r="F73" s="188"/>
      <c r="G73" s="179" t="s">
        <v>7098</v>
      </c>
      <c r="H73" s="190"/>
      <c r="I73" s="190"/>
      <c r="J73" s="187" t="s">
        <v>3151</v>
      </c>
      <c r="K73" s="187"/>
      <c r="L73" s="270" t="str">
        <f>IFERROR(__xludf.DUMMYFUNCTION("IF(
  AND(D73=""Saída"", J73=""Sangria""),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76" t="str">
        <f>IFERROR(__xludf.DUMMYFUNCTION("IF(J73=""Compra de Mercadorias"",
   IF(
      COUNTIF(ARRAYFORMULA(TRIM(CLEAN(TO_TEXT(Notas!BS:BS)))), TRIM(CLEAN(TO_TEXT(B73)))) &gt; 0,
      ""Encontrada"",
      ""Não Encontrada""
   ),
"""")"),"Não Encontrada")</f>
        <v>Não Encontrada</v>
      </c>
      <c r="N73" s="185">
        <f>IFERROR(__xludf.DUMMYFUNCTION("ifna(VALUE(REGEXEXTRACT(E73,""[0-9.]+[,]+[0-9]+"")))"),100.0)</f>
        <v>100</v>
      </c>
      <c r="O73" s="229"/>
      <c r="P73" s="221"/>
      <c r="Q73" s="221"/>
      <c r="R73" s="231" t="str">
        <f t="shared" si="2"/>
        <v/>
      </c>
      <c r="S73" s="221" t="str">
        <f t="shared" si="3"/>
        <v/>
      </c>
      <c r="T73" s="218" t="str">
        <f t="shared" si="1"/>
        <v/>
      </c>
      <c r="U73" s="25"/>
      <c r="V73" s="25"/>
      <c r="W73" s="287"/>
    </row>
    <row r="74" ht="14.25" customHeight="1">
      <c r="A74" s="178"/>
      <c r="B74" s="12">
        <v>2040956.0</v>
      </c>
      <c r="C74" s="13">
        <v>46086.879907407405</v>
      </c>
      <c r="D74" s="179" t="s">
        <v>81</v>
      </c>
      <c r="E74" s="180" t="s">
        <v>289</v>
      </c>
      <c r="F74" s="181"/>
      <c r="G74" s="179" t="s">
        <v>7098</v>
      </c>
      <c r="H74" s="190"/>
      <c r="I74" s="190"/>
      <c r="J74" s="187" t="s">
        <v>3151</v>
      </c>
      <c r="K74" s="187"/>
      <c r="L74" s="270" t="str">
        <f>IFERROR(__xludf.DUMMYFUNCTION("IF(
  AND(D74=""Saída"", J74=""Sangria""),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2" t="str">
        <f>IFERROR(__xludf.DUMMYFUNCTION("IF(J74=""Compra de Mercadorias"",
   IF(
      COUNTIF(ARRAYFORMULA(TRIM(CLEAN(TO_TEXT(Notas!BS:BS)))), TRIM(CLEAN(TO_TEXT(B74)))) &gt; 0,
      ""Encontrada"",
      ""Não Encontrada""
   ),
"""")"),"Não Encontrada")</f>
        <v>Não Encontrada</v>
      </c>
      <c r="N74" s="185">
        <f>IFERROR(__xludf.DUMMYFUNCTION("ifna(VALUE(REGEXEXTRACT(E74,""[0-9.]+[,]+[0-9]+"")))"),32.0)</f>
        <v>32</v>
      </c>
      <c r="O74" s="226"/>
      <c r="P74" s="220"/>
      <c r="Q74" s="220"/>
      <c r="R74" s="228" t="str">
        <f t="shared" si="2"/>
        <v/>
      </c>
      <c r="S74" s="220" t="str">
        <f t="shared" si="3"/>
        <v/>
      </c>
      <c r="T74" s="218" t="str">
        <f t="shared" si="1"/>
        <v/>
      </c>
      <c r="U74" s="25"/>
      <c r="V74" s="25"/>
      <c r="W74" s="287"/>
    </row>
    <row r="75" ht="14.25" customHeight="1">
      <c r="A75" s="178"/>
      <c r="B75" s="12">
        <v>2040959.0</v>
      </c>
      <c r="C75" s="13">
        <v>46086.880324074074</v>
      </c>
      <c r="D75" s="179" t="s">
        <v>81</v>
      </c>
      <c r="E75" s="180" t="s">
        <v>7100</v>
      </c>
      <c r="F75" s="181"/>
      <c r="G75" s="179" t="s">
        <v>7101</v>
      </c>
      <c r="H75" s="190"/>
      <c r="I75" s="190"/>
      <c r="J75" s="187" t="s">
        <v>3151</v>
      </c>
      <c r="K75" s="187"/>
      <c r="L75" s="270" t="str">
        <f>IFERROR(__xludf.DUMMYFUNCTION("IF(
  AND(D75=""Saída"", J75=""Sangria""),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74" t="str">
        <f>IFERROR(__xludf.DUMMYFUNCTION("IF(J75=""Compra de Mercadorias"",
   IF(
      COUNTIF(ARRAYFORMULA(TRIM(CLEAN(TO_TEXT(Notas!BS:BS)))), TRIM(CLEAN(TO_TEXT(B75)))) &gt; 0,
      ""Encontrada"",
      ""Não Encontrada""
   ),
"""")"),"Não Encontrada")</f>
        <v>Não Encontrada</v>
      </c>
      <c r="N75" s="185">
        <f>IFERROR(__xludf.DUMMYFUNCTION("ifna(VALUE(REGEXEXTRACT(E75,""[0-9.]+[,]+[0-9]+"")))"),38.5)</f>
        <v>38.5</v>
      </c>
      <c r="O75" s="229"/>
      <c r="P75" s="221"/>
      <c r="Q75" s="221"/>
      <c r="R75" s="231" t="str">
        <f t="shared" si="2"/>
        <v/>
      </c>
      <c r="S75" s="221" t="str">
        <f t="shared" si="3"/>
        <v/>
      </c>
      <c r="T75" s="218" t="str">
        <f t="shared" si="1"/>
        <v/>
      </c>
      <c r="U75" s="25"/>
      <c r="V75" s="25"/>
      <c r="W75" s="287"/>
    </row>
    <row r="76" ht="14.25" customHeight="1">
      <c r="A76" s="178"/>
      <c r="B76" s="12">
        <v>2040963.0</v>
      </c>
      <c r="C76" s="13">
        <v>46086.88064814815</v>
      </c>
      <c r="D76" s="179" t="s">
        <v>81</v>
      </c>
      <c r="E76" s="180" t="s">
        <v>7102</v>
      </c>
      <c r="F76" s="181"/>
      <c r="G76" s="179" t="s">
        <v>7098</v>
      </c>
      <c r="H76" s="190"/>
      <c r="I76" s="190"/>
      <c r="J76" s="187" t="s">
        <v>3151</v>
      </c>
      <c r="K76" s="187"/>
      <c r="L76" s="270" t="str">
        <f>IFERROR(__xludf.DUMMYFUNCTION("IF(
  AND(D76=""Saída"", J76=""Sangria""),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2" t="str">
        <f>IFERROR(__xludf.DUMMYFUNCTION("IF(J76=""Compra de Mercadorias"",
   IF(
      COUNTIF(ARRAYFORMULA(TRIM(CLEAN(TO_TEXT(Notas!BS:BS)))), TRIM(CLEAN(TO_TEXT(B76)))) &gt; 0,
      ""Encontrada"",
      ""Não Encontrada""
   ),
"""")"),"Não Encontrada")</f>
        <v>Não Encontrada</v>
      </c>
      <c r="N76" s="185">
        <f>IFERROR(__xludf.DUMMYFUNCTION("ifna(VALUE(REGEXEXTRACT(E76,""[0-9.]+[,]+[0-9]+"")))"),52.97)</f>
        <v>52.97</v>
      </c>
      <c r="O76" s="226"/>
      <c r="P76" s="220"/>
      <c r="Q76" s="220"/>
      <c r="R76" s="228" t="str">
        <f t="shared" si="2"/>
        <v/>
      </c>
      <c r="S76" s="220" t="str">
        <f t="shared" si="3"/>
        <v/>
      </c>
      <c r="T76" s="288" t="str">
        <f t="shared" si="1"/>
        <v/>
      </c>
      <c r="U76" s="25"/>
      <c r="V76" s="25"/>
      <c r="W76" s="25"/>
    </row>
    <row r="77" ht="14.25" customHeight="1">
      <c r="A77" s="178"/>
      <c r="B77" s="12">
        <v>2040964.0</v>
      </c>
      <c r="C77" s="13">
        <v>46086.880902777775</v>
      </c>
      <c r="D77" s="179" t="s">
        <v>81</v>
      </c>
      <c r="E77" s="180" t="s">
        <v>6909</v>
      </c>
      <c r="F77" s="181"/>
      <c r="G77" s="179" t="s">
        <v>7098</v>
      </c>
      <c r="H77" s="190"/>
      <c r="I77" s="190"/>
      <c r="J77" s="187" t="s">
        <v>3151</v>
      </c>
      <c r="K77" s="187"/>
      <c r="L77" s="270" t="str">
        <f>IFERROR(__xludf.DUMMYFUNCTION("IF(
  AND(D77=""Saída"", J77=""Sangria""),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74" t="str">
        <f>IFERROR(__xludf.DUMMYFUNCTION("IF(J77=""Compra de Mercadorias"",
   IF(
      COUNTIF(ARRAYFORMULA(TRIM(CLEAN(TO_TEXT(Notas!BS:BS)))), TRIM(CLEAN(TO_TEXT(B77)))) &gt; 0,
      ""Encontrada"",
      ""Não Encontrada""
   ),
"""")"),"Não Encontrada")</f>
        <v>Não Encontrada</v>
      </c>
      <c r="N77" s="185">
        <f>IFERROR(__xludf.DUMMYFUNCTION("ifna(VALUE(REGEXEXTRACT(E77,""[0-9.]+[,]+[0-9]+"")))"),25.8)</f>
        <v>25.8</v>
      </c>
      <c r="O77" s="229"/>
      <c r="P77" s="221"/>
      <c r="Q77" s="221"/>
      <c r="R77" s="231" t="str">
        <f t="shared" si="2"/>
        <v/>
      </c>
      <c r="S77" s="221" t="str">
        <f t="shared" si="3"/>
        <v/>
      </c>
      <c r="T77" s="288" t="str">
        <f t="shared" si="1"/>
        <v/>
      </c>
      <c r="U77" s="25"/>
      <c r="V77" s="25"/>
      <c r="W77" s="25"/>
    </row>
    <row r="78" ht="14.25" customHeight="1">
      <c r="A78" s="178"/>
      <c r="B78" s="12">
        <v>2040965.0</v>
      </c>
      <c r="C78" s="13">
        <v>46086.88111111111</v>
      </c>
      <c r="D78" s="179" t="s">
        <v>81</v>
      </c>
      <c r="E78" s="180" t="s">
        <v>155</v>
      </c>
      <c r="F78" s="181"/>
      <c r="G78" s="179" t="s">
        <v>7098</v>
      </c>
      <c r="H78" s="190"/>
      <c r="I78" s="190"/>
      <c r="J78" s="187" t="s">
        <v>3151</v>
      </c>
      <c r="K78" s="187"/>
      <c r="L78" s="270" t="str">
        <f>IFERROR(__xludf.DUMMYFUNCTION("IF(
  AND(D78=""Saída"", J78=""Sangria""),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2" t="str">
        <f>IFERROR(__xludf.DUMMYFUNCTION("IF(J78=""Compra de Mercadorias"",
   IF(
      COUNTIF(ARRAYFORMULA(TRIM(CLEAN(TO_TEXT(Notas!BS:BS)))), TRIM(CLEAN(TO_TEXT(B78)))) &gt; 0,
      ""Encontrada"",
      ""Não Encontrada""
   ),
"""")"),"Não Encontrada")</f>
        <v>Não Encontrada</v>
      </c>
      <c r="N78" s="185">
        <f>IFERROR(__xludf.DUMMYFUNCTION("ifna(VALUE(REGEXEXTRACT(E78,""[0-9.]+[,]+[0-9]+"")))"),21.0)</f>
        <v>21</v>
      </c>
      <c r="O78" s="226"/>
      <c r="P78" s="220"/>
      <c r="Q78" s="220"/>
      <c r="R78" s="228" t="str">
        <f t="shared" si="2"/>
        <v/>
      </c>
      <c r="S78" s="220" t="str">
        <f t="shared" si="3"/>
        <v/>
      </c>
      <c r="T78" s="288" t="str">
        <f t="shared" si="1"/>
        <v/>
      </c>
      <c r="U78" s="25"/>
      <c r="V78" s="25"/>
      <c r="W78" s="25"/>
    </row>
    <row r="79" ht="14.25" customHeight="1">
      <c r="A79" s="178"/>
      <c r="B79" s="12">
        <v>2041306.0</v>
      </c>
      <c r="C79" s="13">
        <v>46086.92407407407</v>
      </c>
      <c r="D79" s="179" t="s">
        <v>81</v>
      </c>
      <c r="E79" s="180" t="s">
        <v>5437</v>
      </c>
      <c r="F79" s="181"/>
      <c r="G79" s="179" t="s">
        <v>381</v>
      </c>
      <c r="H79" s="190"/>
      <c r="I79" s="190"/>
      <c r="J79" s="187" t="s">
        <v>2735</v>
      </c>
      <c r="K79" s="187" t="s">
        <v>6576</v>
      </c>
      <c r="L79" s="270" t="str">
        <f>IFERROR(__xludf.DUMMYFUNCTION("IF(
  AND(D79=""Saída"", J79=""Sangria""),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"),"Confirmada")</f>
        <v>Confirmada</v>
      </c>
      <c r="M79" s="274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IFERROR(__xludf.DUMMYFUNCTION("ifna(VALUE(REGEXEXTRACT(E79,""[0-9.]+[,]+[0-9]+"")))"),600.0)</f>
        <v>600</v>
      </c>
      <c r="O79" s="229"/>
      <c r="P79" s="221"/>
      <c r="Q79" s="221"/>
      <c r="R79" s="231" t="str">
        <f t="shared" si="2"/>
        <v/>
      </c>
      <c r="S79" s="221" t="str">
        <f t="shared" si="3"/>
        <v/>
      </c>
      <c r="T79" s="288" t="str">
        <f t="shared" si="1"/>
        <v/>
      </c>
      <c r="U79" s="25"/>
      <c r="V79" s="25"/>
      <c r="W79" s="25"/>
    </row>
    <row r="80" ht="14.25" customHeight="1">
      <c r="A80" s="178"/>
      <c r="B80" s="12">
        <v>2042285.0</v>
      </c>
      <c r="C80" s="13">
        <v>46087.67387731482</v>
      </c>
      <c r="D80" s="179" t="s">
        <v>81</v>
      </c>
      <c r="E80" s="180" t="s">
        <v>443</v>
      </c>
      <c r="F80" s="181"/>
      <c r="G80" s="179" t="s">
        <v>7105</v>
      </c>
      <c r="H80" s="190"/>
      <c r="I80" s="190"/>
      <c r="J80" s="187" t="s">
        <v>2735</v>
      </c>
      <c r="K80" s="187" t="s">
        <v>2018</v>
      </c>
      <c r="L80" s="270" t="str">
        <f>IFERROR(__xludf.DUMMYFUNCTION("IF(
  AND(D80=""Saída"", J80=""Sangria""),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"),"Confirmada")</f>
        <v>Confirmada</v>
      </c>
      <c r="M80" s="272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IFERROR(__xludf.DUMMYFUNCTION("ifna(VALUE(REGEXEXTRACT(E80,""[0-9.]+[,]+[0-9]+"")))"),900.0)</f>
        <v>900</v>
      </c>
      <c r="O80" s="226"/>
      <c r="P80" s="220"/>
      <c r="Q80" s="220"/>
      <c r="R80" s="228" t="str">
        <f t="shared" si="2"/>
        <v/>
      </c>
      <c r="S80" s="220" t="str">
        <f t="shared" si="3"/>
        <v/>
      </c>
      <c r="T80" s="218" t="str">
        <f t="shared" si="1"/>
        <v/>
      </c>
      <c r="U80" s="25"/>
      <c r="V80" s="25"/>
      <c r="W80" s="25"/>
    </row>
    <row r="81" ht="14.25" customHeight="1">
      <c r="A81" s="178"/>
      <c r="B81" s="12">
        <v>2042906.0</v>
      </c>
      <c r="C81" s="13">
        <v>46087.8159375</v>
      </c>
      <c r="D81" s="179" t="s">
        <v>81</v>
      </c>
      <c r="E81" s="180" t="s">
        <v>7108</v>
      </c>
      <c r="F81" s="181"/>
      <c r="G81" s="179" t="s">
        <v>7109</v>
      </c>
      <c r="H81" s="190"/>
      <c r="I81" s="190"/>
      <c r="J81" s="187" t="s">
        <v>2438</v>
      </c>
      <c r="K81" s="187"/>
      <c r="L81" s="270" t="str">
        <f>IFERROR(__xludf.DUMMYFUNCTION("IF(
  AND(D81=""Saída"", J81=""Sangria""),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74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IFERROR(__xludf.DUMMYFUNCTION("ifna(VALUE(REGEXEXTRACT(E81,""[0-9.]+[,]+[0-9]+"")))"),144.89)</f>
        <v>144.89</v>
      </c>
      <c r="O81" s="229"/>
      <c r="P81" s="221"/>
      <c r="Q81" s="221"/>
      <c r="R81" s="231" t="str">
        <f t="shared" si="2"/>
        <v/>
      </c>
      <c r="S81" s="221" t="str">
        <f t="shared" si="3"/>
        <v/>
      </c>
      <c r="T81" s="218" t="str">
        <f t="shared" si="1"/>
        <v/>
      </c>
      <c r="U81" s="185"/>
      <c r="V81" s="185"/>
      <c r="W81" s="185"/>
    </row>
    <row r="82" ht="14.25" customHeight="1">
      <c r="A82" s="178"/>
      <c r="B82" s="12">
        <v>2042938.0</v>
      </c>
      <c r="C82" s="13">
        <v>46087.82645833334</v>
      </c>
      <c r="D82" s="179" t="s">
        <v>81</v>
      </c>
      <c r="E82" s="180" t="s">
        <v>7110</v>
      </c>
      <c r="F82" s="181"/>
      <c r="G82" s="179" t="s">
        <v>5861</v>
      </c>
      <c r="H82" s="190"/>
      <c r="I82" s="190"/>
      <c r="J82" s="187" t="s">
        <v>2019</v>
      </c>
      <c r="K82" s="187" t="s">
        <v>2117</v>
      </c>
      <c r="L82" s="270" t="str">
        <f>IFERROR(__xludf.DUMMYFUNCTION("IF(
  AND(D82=""Saída"", J82=""Sangria""),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2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IFERROR(__xludf.DUMMYFUNCTION("ifna(VALUE(REGEXEXTRACT(E82,""[0-9.]+[,]+[0-9]+"")))"),24.13)</f>
        <v>24.13</v>
      </c>
      <c r="O82" s="226"/>
      <c r="P82" s="220"/>
      <c r="Q82" s="220"/>
      <c r="R82" s="228" t="str">
        <f t="shared" si="2"/>
        <v/>
      </c>
      <c r="S82" s="220" t="str">
        <f t="shared" si="3"/>
        <v/>
      </c>
      <c r="T82" s="218" t="str">
        <f t="shared" si="1"/>
        <v/>
      </c>
      <c r="U82" s="185"/>
      <c r="V82" s="185"/>
      <c r="W82" s="185"/>
    </row>
    <row r="83" ht="14.25" customHeight="1">
      <c r="A83" s="178"/>
      <c r="B83" s="12">
        <v>2042957.0</v>
      </c>
      <c r="C83" s="13">
        <v>46087.830034722225</v>
      </c>
      <c r="D83" s="179" t="s">
        <v>81</v>
      </c>
      <c r="E83" s="180" t="s">
        <v>713</v>
      </c>
      <c r="F83" s="181"/>
      <c r="G83" s="179" t="s">
        <v>7112</v>
      </c>
      <c r="H83" s="190"/>
      <c r="I83" s="190"/>
      <c r="J83" s="187" t="s">
        <v>3151</v>
      </c>
      <c r="K83" s="187"/>
      <c r="L83" s="270" t="str">
        <f>IFERROR(__xludf.DUMMYFUNCTION("IF(
  AND(D83=""Saída"", J83=""Sangria""),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74" t="str">
        <f>IFERROR(__xludf.DUMMYFUNCTION("IF(J83=""Compra de Mercadorias"",
   IF(
      COUNTIF(ARRAYFORMULA(TRIM(CLEAN(TO_TEXT(Notas!BS:BS)))), TRIM(CLEAN(TO_TEXT(B83)))) &gt; 0,
      ""Encontrada"",
      ""Não Encontrada""
   ),
"""")"),"Não Encontrada")</f>
        <v>Não Encontrada</v>
      </c>
      <c r="N83" s="185">
        <f>IFERROR(__xludf.DUMMYFUNCTION("ifna(VALUE(REGEXEXTRACT(E83,""[0-9.]+[,]+[0-9]+"")))"),50.0)</f>
        <v>50</v>
      </c>
      <c r="O83" s="229"/>
      <c r="P83" s="221"/>
      <c r="Q83" s="221"/>
      <c r="R83" s="231" t="str">
        <f t="shared" si="2"/>
        <v/>
      </c>
      <c r="S83" s="221" t="str">
        <f t="shared" si="3"/>
        <v/>
      </c>
      <c r="T83" s="232" t="str">
        <f t="shared" ref="T83:T104" si="4">IFERROR(VLOOKUP(Q83, $A$4:$B$18, 2, FALSE), "")</f>
        <v/>
      </c>
      <c r="U83" s="185"/>
      <c r="V83" s="185"/>
      <c r="W83" s="185"/>
    </row>
    <row r="84" ht="14.25" customHeight="1">
      <c r="A84" s="178"/>
      <c r="B84" s="12">
        <v>2042994.0</v>
      </c>
      <c r="C84" s="13">
        <v>46087.83957175926</v>
      </c>
      <c r="D84" s="179" t="s">
        <v>152</v>
      </c>
      <c r="E84" s="180" t="s">
        <v>3486</v>
      </c>
      <c r="F84" s="181"/>
      <c r="G84" s="179" t="s">
        <v>5296</v>
      </c>
      <c r="H84" s="190"/>
      <c r="I84" s="190"/>
      <c r="J84" s="187" t="s">
        <v>5195</v>
      </c>
      <c r="K84" s="187"/>
      <c r="L84" s="270" t="str">
        <f>IFERROR(__xludf.DUMMYFUNCTION("IF(
  AND(D84=""Saída"", J84=""Sangria""),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2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IFERROR(__xludf.DUMMYFUNCTION("ifna(VALUE(REGEXEXTRACT(E84,""[0-9.]+[,]+[0-9]+"")))"),500.0)</f>
        <v>500</v>
      </c>
      <c r="O84" s="226"/>
      <c r="P84" s="220"/>
      <c r="Q84" s="220"/>
      <c r="R84" s="228" t="str">
        <f t="shared" si="2"/>
        <v/>
      </c>
      <c r="S84" s="220" t="str">
        <f t="shared" si="3"/>
        <v/>
      </c>
      <c r="T84" s="232" t="str">
        <f t="shared" si="4"/>
        <v/>
      </c>
      <c r="U84" s="185"/>
      <c r="V84" s="185"/>
      <c r="W84" s="185"/>
    </row>
    <row r="85" ht="14.25" customHeight="1">
      <c r="A85" s="178"/>
      <c r="B85" s="12">
        <v>2042995.0</v>
      </c>
      <c r="C85" s="13">
        <v>46087.83976851852</v>
      </c>
      <c r="D85" s="179" t="s">
        <v>81</v>
      </c>
      <c r="E85" s="180" t="s">
        <v>7114</v>
      </c>
      <c r="F85" s="181"/>
      <c r="G85" s="179" t="s">
        <v>7098</v>
      </c>
      <c r="H85" s="190"/>
      <c r="I85" s="190"/>
      <c r="J85" s="187" t="s">
        <v>3151</v>
      </c>
      <c r="K85" s="187"/>
      <c r="L85" s="270" t="str">
        <f>IFERROR(__xludf.DUMMYFUNCTION("IF(
  AND(D85=""Saída"", J85=""Sangria""),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74" t="str">
        <f>IFERROR(__xludf.DUMMYFUNCTION("IF(J85=""Compra de Mercadorias"",
   IF(
      COUNTIF(ARRAYFORMULA(TRIM(CLEAN(TO_TEXT(Notas!BS:BS)))), TRIM(CLEAN(TO_TEXT(B85)))) &gt; 0,
      ""Encontrada"",
      ""Não Encontrada""
   ),
"""")"),"Não Encontrada")</f>
        <v>Não Encontrada</v>
      </c>
      <c r="N85" s="185">
        <f>IFERROR(__xludf.DUMMYFUNCTION("ifna(VALUE(REGEXEXTRACT(E85,""[0-9.]+[,]+[0-9]+"")))"),505.0)</f>
        <v>505</v>
      </c>
      <c r="O85" s="229"/>
      <c r="P85" s="221"/>
      <c r="Q85" s="221"/>
      <c r="R85" s="231" t="str">
        <f t="shared" si="2"/>
        <v/>
      </c>
      <c r="S85" s="221" t="str">
        <f t="shared" si="3"/>
        <v/>
      </c>
      <c r="T85" s="232" t="str">
        <f t="shared" si="4"/>
        <v/>
      </c>
      <c r="U85" s="185"/>
      <c r="V85" s="185"/>
      <c r="W85" s="185"/>
    </row>
    <row r="86" ht="14.25" customHeight="1">
      <c r="A86" s="178"/>
      <c r="B86" s="12">
        <v>2043456.0</v>
      </c>
      <c r="C86" s="13">
        <v>46087.92480324074</v>
      </c>
      <c r="D86" s="179" t="s">
        <v>81</v>
      </c>
      <c r="E86" s="180" t="s">
        <v>628</v>
      </c>
      <c r="F86" s="181"/>
      <c r="G86" s="179" t="s">
        <v>6838</v>
      </c>
      <c r="H86" s="190"/>
      <c r="I86" s="190"/>
      <c r="J86" s="187" t="s">
        <v>2019</v>
      </c>
      <c r="K86" s="187" t="s">
        <v>6745</v>
      </c>
      <c r="L86" s="270" t="str">
        <f>IFERROR(__xludf.DUMMYFUNCTION("IF(
  AND(D86=""Saída"", J86=""Sangria""),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2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IFERROR(__xludf.DUMMYFUNCTION("ifna(VALUE(REGEXEXTRACT(E86,""[0-9.]+[,]+[0-9]+"")))"),9.56)</f>
        <v>9.56</v>
      </c>
      <c r="O86" s="226"/>
      <c r="P86" s="220"/>
      <c r="Q86" s="220"/>
      <c r="R86" s="228" t="str">
        <f t="shared" si="2"/>
        <v/>
      </c>
      <c r="S86" s="220" t="str">
        <f t="shared" si="3"/>
        <v/>
      </c>
      <c r="T86" s="232" t="str">
        <f t="shared" si="4"/>
        <v/>
      </c>
      <c r="U86" s="185"/>
      <c r="V86" s="185"/>
      <c r="W86" s="185"/>
    </row>
    <row r="87" ht="14.25" customHeight="1">
      <c r="A87" s="178"/>
      <c r="B87" s="12">
        <v>2043510.0</v>
      </c>
      <c r="C87" s="13">
        <v>46087.930497685185</v>
      </c>
      <c r="D87" s="179" t="s">
        <v>81</v>
      </c>
      <c r="E87" s="180" t="s">
        <v>200</v>
      </c>
      <c r="F87" s="181"/>
      <c r="G87" s="179" t="s">
        <v>128</v>
      </c>
      <c r="H87" s="190"/>
      <c r="I87" s="190"/>
      <c r="J87" s="187" t="s">
        <v>2735</v>
      </c>
      <c r="K87" s="187" t="s">
        <v>6576</v>
      </c>
      <c r="L87" s="270" t="str">
        <f>IFERROR(__xludf.DUMMYFUNCTION("IF(
  AND(D87=""Saída"", J87=""Sangria""),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"),"Confirmada")</f>
        <v>Confirmada</v>
      </c>
      <c r="M87" s="274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IFERROR(__xludf.DUMMYFUNCTION("ifna(VALUE(REGEXEXTRACT(E87,""[0-9.]+[,]+[0-9]+"")))"),300.0)</f>
        <v>300</v>
      </c>
      <c r="O87" s="229"/>
      <c r="P87" s="221"/>
      <c r="Q87" s="221"/>
      <c r="R87" s="231" t="str">
        <f t="shared" si="2"/>
        <v/>
      </c>
      <c r="S87" s="221" t="str">
        <f t="shared" si="3"/>
        <v/>
      </c>
      <c r="T87" s="232" t="str">
        <f t="shared" si="4"/>
        <v/>
      </c>
      <c r="U87" s="185"/>
      <c r="V87" s="185"/>
      <c r="W87" s="185"/>
    </row>
    <row r="88" ht="14.25" customHeight="1">
      <c r="A88" s="178"/>
      <c r="B88" s="12">
        <v>2046084.0</v>
      </c>
      <c r="C88" s="13">
        <v>46088.94648148148</v>
      </c>
      <c r="D88" s="179" t="s">
        <v>81</v>
      </c>
      <c r="E88" s="180" t="s">
        <v>7117</v>
      </c>
      <c r="F88" s="181"/>
      <c r="G88" s="179" t="s">
        <v>313</v>
      </c>
      <c r="H88" s="190"/>
      <c r="I88" s="190"/>
      <c r="J88" s="187" t="s">
        <v>3151</v>
      </c>
      <c r="K88" s="187"/>
      <c r="L88" s="270" t="str">
        <f>IFERROR(__xludf.DUMMYFUNCTION("IF(
  AND(D88=""Saída"", J88=""Sangria""),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2" t="str">
        <f>IFERROR(__xludf.DUMMYFUNCTION("IF(J88=""Compra de Mercadorias"",
   IF(
      COUNTIF(ARRAYFORMULA(TRIM(CLEAN(TO_TEXT(Notas!BS:BS)))), TRIM(CLEAN(TO_TEXT(B88)))) &gt; 0,
      ""Encontrada"",
      ""Não Encontrada""
   ),
"""")"),"Não Encontrada")</f>
        <v>Não Encontrada</v>
      </c>
      <c r="N88" s="185">
        <f>IFERROR(__xludf.DUMMYFUNCTION("ifna(VALUE(REGEXEXTRACT(E88,""[0-9.]+[,]+[0-9]+"")))"),78.06)</f>
        <v>78.06</v>
      </c>
      <c r="O88" s="226"/>
      <c r="P88" s="220"/>
      <c r="Q88" s="220"/>
      <c r="R88" s="228" t="str">
        <f t="shared" si="2"/>
        <v/>
      </c>
      <c r="S88" s="220" t="str">
        <f t="shared" si="3"/>
        <v/>
      </c>
      <c r="T88" s="232" t="str">
        <f t="shared" si="4"/>
        <v/>
      </c>
      <c r="U88" s="185"/>
      <c r="V88" s="185"/>
      <c r="W88" s="185"/>
    </row>
    <row r="89" ht="14.25" customHeight="1">
      <c r="A89" s="178"/>
      <c r="B89" s="12">
        <v>2046103.0</v>
      </c>
      <c r="C89" s="13">
        <v>46088.94883101852</v>
      </c>
      <c r="D89" s="179" t="s">
        <v>81</v>
      </c>
      <c r="E89" s="180" t="s">
        <v>1212</v>
      </c>
      <c r="F89" s="188"/>
      <c r="G89" s="179" t="s">
        <v>381</v>
      </c>
      <c r="H89" s="190"/>
      <c r="I89" s="190"/>
      <c r="J89" s="187" t="s">
        <v>2735</v>
      </c>
      <c r="K89" s="187" t="s">
        <v>6576</v>
      </c>
      <c r="L89" s="270" t="str">
        <f>IFERROR(__xludf.DUMMYFUNCTION("IF(
  AND(D89=""Saída"", J89=""Sangria""),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"),"Confirmada")</f>
        <v>Confirmada</v>
      </c>
      <c r="M89" s="274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85">
        <f>IFERROR(__xludf.DUMMYFUNCTION("ifna(VALUE(REGEXEXTRACT(E89,""[0-9.]+[,]+[0-9]+"")))"),1300.0)</f>
        <v>1300</v>
      </c>
      <c r="O89" s="229"/>
      <c r="P89" s="221"/>
      <c r="Q89" s="221"/>
      <c r="R89" s="231" t="str">
        <f t="shared" si="2"/>
        <v/>
      </c>
      <c r="S89" s="221" t="str">
        <f t="shared" si="3"/>
        <v/>
      </c>
      <c r="T89" s="232" t="str">
        <f t="shared" si="4"/>
        <v/>
      </c>
      <c r="U89" s="185"/>
      <c r="V89" s="185"/>
      <c r="W89" s="185"/>
    </row>
    <row r="90" ht="14.25" customHeight="1">
      <c r="A90" s="178"/>
      <c r="B90" s="12">
        <v>2046697.0</v>
      </c>
      <c r="C90" s="13">
        <v>46089.57865740741</v>
      </c>
      <c r="D90" s="179" t="s">
        <v>152</v>
      </c>
      <c r="E90" s="180" t="s">
        <v>7121</v>
      </c>
      <c r="F90" s="181"/>
      <c r="G90" s="179" t="s">
        <v>158</v>
      </c>
      <c r="H90" s="190"/>
      <c r="I90" s="190"/>
      <c r="J90" s="187" t="s">
        <v>5195</v>
      </c>
      <c r="K90" s="187"/>
      <c r="L90" s="270" t="str">
        <f>IFERROR(__xludf.DUMMYFUNCTION("IF(
  AND(D90=""Saída"", J90=""Sangria""),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2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85">
        <f>IFERROR(__xludf.DUMMYFUNCTION("ifna(VALUE(REGEXEXTRACT(E90,""[0-9.]+[,]+[0-9]+"")))"),5.4)</f>
        <v>5.4</v>
      </c>
      <c r="O90" s="226"/>
      <c r="P90" s="220"/>
      <c r="Q90" s="220"/>
      <c r="R90" s="228" t="str">
        <f t="shared" si="2"/>
        <v/>
      </c>
      <c r="S90" s="220" t="str">
        <f t="shared" si="3"/>
        <v/>
      </c>
      <c r="T90" s="232" t="str">
        <f t="shared" si="4"/>
        <v/>
      </c>
      <c r="U90" s="185"/>
      <c r="V90" s="185"/>
      <c r="W90" s="185"/>
    </row>
    <row r="91" ht="14.25" customHeight="1">
      <c r="A91" s="178"/>
      <c r="B91" s="12">
        <v>2047219.0</v>
      </c>
      <c r="C91" s="13">
        <v>46089.714733796296</v>
      </c>
      <c r="D91" s="179" t="s">
        <v>152</v>
      </c>
      <c r="E91" s="180" t="s">
        <v>1263</v>
      </c>
      <c r="F91" s="181"/>
      <c r="G91" s="179" t="s">
        <v>158</v>
      </c>
      <c r="H91" s="190"/>
      <c r="I91" s="190"/>
      <c r="J91" s="187" t="s">
        <v>5195</v>
      </c>
      <c r="K91" s="187"/>
      <c r="L91" s="270" t="str">
        <f>IFERROR(__xludf.DUMMYFUNCTION("IF(
  AND(D91=""Saída"", J91=""Sangria""),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74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IFERROR(__xludf.DUMMYFUNCTION("ifna(VALUE(REGEXEXTRACT(E91,""[0-9.]+[,]+[0-9]+"")))"),70.0)</f>
        <v>70</v>
      </c>
      <c r="O91" s="229"/>
      <c r="P91" s="221"/>
      <c r="Q91" s="221"/>
      <c r="R91" s="231" t="str">
        <f t="shared" si="2"/>
        <v/>
      </c>
      <c r="S91" s="221" t="str">
        <f t="shared" si="3"/>
        <v/>
      </c>
      <c r="T91" s="232" t="str">
        <f t="shared" si="4"/>
        <v/>
      </c>
      <c r="U91" s="185"/>
      <c r="V91" s="185"/>
      <c r="W91" s="185"/>
    </row>
    <row r="92" ht="14.25" customHeight="1">
      <c r="A92" s="178"/>
      <c r="B92" s="12">
        <v>2047633.0</v>
      </c>
      <c r="C92" s="13">
        <v>46089.78192129629</v>
      </c>
      <c r="D92" s="179" t="s">
        <v>81</v>
      </c>
      <c r="E92" s="180" t="s">
        <v>7122</v>
      </c>
      <c r="F92" s="181"/>
      <c r="G92" s="179" t="s">
        <v>7123</v>
      </c>
      <c r="H92" s="190"/>
      <c r="I92" s="190"/>
      <c r="J92" s="187" t="s">
        <v>2438</v>
      </c>
      <c r="K92" s="187"/>
      <c r="L92" s="270" t="str">
        <f>IFERROR(__xludf.DUMMYFUNCTION("IF(
  AND(D92=""Saída"", J92=""Sangria""),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2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IFERROR(__xludf.DUMMYFUNCTION("ifna(VALUE(REGEXEXTRACT(E92,""[0-9.]+[,]+[0-9]+"")))"),71.71)</f>
        <v>71.71</v>
      </c>
      <c r="O92" s="226"/>
      <c r="P92" s="220"/>
      <c r="Q92" s="220"/>
      <c r="R92" s="228" t="str">
        <f t="shared" si="2"/>
        <v/>
      </c>
      <c r="S92" s="220" t="str">
        <f t="shared" si="3"/>
        <v/>
      </c>
      <c r="T92" s="232" t="str">
        <f t="shared" si="4"/>
        <v/>
      </c>
      <c r="U92" s="185"/>
      <c r="V92" s="185"/>
      <c r="W92" s="185"/>
    </row>
    <row r="93" ht="14.25" customHeight="1">
      <c r="A93" s="178"/>
      <c r="B93" s="12">
        <v>2049345.0</v>
      </c>
      <c r="C93" s="13">
        <v>46089.979363425926</v>
      </c>
      <c r="D93" s="179" t="s">
        <v>81</v>
      </c>
      <c r="E93" s="180" t="s">
        <v>3334</v>
      </c>
      <c r="F93" s="181"/>
      <c r="G93" s="179" t="s">
        <v>7124</v>
      </c>
      <c r="H93" s="190"/>
      <c r="I93" s="190"/>
      <c r="J93" s="187" t="s">
        <v>1782</v>
      </c>
      <c r="K93" s="187"/>
      <c r="L93" s="270" t="str">
        <f>IFERROR(__xludf.DUMMYFUNCTION("IF(
  AND(D93=""Saída"", J93=""Sangria""),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74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IFERROR(__xludf.DUMMYFUNCTION("ifna(VALUE(REGEXEXTRACT(E93,""[0-9.]+[,]+[0-9]+"")))"),204.0)</f>
        <v>204</v>
      </c>
      <c r="O93" s="229"/>
      <c r="P93" s="221"/>
      <c r="Q93" s="221"/>
      <c r="R93" s="231" t="str">
        <f t="shared" si="2"/>
        <v/>
      </c>
      <c r="S93" s="221" t="str">
        <f t="shared" si="3"/>
        <v/>
      </c>
      <c r="T93" s="232" t="str">
        <f t="shared" si="4"/>
        <v/>
      </c>
      <c r="U93" s="185"/>
      <c r="V93" s="185"/>
      <c r="W93" s="185"/>
    </row>
    <row r="94" ht="14.25" customHeight="1">
      <c r="A94" s="178"/>
      <c r="B94" s="12">
        <v>2049351.0</v>
      </c>
      <c r="C94" s="13">
        <v>46089.97980324074</v>
      </c>
      <c r="D94" s="179" t="s">
        <v>81</v>
      </c>
      <c r="E94" s="180" t="s">
        <v>811</v>
      </c>
      <c r="F94" s="181"/>
      <c r="G94" s="179" t="s">
        <v>6931</v>
      </c>
      <c r="H94" s="190"/>
      <c r="I94" s="190"/>
      <c r="J94" s="187" t="s">
        <v>1782</v>
      </c>
      <c r="K94" s="187"/>
      <c r="L94" s="270" t="str">
        <f>IFERROR(__xludf.DUMMYFUNCTION("IF(
  AND(D94=""Saída"", J94=""Sangria""),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6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IFERROR(__xludf.DUMMYFUNCTION("ifna(VALUE(REGEXEXTRACT(E94,""[0-9.]+[,]+[0-9]+"")))"),110.0)</f>
        <v>110</v>
      </c>
      <c r="O94" s="226"/>
      <c r="P94" s="220"/>
      <c r="Q94" s="220"/>
      <c r="R94" s="228" t="str">
        <f t="shared" si="2"/>
        <v/>
      </c>
      <c r="S94" s="220" t="str">
        <f t="shared" si="3"/>
        <v/>
      </c>
      <c r="T94" s="232" t="str">
        <f t="shared" si="4"/>
        <v/>
      </c>
      <c r="U94" s="185"/>
      <c r="V94" s="185"/>
      <c r="W94" s="185"/>
    </row>
    <row r="95" ht="14.25" customHeight="1">
      <c r="A95" s="178"/>
      <c r="B95" s="12">
        <v>2049360.0</v>
      </c>
      <c r="C95" s="13">
        <v>46089.981412037036</v>
      </c>
      <c r="D95" s="179" t="s">
        <v>81</v>
      </c>
      <c r="E95" s="180" t="s">
        <v>7125</v>
      </c>
      <c r="F95" s="181"/>
      <c r="G95" s="179" t="s">
        <v>7126</v>
      </c>
      <c r="H95" s="190"/>
      <c r="I95" s="190"/>
      <c r="J95" s="187" t="s">
        <v>3151</v>
      </c>
      <c r="K95" s="187"/>
      <c r="L95" s="270" t="str">
        <f>IFERROR(__xludf.DUMMYFUNCTION("IF(
  AND(D95=""Saída"", J95=""Sangria""),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74" t="str">
        <f>IFERROR(__xludf.DUMMYFUNCTION("IF(J95=""Compra de Mercadorias"",
   IF(
      COUNTIF(ARRAYFORMULA(TRIM(CLEAN(TO_TEXT(Notas!BS:BS)))), TRIM(CLEAN(TO_TEXT(B95)))) &gt; 0,
      ""Encontrada"",
      ""Não Encontrada""
   ),
"""")"),"Não Encontrada")</f>
        <v>Não Encontrada</v>
      </c>
      <c r="N95" s="185">
        <f>IFERROR(__xludf.DUMMYFUNCTION("ifna(VALUE(REGEXEXTRACT(E95,""[0-9.]+[,]+[0-9]+"")))"),37.46)</f>
        <v>37.46</v>
      </c>
      <c r="O95" s="229"/>
      <c r="P95" s="221"/>
      <c r="Q95" s="221"/>
      <c r="R95" s="231" t="str">
        <f t="shared" si="2"/>
        <v/>
      </c>
      <c r="S95" s="221" t="str">
        <f t="shared" si="3"/>
        <v/>
      </c>
      <c r="T95" s="232" t="str">
        <f t="shared" si="4"/>
        <v/>
      </c>
      <c r="U95" s="185"/>
      <c r="V95" s="185"/>
      <c r="W95" s="185"/>
    </row>
    <row r="96" ht="14.25" customHeight="1">
      <c r="A96" s="178"/>
      <c r="B96" s="12">
        <v>2049383.0</v>
      </c>
      <c r="C96" s="13">
        <v>46089.987662037034</v>
      </c>
      <c r="D96" s="179" t="s">
        <v>81</v>
      </c>
      <c r="E96" s="180" t="s">
        <v>7128</v>
      </c>
      <c r="F96" s="188"/>
      <c r="G96" s="179" t="s">
        <v>381</v>
      </c>
      <c r="H96" s="190"/>
      <c r="I96" s="190"/>
      <c r="J96" s="187" t="s">
        <v>2735</v>
      </c>
      <c r="K96" s="187" t="s">
        <v>6576</v>
      </c>
      <c r="L96" s="270" t="str">
        <f>IFERROR(__xludf.DUMMYFUNCTION("IF(
  AND(D96=""Saída"", J96=""Sangria""),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"),"Confirmada")</f>
        <v>Confirmada</v>
      </c>
      <c r="M96" s="272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IFERROR(__xludf.DUMMYFUNCTION("ifna(VALUE(REGEXEXTRACT(E96,""[0-9.]+[,]+[0-9]+"")))"),2310.0)</f>
        <v>2310</v>
      </c>
      <c r="O96" s="226"/>
      <c r="P96" s="220"/>
      <c r="Q96" s="220"/>
      <c r="R96" s="228" t="str">
        <f t="shared" si="2"/>
        <v/>
      </c>
      <c r="S96" s="220" t="str">
        <f t="shared" si="3"/>
        <v/>
      </c>
      <c r="T96" s="232" t="str">
        <f t="shared" si="4"/>
        <v/>
      </c>
      <c r="U96" s="185"/>
      <c r="V96" s="185"/>
      <c r="W96" s="185"/>
    </row>
    <row r="97" ht="14.25" customHeight="1">
      <c r="A97" s="178"/>
      <c r="B97" s="12">
        <v>2050412.0</v>
      </c>
      <c r="C97" s="13">
        <v>46090.84805555556</v>
      </c>
      <c r="D97" s="179" t="s">
        <v>81</v>
      </c>
      <c r="E97" s="180" t="s">
        <v>6843</v>
      </c>
      <c r="F97" s="181"/>
      <c r="G97" s="179" t="s">
        <v>6779</v>
      </c>
      <c r="H97" s="190"/>
      <c r="I97" s="190"/>
      <c r="J97" s="187" t="s">
        <v>2019</v>
      </c>
      <c r="K97" s="187" t="s">
        <v>6745</v>
      </c>
      <c r="L97" s="270" t="str">
        <f>IFERROR(__xludf.DUMMYFUNCTION("IF(
  AND(D97=""Saída"", J97=""Sangria""),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74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IFERROR(__xludf.DUMMYFUNCTION("ifna(VALUE(REGEXEXTRACT(E97,""[0-9.]+[,]+[0-9]+"")))"),6.42)</f>
        <v>6.42</v>
      </c>
      <c r="O97" s="229"/>
      <c r="P97" s="221"/>
      <c r="Q97" s="221"/>
      <c r="R97" s="231" t="str">
        <f t="shared" si="2"/>
        <v/>
      </c>
      <c r="S97" s="221" t="str">
        <f t="shared" si="3"/>
        <v/>
      </c>
      <c r="T97" s="232" t="str">
        <f t="shared" si="4"/>
        <v/>
      </c>
      <c r="U97" s="185"/>
      <c r="V97" s="185"/>
      <c r="W97" s="185"/>
    </row>
    <row r="98" ht="14.25" customHeight="1">
      <c r="A98" s="178"/>
      <c r="B98" s="12">
        <v>2050413.0</v>
      </c>
      <c r="C98" s="13">
        <v>46090.848333333335</v>
      </c>
      <c r="D98" s="179" t="s">
        <v>81</v>
      </c>
      <c r="E98" s="180" t="s">
        <v>6872</v>
      </c>
      <c r="F98" s="181"/>
      <c r="G98" s="179" t="s">
        <v>7129</v>
      </c>
      <c r="H98" s="190"/>
      <c r="I98" s="190"/>
      <c r="J98" s="187" t="s">
        <v>2019</v>
      </c>
      <c r="K98" s="187" t="s">
        <v>2078</v>
      </c>
      <c r="L98" s="270" t="str">
        <f>IFERROR(__xludf.DUMMYFUNCTION("IF(
  AND(D98=""Saída"", J98=""Sangria""),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2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IFERROR(__xludf.DUMMYFUNCTION("ifna(VALUE(REGEXEXTRACT(E98,""[0-9.]+[,]+[0-9]+"")))"),10.06)</f>
        <v>10.06</v>
      </c>
      <c r="O98" s="226"/>
      <c r="P98" s="220"/>
      <c r="Q98" s="220"/>
      <c r="R98" s="228" t="str">
        <f t="shared" si="2"/>
        <v/>
      </c>
      <c r="S98" s="220" t="str">
        <f t="shared" si="3"/>
        <v/>
      </c>
      <c r="T98" s="232" t="str">
        <f t="shared" si="4"/>
        <v/>
      </c>
      <c r="U98" s="185"/>
      <c r="V98" s="185"/>
      <c r="W98" s="185"/>
    </row>
    <row r="99" ht="14.25" customHeight="1">
      <c r="A99" s="178"/>
      <c r="B99" s="12">
        <v>2050880.0</v>
      </c>
      <c r="C99" s="13">
        <v>46090.933171296296</v>
      </c>
      <c r="D99" s="179" t="s">
        <v>81</v>
      </c>
      <c r="E99" s="180" t="s">
        <v>7130</v>
      </c>
      <c r="F99" s="188"/>
      <c r="G99" s="179" t="s">
        <v>128</v>
      </c>
      <c r="H99" s="190"/>
      <c r="I99" s="190"/>
      <c r="J99" s="187" t="s">
        <v>2735</v>
      </c>
      <c r="K99" s="187" t="s">
        <v>6576</v>
      </c>
      <c r="L99" s="270" t="str">
        <f>IFERROR(__xludf.DUMMYFUNCTION("IF(
  AND(D99=""Saída"", J99=""Sangria""),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"),"Confirmada")</f>
        <v>Confirmada</v>
      </c>
      <c r="M99" s="274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IFERROR(__xludf.DUMMYFUNCTION("ifna(VALUE(REGEXEXTRACT(E99,""[0-9.]+[,]+[0-9]+"")))"),1240.0)</f>
        <v>1240</v>
      </c>
      <c r="O99" s="235"/>
      <c r="P99" s="236"/>
      <c r="Q99" s="236"/>
      <c r="R99" s="237" t="str">
        <f t="shared" si="2"/>
        <v/>
      </c>
      <c r="S99" s="236" t="str">
        <f t="shared" si="3"/>
        <v/>
      </c>
      <c r="T99" s="232" t="str">
        <f t="shared" si="4"/>
        <v/>
      </c>
      <c r="U99" s="185"/>
      <c r="V99" s="185"/>
      <c r="W99" s="185"/>
    </row>
    <row r="100" ht="14.25" customHeight="1">
      <c r="A100" s="178"/>
      <c r="B100" s="12">
        <v>2052487.0</v>
      </c>
      <c r="C100" s="13">
        <v>46091.93858796296</v>
      </c>
      <c r="D100" s="179" t="s">
        <v>81</v>
      </c>
      <c r="E100" s="180" t="s">
        <v>659</v>
      </c>
      <c r="F100" s="181"/>
      <c r="G100" s="179" t="s">
        <v>5810</v>
      </c>
      <c r="H100" s="190"/>
      <c r="I100" s="190"/>
      <c r="J100" s="187" t="s">
        <v>2019</v>
      </c>
      <c r="K100" s="187" t="s">
        <v>2117</v>
      </c>
      <c r="L100" s="270" t="str">
        <f>IFERROR(__xludf.DUMMYFUNCTION("IF(
  AND(D100=""Saída"", J100=""Sangria""),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2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IFERROR(__xludf.DUMMYFUNCTION("ifna(VALUE(REGEXEXTRACT(E100,""[0-9.]+[,]+[0-9]+"")))"),5.0)</f>
        <v>5</v>
      </c>
      <c r="O100" s="235"/>
      <c r="P100" s="236"/>
      <c r="Q100" s="236"/>
      <c r="R100" s="237" t="str">
        <f t="shared" si="2"/>
        <v/>
      </c>
      <c r="S100" s="236" t="str">
        <f t="shared" si="3"/>
        <v/>
      </c>
      <c r="T100" s="232" t="str">
        <f t="shared" si="4"/>
        <v/>
      </c>
      <c r="U100" s="185"/>
      <c r="V100" s="185"/>
      <c r="W100" s="185"/>
    </row>
    <row r="101" ht="14.25" customHeight="1">
      <c r="A101" s="178"/>
      <c r="B101" s="12">
        <v>2052489.0</v>
      </c>
      <c r="C101" s="13">
        <v>46091.93880787037</v>
      </c>
      <c r="D101" s="179" t="s">
        <v>81</v>
      </c>
      <c r="E101" s="180" t="s">
        <v>979</v>
      </c>
      <c r="F101" s="181"/>
      <c r="G101" s="179" t="s">
        <v>568</v>
      </c>
      <c r="H101" s="190"/>
      <c r="I101" s="190"/>
      <c r="J101" s="187" t="s">
        <v>2019</v>
      </c>
      <c r="K101" s="187" t="s">
        <v>2078</v>
      </c>
      <c r="L101" s="270" t="str">
        <f>IFERROR(__xludf.DUMMYFUNCTION("IF(
  AND(D101=""Saída"", J101=""Sangria""),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76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IFERROR(__xludf.DUMMYFUNCTION("ifna(VALUE(REGEXEXTRACT(E101,""[0-9.]+[,]+[0-9]+"")))"),3.0)</f>
        <v>3</v>
      </c>
      <c r="O101" s="235"/>
      <c r="P101" s="236"/>
      <c r="Q101" s="236"/>
      <c r="R101" s="237" t="str">
        <f t="shared" si="2"/>
        <v/>
      </c>
      <c r="S101" s="236" t="str">
        <f t="shared" si="3"/>
        <v/>
      </c>
      <c r="T101" s="232" t="str">
        <f t="shared" si="4"/>
        <v/>
      </c>
      <c r="U101" s="185"/>
      <c r="V101" s="185"/>
      <c r="W101" s="185"/>
    </row>
    <row r="102" ht="14.25" customHeight="1">
      <c r="A102" s="178"/>
      <c r="B102" s="12">
        <v>2052490.0</v>
      </c>
      <c r="C102" s="13">
        <v>46091.93902777778</v>
      </c>
      <c r="D102" s="179" t="s">
        <v>81</v>
      </c>
      <c r="E102" s="180" t="s">
        <v>659</v>
      </c>
      <c r="F102" s="181"/>
      <c r="G102" s="179" t="s">
        <v>7133</v>
      </c>
      <c r="H102" s="190"/>
      <c r="I102" s="190"/>
      <c r="J102" s="187" t="s">
        <v>2019</v>
      </c>
      <c r="K102" s="187" t="s">
        <v>6745</v>
      </c>
      <c r="L102" s="270" t="str">
        <f>IFERROR(__xludf.DUMMYFUNCTION("IF(
  AND(D102=""Saída"", J102=""Sangria""),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2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IFERROR(__xludf.DUMMYFUNCTION("ifna(VALUE(REGEXEXTRACT(E102,""[0-9.]+[,]+[0-9]+"")))"),5.0)</f>
        <v>5</v>
      </c>
      <c r="O102" s="235"/>
      <c r="P102" s="236"/>
      <c r="Q102" s="236"/>
      <c r="R102" s="237" t="str">
        <f t="shared" si="2"/>
        <v/>
      </c>
      <c r="S102" s="236" t="str">
        <f t="shared" si="3"/>
        <v/>
      </c>
      <c r="T102" s="232" t="str">
        <f t="shared" si="4"/>
        <v/>
      </c>
      <c r="U102" s="185"/>
      <c r="V102" s="185"/>
      <c r="W102" s="185"/>
    </row>
    <row r="103" ht="14.25" customHeight="1">
      <c r="A103" s="178"/>
      <c r="B103" s="12">
        <v>2052498.0</v>
      </c>
      <c r="C103" s="13">
        <v>46091.94013888889</v>
      </c>
      <c r="D103" s="179" t="s">
        <v>81</v>
      </c>
      <c r="E103" s="180" t="s">
        <v>6955</v>
      </c>
      <c r="F103" s="181"/>
      <c r="G103" s="179" t="s">
        <v>6838</v>
      </c>
      <c r="H103" s="190"/>
      <c r="I103" s="190"/>
      <c r="J103" s="187" t="s">
        <v>2019</v>
      </c>
      <c r="K103" s="187" t="s">
        <v>6745</v>
      </c>
      <c r="L103" s="270" t="str">
        <f>IFERROR(__xludf.DUMMYFUNCTION("IF(
  AND(D103=""Saída"", J103=""Sangria""),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74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85">
        <f>IFERROR(__xludf.DUMMYFUNCTION("ifna(VALUE(REGEXEXTRACT(E103,""[0-9.]+[,]+[0-9]+"")))"),6.29)</f>
        <v>6.29</v>
      </c>
      <c r="O103" s="235"/>
      <c r="P103" s="236"/>
      <c r="Q103" s="236"/>
      <c r="R103" s="237" t="str">
        <f t="shared" si="2"/>
        <v/>
      </c>
      <c r="S103" s="236" t="str">
        <f t="shared" si="3"/>
        <v/>
      </c>
      <c r="T103" s="232" t="str">
        <f t="shared" si="4"/>
        <v/>
      </c>
      <c r="U103" s="185"/>
      <c r="V103" s="185"/>
      <c r="W103" s="185"/>
    </row>
    <row r="104" ht="14.25" customHeight="1">
      <c r="A104" s="178"/>
      <c r="B104" s="12">
        <v>2052506.0</v>
      </c>
      <c r="C104" s="13">
        <v>46091.94091435185</v>
      </c>
      <c r="D104" s="179" t="s">
        <v>81</v>
      </c>
      <c r="E104" s="180" t="s">
        <v>7134</v>
      </c>
      <c r="F104" s="181"/>
      <c r="G104" s="179" t="s">
        <v>193</v>
      </c>
      <c r="H104" s="190"/>
      <c r="I104" s="190"/>
      <c r="J104" s="187" t="s">
        <v>3151</v>
      </c>
      <c r="K104" s="187"/>
      <c r="L104" s="270" t="str">
        <f>IFERROR(__xludf.DUMMYFUNCTION("IF(
  AND(D104=""Saída"", J104=""Sangria""),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2" t="str">
        <f>IFERROR(__xludf.DUMMYFUNCTION("IF(J104=""Compra de Mercadorias"",
   IF(
      COUNTIF(ARRAYFORMULA(TRIM(CLEAN(TO_TEXT(Notas!BS:BS)))), TRIM(CLEAN(TO_TEXT(B104)))) &gt; 0,
      ""Encontrada"",
      ""Não Encontrada""
   ),
"""")"),"Não Encontrada")</f>
        <v>Não Encontrada</v>
      </c>
      <c r="N104" s="185">
        <f>IFERROR(__xludf.DUMMYFUNCTION("ifna(VALUE(REGEXEXTRACT(E104,""[0-9.]+[,]+[0-9]+"")))"),39.83)</f>
        <v>39.83</v>
      </c>
      <c r="O104" s="239"/>
      <c r="P104" s="240"/>
      <c r="Q104" s="240"/>
      <c r="R104" s="241" t="str">
        <f t="shared" si="2"/>
        <v/>
      </c>
      <c r="S104" s="240" t="str">
        <f t="shared" si="3"/>
        <v/>
      </c>
      <c r="T104" s="242" t="str">
        <f t="shared" si="4"/>
        <v/>
      </c>
      <c r="U104" s="185"/>
      <c r="V104" s="185"/>
      <c r="W104" s="185"/>
    </row>
    <row r="105" ht="14.25" customHeight="1">
      <c r="A105" s="178"/>
      <c r="B105" s="12">
        <v>2052508.0</v>
      </c>
      <c r="C105" s="13">
        <v>46091.94126157407</v>
      </c>
      <c r="D105" s="179" t="s">
        <v>81</v>
      </c>
      <c r="E105" s="180" t="s">
        <v>1252</v>
      </c>
      <c r="F105" s="181"/>
      <c r="G105" s="179" t="s">
        <v>7136</v>
      </c>
      <c r="H105" s="190"/>
      <c r="I105" s="190"/>
      <c r="J105" s="187" t="s">
        <v>3151</v>
      </c>
      <c r="K105" s="187"/>
      <c r="L105" s="270" t="str">
        <f>IFERROR(__xludf.DUMMYFUNCTION("IF(
  AND(D105=""Saída"", J105=""Sangria""),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73" t="str">
        <f>IFERROR(__xludf.DUMMYFUNCTION("IF(J105=""Compra de Mercadorias"",
   IF(
      COUNTIF(ARRAYFORMULA(TRIM(CLEAN(TO_TEXT(Notas!BS:BS)))), TRIM(CLEAN(TO_TEXT(B105)))) &gt; 0,
      ""Encontrada"",
      ""Não Encontrada""
   ),
"""")"),"Não Encontrada")</f>
        <v>Não Encontrada</v>
      </c>
      <c r="N105" s="185">
        <f>IFERROR(__xludf.DUMMYFUNCTION("ifna(VALUE(REGEXEXTRACT(E105,""[0-9.]+[,]+[0-9]+"")))"),89.4)</f>
        <v>89.4</v>
      </c>
      <c r="O105" s="25"/>
      <c r="P105" s="25"/>
      <c r="Q105" s="25"/>
      <c r="R105" s="25"/>
      <c r="S105" s="25"/>
      <c r="T105" s="25"/>
      <c r="U105" s="185"/>
      <c r="V105" s="185"/>
      <c r="W105" s="185"/>
    </row>
    <row r="106" ht="14.25" customHeight="1">
      <c r="A106" s="178"/>
      <c r="B106" s="12">
        <v>2052510.0</v>
      </c>
      <c r="C106" s="13">
        <v>46091.94153935185</v>
      </c>
      <c r="D106" s="179" t="s">
        <v>81</v>
      </c>
      <c r="E106" s="180" t="s">
        <v>7138</v>
      </c>
      <c r="F106" s="181"/>
      <c r="G106" s="179" t="s">
        <v>193</v>
      </c>
      <c r="H106" s="190"/>
      <c r="I106" s="190"/>
      <c r="J106" s="187" t="s">
        <v>3151</v>
      </c>
      <c r="K106" s="187"/>
      <c r="L106" s="270" t="str">
        <f>IFERROR(__xludf.DUMMYFUNCTION("IF(
  AND(D106=""Saída"", J106=""Sangria""),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2" t="str">
        <f>IFERROR(__xludf.DUMMYFUNCTION("IF(J106=""Compra de Mercadorias"",
   IF(
      COUNTIF(ARRAYFORMULA(TRIM(CLEAN(TO_TEXT(Notas!BS:BS)))), TRIM(CLEAN(TO_TEXT(B106)))) &gt; 0,
      ""Encontrada"",
      ""Não Encontrada""
   ),
"""")"),"Não Encontrada")</f>
        <v>Não Encontrada</v>
      </c>
      <c r="N106" s="185">
        <f>IFERROR(__xludf.DUMMYFUNCTION("ifna(VALUE(REGEXEXTRACT(E106,""[0-9.]+[,]+[0-9]+"")))"),29.99)</f>
        <v>29.99</v>
      </c>
      <c r="O106" s="289" t="s">
        <v>6698</v>
      </c>
      <c r="W106" s="185"/>
    </row>
    <row r="107" ht="14.25" customHeight="1">
      <c r="A107" s="178"/>
      <c r="B107" s="12">
        <v>2052519.0</v>
      </c>
      <c r="C107" s="13">
        <v>46091.94296296296</v>
      </c>
      <c r="D107" s="179" t="s">
        <v>81</v>
      </c>
      <c r="E107" s="180" t="s">
        <v>3486</v>
      </c>
      <c r="F107" s="181"/>
      <c r="G107" s="179" t="s">
        <v>128</v>
      </c>
      <c r="H107" s="190"/>
      <c r="I107" s="190"/>
      <c r="J107" s="187" t="s">
        <v>2735</v>
      </c>
      <c r="K107" s="187" t="s">
        <v>6576</v>
      </c>
      <c r="L107" s="270" t="str">
        <f>IFERROR(__xludf.DUMMYFUNCTION("IF(
  AND(D107=""Saída"", J107=""Sangria""),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"),"Confirmada")</f>
        <v>Confirmada</v>
      </c>
      <c r="M107" s="274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IFERROR(__xludf.DUMMYFUNCTION("ifna(VALUE(REGEXEXTRACT(E107,""[0-9.]+[,]+[0-9]+"")))"),500.0)</f>
        <v>500</v>
      </c>
      <c r="O107" s="290" t="str">
        <f>IFERROR(__xludf.DUMMYFUNCTION("QUERY(B28:M507,""Select B,C,D,E,G,H,I,M where M = 'Não Encontrada'"",1)"),"ID")</f>
        <v>ID</v>
      </c>
      <c r="P107" s="290" t="str">
        <f>IFERROR(__xludf.DUMMYFUNCTION("""COMPUTED_VALUE"""),"Data")</f>
        <v>Data</v>
      </c>
      <c r="Q107" s="290" t="str">
        <f>IFERROR(__xludf.DUMMYFUNCTION("""COMPUTED_VALUE"""),"Entrada/Saída")</f>
        <v>Entrada/Saída</v>
      </c>
      <c r="R107" s="291" t="str">
        <f>IFERROR(__xludf.DUMMYFUNCTION("""COMPUTED_VALUE"""),"Valor ")</f>
        <v>Valor </v>
      </c>
      <c r="S107" s="290" t="str">
        <f>IFERROR(__xludf.DUMMYFUNCTION("""COMPUTED_VALUE"""),"Descrição")</f>
        <v>Descrição</v>
      </c>
      <c r="V107" s="292" t="str">
        <f>IFERROR(__xludf.DUMMYFUNCTION("""COMPUTED_VALUE"""),"Nota")</f>
        <v>Nota</v>
      </c>
      <c r="W107" s="185"/>
    </row>
    <row r="108" ht="14.25" customHeight="1">
      <c r="A108" s="178"/>
      <c r="B108" s="12">
        <v>2055150.0</v>
      </c>
      <c r="C108" s="13">
        <v>46093.841516203705</v>
      </c>
      <c r="D108" s="179" t="s">
        <v>81</v>
      </c>
      <c r="E108" s="180" t="s">
        <v>5685</v>
      </c>
      <c r="F108" s="181"/>
      <c r="G108" s="179" t="s">
        <v>7139</v>
      </c>
      <c r="H108" s="190"/>
      <c r="I108" s="190"/>
      <c r="J108" s="187" t="s">
        <v>1782</v>
      </c>
      <c r="K108" s="187"/>
      <c r="L108" s="270" t="str">
        <f>IFERROR(__xludf.DUMMYFUNCTION("IF(
  AND(D108=""Saída"", J108=""Sangria""),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2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85">
        <f>IFERROR(__xludf.DUMMYFUNCTION("ifna(VALUE(REGEXEXTRACT(E108,""[0-9.]+[,]+[0-9]+"")))"),45.0)</f>
        <v>45</v>
      </c>
      <c r="O108" s="293">
        <f>IFERROR(__xludf.DUMMYFUNCTION("""COMPUTED_VALUE"""),2025438.0)</f>
        <v>2025438</v>
      </c>
      <c r="P108" s="294">
        <f>IFERROR(__xludf.DUMMYFUNCTION("""COMPUTED_VALUE"""),46079.67363425926)</f>
        <v>46079.67363</v>
      </c>
      <c r="Q108" s="293" t="str">
        <f>IFERROR(__xludf.DUMMYFUNCTION("""COMPUTED_VALUE"""),"Saída")</f>
        <v>Saída</v>
      </c>
      <c r="R108" s="295" t="str">
        <f>IFERROR(__xludf.DUMMYFUNCTION("""COMPUTED_VALUE"""),"R$ 111,75")</f>
        <v>R$ 111,75</v>
      </c>
      <c r="S108" s="293" t="str">
        <f>IFERROR(__xludf.DUMMYFUNCTION("""COMPUTED_VALUE"""),"CAFÉ FUNCIONARIOS")</f>
        <v>CAFÉ FUNCIONARIOS</v>
      </c>
      <c r="V108" s="296" t="str">
        <f>IFERROR(__xludf.DUMMYFUNCTION("""COMPUTED_VALUE"""),"Não Encontrada")</f>
        <v>Não Encontrada</v>
      </c>
      <c r="W108" s="185"/>
    </row>
    <row r="109" ht="14.25" customHeight="1">
      <c r="A109" s="178"/>
      <c r="B109" s="12">
        <v>2055161.0</v>
      </c>
      <c r="C109" s="13">
        <v>46093.84783564815</v>
      </c>
      <c r="D109" s="179" t="s">
        <v>81</v>
      </c>
      <c r="E109" s="180" t="s">
        <v>7140</v>
      </c>
      <c r="F109" s="181"/>
      <c r="G109" s="179" t="s">
        <v>6779</v>
      </c>
      <c r="H109" s="190"/>
      <c r="I109" s="190"/>
      <c r="J109" s="187" t="s">
        <v>2019</v>
      </c>
      <c r="K109" s="187" t="s">
        <v>6745</v>
      </c>
      <c r="L109" s="270" t="str">
        <f>IFERROR(__xludf.DUMMYFUNCTION("IF(
  AND(D109=""Saída"", J109=""Sangria""),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74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85">
        <f>IFERROR(__xludf.DUMMYFUNCTION("ifna(VALUE(REGEXEXTRACT(E109,""[0-9.]+[,]+[0-9]+"")))"),17.56)</f>
        <v>17.56</v>
      </c>
      <c r="O109" s="297">
        <f>IFERROR(__xludf.DUMMYFUNCTION("""COMPUTED_VALUE"""),2033463.0)</f>
        <v>2033463</v>
      </c>
      <c r="P109" s="298">
        <f>IFERROR(__xludf.DUMMYFUNCTION("""COMPUTED_VALUE"""),46082.9443287037)</f>
        <v>46082.94433</v>
      </c>
      <c r="Q109" s="297" t="str">
        <f>IFERROR(__xludf.DUMMYFUNCTION("""COMPUTED_VALUE"""),"Saída")</f>
        <v>Saída</v>
      </c>
      <c r="R109" s="299" t="str">
        <f>IFERROR(__xludf.DUMMYFUNCTION("""COMPUTED_VALUE"""),"R$ 41,88")</f>
        <v>R$ 41,88</v>
      </c>
      <c r="S109" s="297" t="str">
        <f>IFERROR(__xludf.DUMMYFUNCTION("""COMPUTED_VALUE"""),"suco abx e frutas")</f>
        <v>suco abx e frutas</v>
      </c>
      <c r="V109" s="300" t="str">
        <f>IFERROR(__xludf.DUMMYFUNCTION("""COMPUTED_VALUE"""),"Não Encontrada")</f>
        <v>Não Encontrada</v>
      </c>
      <c r="W109" s="185"/>
    </row>
    <row r="110" ht="14.25" customHeight="1">
      <c r="A110" s="178"/>
      <c r="B110" s="12">
        <v>2055163.0</v>
      </c>
      <c r="C110" s="13">
        <v>46093.84811342593</v>
      </c>
      <c r="D110" s="179" t="s">
        <v>81</v>
      </c>
      <c r="E110" s="180" t="s">
        <v>7141</v>
      </c>
      <c r="F110" s="181"/>
      <c r="G110" s="179" t="s">
        <v>544</v>
      </c>
      <c r="H110" s="190"/>
      <c r="I110" s="190"/>
      <c r="J110" s="187" t="s">
        <v>2019</v>
      </c>
      <c r="K110" s="187" t="s">
        <v>2078</v>
      </c>
      <c r="L110" s="270" t="str">
        <f>IFERROR(__xludf.DUMMYFUNCTION("IF(
  AND(D110=""Saída"", J110=""Sangria""),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2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IFERROR(__xludf.DUMMYFUNCTION("ifna(VALUE(REGEXEXTRACT(E110,""[0-9.]+[,]+[0-9]+"")))"),12.2)</f>
        <v>12.2</v>
      </c>
      <c r="O110" s="293">
        <f>IFERROR(__xludf.DUMMYFUNCTION("""COMPUTED_VALUE"""),2033467.0)</f>
        <v>2033467</v>
      </c>
      <c r="P110" s="294">
        <f>IFERROR(__xludf.DUMMYFUNCTION("""COMPUTED_VALUE"""),46082.944768518515)</f>
        <v>46082.94477</v>
      </c>
      <c r="Q110" s="293" t="str">
        <f>IFERROR(__xludf.DUMMYFUNCTION("""COMPUTED_VALUE"""),"Saída")</f>
        <v>Saída</v>
      </c>
      <c r="R110" s="295" t="str">
        <f>IFERROR(__xludf.DUMMYFUNCTION("""COMPUTED_VALUE"""),"R$ 7,04")</f>
        <v>R$ 7,04</v>
      </c>
      <c r="S110" s="293" t="str">
        <f>IFERROR(__xludf.DUMMYFUNCTION("""COMPUTED_VALUE"""),"suco abx")</f>
        <v>suco abx</v>
      </c>
      <c r="V110" s="296" t="str">
        <f>IFERROR(__xludf.DUMMYFUNCTION("""COMPUTED_VALUE"""),"Não Encontrada")</f>
        <v>Não Encontrada</v>
      </c>
      <c r="W110" s="185"/>
    </row>
    <row r="111" ht="14.25" customHeight="1">
      <c r="A111" s="178"/>
      <c r="B111" s="12">
        <v>2055166.0</v>
      </c>
      <c r="C111" s="13">
        <v>46093.848344907405</v>
      </c>
      <c r="D111" s="179" t="s">
        <v>81</v>
      </c>
      <c r="E111" s="180" t="s">
        <v>659</v>
      </c>
      <c r="F111" s="181"/>
      <c r="G111" s="179" t="s">
        <v>5861</v>
      </c>
      <c r="H111" s="190"/>
      <c r="I111" s="190"/>
      <c r="J111" s="187" t="s">
        <v>2019</v>
      </c>
      <c r="K111" s="187" t="s">
        <v>2117</v>
      </c>
      <c r="L111" s="270" t="str">
        <f>IFERROR(__xludf.DUMMYFUNCTION("IF(
  AND(D111=""Saída"", J111=""Sangria""),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74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IFERROR(__xludf.DUMMYFUNCTION("ifna(VALUE(REGEXEXTRACT(E111,""[0-9.]+[,]+[0-9]+"")))"),5.0)</f>
        <v>5</v>
      </c>
      <c r="O111" s="297">
        <f>IFERROR(__xludf.DUMMYFUNCTION("""COMPUTED_VALUE"""),2037251.0)</f>
        <v>2037251</v>
      </c>
      <c r="P111" s="298">
        <f>IFERROR(__xludf.DUMMYFUNCTION("""COMPUTED_VALUE"""),46084.89234953704)</f>
        <v>46084.89235</v>
      </c>
      <c r="Q111" s="297" t="str">
        <f>IFERROR(__xludf.DUMMYFUNCTION("""COMPUTED_VALUE"""),"Saída")</f>
        <v>Saída</v>
      </c>
      <c r="R111" s="299" t="str">
        <f>IFERROR(__xludf.DUMMYFUNCTION("""COMPUTED_VALUE"""),"R$ 118,00")</f>
        <v>R$ 118,00</v>
      </c>
      <c r="S111" s="297" t="str">
        <f>IFERROR(__xludf.DUMMYFUNCTION("""COMPUTED_VALUE"""),"confraternização aniversario Isabele")</f>
        <v>confraternização aniversario Isabele</v>
      </c>
      <c r="V111" s="300" t="str">
        <f>IFERROR(__xludf.DUMMYFUNCTION("""COMPUTED_VALUE"""),"Não Encontrada")</f>
        <v>Não Encontrada</v>
      </c>
      <c r="W111" s="185"/>
    </row>
    <row r="112" ht="14.25" customHeight="1">
      <c r="A112" s="178"/>
      <c r="B112" s="12">
        <v>2055513.0</v>
      </c>
      <c r="C112" s="13">
        <v>46093.92530092593</v>
      </c>
      <c r="D112" s="179" t="s">
        <v>81</v>
      </c>
      <c r="E112" s="180" t="s">
        <v>7142</v>
      </c>
      <c r="F112" s="181"/>
      <c r="G112" s="179" t="s">
        <v>460</v>
      </c>
      <c r="H112" s="190"/>
      <c r="I112" s="190"/>
      <c r="J112" s="187" t="s">
        <v>3151</v>
      </c>
      <c r="K112" s="187"/>
      <c r="L112" s="270" t="str">
        <f>IFERROR(__xludf.DUMMYFUNCTION("IF(
  AND(D112=""Saída"", J112=""Sangria""),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6" t="str">
        <f>IFERROR(__xludf.DUMMYFUNCTION("IF(J112=""Compra de Mercadorias"",
   IF(
      COUNTIF(ARRAYFORMULA(TRIM(CLEAN(TO_TEXT(Notas!BS:BS)))), TRIM(CLEAN(TO_TEXT(B112)))) &gt; 0,
      ""Encontrada"",
      ""Não Encontrada""
   ),
"""")"),"Não Encontrada")</f>
        <v>Não Encontrada</v>
      </c>
      <c r="N112" s="185">
        <f>IFERROR(__xludf.DUMMYFUNCTION("ifna(VALUE(REGEXEXTRACT(E112,""[0-9.]+[,]+[0-9]+"")))"),8.75)</f>
        <v>8.75</v>
      </c>
      <c r="O112" s="293">
        <f>IFERROR(__xludf.DUMMYFUNCTION("""COMPUTED_VALUE"""),2039576.0)</f>
        <v>2039576</v>
      </c>
      <c r="P112" s="294">
        <f>IFERROR(__xludf.DUMMYFUNCTION("""COMPUTED_VALUE"""),46085.96478009259)</f>
        <v>46085.96478</v>
      </c>
      <c r="Q112" s="293" t="str">
        <f>IFERROR(__xludf.DUMMYFUNCTION("""COMPUTED_VALUE"""),"Saída")</f>
        <v>Saída</v>
      </c>
      <c r="R112" s="295" t="str">
        <f>IFERROR(__xludf.DUMMYFUNCTION("""COMPUTED_VALUE"""),"R$ 102,67")</f>
        <v>R$ 102,67</v>
      </c>
      <c r="S112" s="293" t="str">
        <f>IFERROR(__xludf.DUMMYFUNCTION("""COMPUTED_VALUE"""),"Enfeite pascoa")</f>
        <v>Enfeite pascoa</v>
      </c>
      <c r="V112" s="296" t="str">
        <f>IFERROR(__xludf.DUMMYFUNCTION("""COMPUTED_VALUE"""),"Não Encontrada")</f>
        <v>Não Encontrada</v>
      </c>
      <c r="W112" s="185"/>
    </row>
    <row r="113" ht="14.25" customHeight="1">
      <c r="A113" s="178"/>
      <c r="B113" s="12">
        <v>2055544.0</v>
      </c>
      <c r="C113" s="13">
        <v>46093.93009259259</v>
      </c>
      <c r="D113" s="179" t="s">
        <v>81</v>
      </c>
      <c r="E113" s="180" t="s">
        <v>200</v>
      </c>
      <c r="F113" s="188"/>
      <c r="G113" s="179" t="s">
        <v>381</v>
      </c>
      <c r="H113" s="190"/>
      <c r="I113" s="190"/>
      <c r="J113" s="187" t="s">
        <v>2735</v>
      </c>
      <c r="K113" s="187" t="s">
        <v>6576</v>
      </c>
      <c r="L113" s="270" t="str">
        <f>IFERROR(__xludf.DUMMYFUNCTION("IF(
  AND(D113=""Saída"", J113=""Sangria""),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"),"Confirmada")</f>
        <v>Confirmada</v>
      </c>
      <c r="M113" s="274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IFERROR(__xludf.DUMMYFUNCTION("ifna(VALUE(REGEXEXTRACT(E113,""[0-9.]+[,]+[0-9]+"")))"),300.0)</f>
        <v>300</v>
      </c>
      <c r="O113" s="297">
        <f>IFERROR(__xludf.DUMMYFUNCTION("""COMPUTED_VALUE"""),2039580.0)</f>
        <v>2039580</v>
      </c>
      <c r="P113" s="298">
        <f>IFERROR(__xludf.DUMMYFUNCTION("""COMPUTED_VALUE"""),46085.96608796297)</f>
        <v>46085.96609</v>
      </c>
      <c r="Q113" s="297" t="str">
        <f>IFERROR(__xludf.DUMMYFUNCTION("""COMPUTED_VALUE"""),"Saída")</f>
        <v>Saída</v>
      </c>
      <c r="R113" s="299" t="str">
        <f>IFERROR(__xludf.DUMMYFUNCTION("""COMPUTED_VALUE"""),"R$ 187,79")</f>
        <v>R$ 187,79</v>
      </c>
      <c r="S113" s="297" t="str">
        <f>IFERROR(__xludf.DUMMYFUNCTION("""COMPUTED_VALUE"""),"Enfeite Pascoa")</f>
        <v>Enfeite Pascoa</v>
      </c>
      <c r="V113" s="300" t="str">
        <f>IFERROR(__xludf.DUMMYFUNCTION("""COMPUTED_VALUE"""),"Não Encontrada")</f>
        <v>Não Encontrada</v>
      </c>
      <c r="W113" s="185"/>
    </row>
    <row r="114" ht="14.25" customHeight="1">
      <c r="A114" s="178"/>
      <c r="B114" s="12">
        <v>2057674.0</v>
      </c>
      <c r="C114" s="13">
        <v>46094.957766203705</v>
      </c>
      <c r="D114" s="179" t="s">
        <v>81</v>
      </c>
      <c r="E114" s="180" t="s">
        <v>7143</v>
      </c>
      <c r="F114" s="181"/>
      <c r="G114" s="179" t="s">
        <v>7144</v>
      </c>
      <c r="H114" s="190"/>
      <c r="I114" s="190"/>
      <c r="J114" s="187" t="s">
        <v>2438</v>
      </c>
      <c r="K114" s="187"/>
      <c r="L114" s="270" t="str">
        <f>IFERROR(__xludf.DUMMYFUNCTION("IF(
  AND(D114=""Saída"", J114=""Sangria""),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2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>
        <f>IFERROR(__xludf.DUMMYFUNCTION("ifna(VALUE(REGEXEXTRACT(E114,""[0-9.]+[,]+[0-9]+"")))"),77.74)</f>
        <v>77.74</v>
      </c>
      <c r="O114" s="293">
        <f>IFERROR(__xludf.DUMMYFUNCTION("""COMPUTED_VALUE"""),2039617.0)</f>
        <v>2039617</v>
      </c>
      <c r="P114" s="294">
        <f>IFERROR(__xludf.DUMMYFUNCTION("""COMPUTED_VALUE"""),46085.976319444446)</f>
        <v>46085.97632</v>
      </c>
      <c r="Q114" s="293" t="str">
        <f>IFERROR(__xludf.DUMMYFUNCTION("""COMPUTED_VALUE"""),"Saída")</f>
        <v>Saída</v>
      </c>
      <c r="R114" s="295" t="str">
        <f>IFERROR(__xludf.DUMMYFUNCTION("""COMPUTED_VALUE"""),"R$ 113,14")</f>
        <v>R$ 113,14</v>
      </c>
      <c r="S114" s="293" t="str">
        <f>IFERROR(__xludf.DUMMYFUNCTION("""COMPUTED_VALUE"""),"frutas e cafe funcionarios")</f>
        <v>frutas e cafe funcionarios</v>
      </c>
      <c r="V114" s="296" t="str">
        <f>IFERROR(__xludf.DUMMYFUNCTION("""COMPUTED_VALUE"""),"Não Encontrada")</f>
        <v>Não Encontrada</v>
      </c>
      <c r="W114" s="185"/>
    </row>
    <row r="115" ht="14.25" customHeight="1">
      <c r="A115" s="178"/>
      <c r="B115" s="12">
        <v>2057677.0</v>
      </c>
      <c r="C115" s="13">
        <v>46094.9581712963</v>
      </c>
      <c r="D115" s="179" t="s">
        <v>81</v>
      </c>
      <c r="E115" s="180" t="s">
        <v>7145</v>
      </c>
      <c r="F115" s="181"/>
      <c r="G115" s="179" t="s">
        <v>6838</v>
      </c>
      <c r="H115" s="190"/>
      <c r="I115" s="190"/>
      <c r="J115" s="187" t="s">
        <v>2019</v>
      </c>
      <c r="K115" s="187" t="s">
        <v>6745</v>
      </c>
      <c r="L115" s="270" t="str">
        <f>IFERROR(__xludf.DUMMYFUNCTION("IF(
  AND(D115=""Saída"", J115=""Sangria""),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74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85">
        <f>IFERROR(__xludf.DUMMYFUNCTION("ifna(VALUE(REGEXEXTRACT(E115,""[0-9.]+[,]+[0-9]+"")))"),32.96)</f>
        <v>32.96</v>
      </c>
      <c r="O115" s="301">
        <f>IFERROR(__xludf.DUMMYFUNCTION("""COMPUTED_VALUE"""),2040951.0)</f>
        <v>2040951</v>
      </c>
      <c r="P115" s="302">
        <f>IFERROR(__xludf.DUMMYFUNCTION("""COMPUTED_VALUE"""),46086.87888888889)</f>
        <v>46086.87889</v>
      </c>
      <c r="Q115" s="301" t="str">
        <f>IFERROR(__xludf.DUMMYFUNCTION("""COMPUTED_VALUE"""),"Saída")</f>
        <v>Saída</v>
      </c>
      <c r="R115" s="303" t="str">
        <f>IFERROR(__xludf.DUMMYFUNCTION("""COMPUTED_VALUE"""),"R$ 17,00")</f>
        <v>R$ 17,00</v>
      </c>
      <c r="S115" s="301" t="str">
        <f>IFERROR(__xludf.DUMMYFUNCTION("""COMPUTED_VALUE"""),"DECORAÇÃO PASCOA")</f>
        <v>DECORAÇÃO PASCOA</v>
      </c>
      <c r="V115" s="304" t="str">
        <f>IFERROR(__xludf.DUMMYFUNCTION("""COMPUTED_VALUE"""),"Não Encontrada")</f>
        <v>Não Encontrada</v>
      </c>
      <c r="W115" s="185"/>
    </row>
    <row r="116" ht="14.25" customHeight="1">
      <c r="A116" s="178"/>
      <c r="B116" s="12">
        <v>2057679.0</v>
      </c>
      <c r="C116" s="13">
        <v>46094.958449074074</v>
      </c>
      <c r="D116" s="179" t="s">
        <v>81</v>
      </c>
      <c r="E116" s="180" t="s">
        <v>979</v>
      </c>
      <c r="F116" s="181"/>
      <c r="G116" s="179" t="s">
        <v>568</v>
      </c>
      <c r="H116" s="190"/>
      <c r="I116" s="190"/>
      <c r="J116" s="187" t="s">
        <v>2019</v>
      </c>
      <c r="K116" s="187" t="s">
        <v>2078</v>
      </c>
      <c r="L116" s="270" t="str">
        <f>IFERROR(__xludf.DUMMYFUNCTION("IF(
  AND(D116=""Saída"", J116=""Sangria""),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2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IFERROR(__xludf.DUMMYFUNCTION("ifna(VALUE(REGEXEXTRACT(E116,""[0-9.]+[,]+[0-9]+"")))"),3.0)</f>
        <v>3</v>
      </c>
      <c r="O116" s="305">
        <f>IFERROR(__xludf.DUMMYFUNCTION("""COMPUTED_VALUE"""),2040954.0)</f>
        <v>2040954</v>
      </c>
      <c r="P116" s="306">
        <f>IFERROR(__xludf.DUMMYFUNCTION("""COMPUTED_VALUE"""),46086.87954861111)</f>
        <v>46086.87955</v>
      </c>
      <c r="Q116" s="305" t="str">
        <f>IFERROR(__xludf.DUMMYFUNCTION("""COMPUTED_VALUE"""),"Saída")</f>
        <v>Saída</v>
      </c>
      <c r="R116" s="307" t="str">
        <f>IFERROR(__xludf.DUMMYFUNCTION("""COMPUTED_VALUE"""),"R$ 100,00")</f>
        <v>R$ 100,00</v>
      </c>
      <c r="S116" s="305" t="str">
        <f>IFERROR(__xludf.DUMMYFUNCTION("""COMPUTED_VALUE"""),"DECORAÇÃO PASCOA")</f>
        <v>DECORAÇÃO PASCOA</v>
      </c>
      <c r="V116" s="308" t="str">
        <f>IFERROR(__xludf.DUMMYFUNCTION("""COMPUTED_VALUE"""),"Não Encontrada")</f>
        <v>Não Encontrada</v>
      </c>
      <c r="W116" s="185"/>
    </row>
    <row r="117" ht="14.25" customHeight="1">
      <c r="A117" s="178"/>
      <c r="B117" s="12">
        <v>2057690.0</v>
      </c>
      <c r="C117" s="13">
        <v>46094.959814814814</v>
      </c>
      <c r="D117" s="179" t="s">
        <v>81</v>
      </c>
      <c r="E117" s="180" t="s">
        <v>4106</v>
      </c>
      <c r="F117" s="181"/>
      <c r="G117" s="179" t="s">
        <v>128</v>
      </c>
      <c r="H117" s="190"/>
      <c r="I117" s="190"/>
      <c r="J117" s="187" t="s">
        <v>2735</v>
      </c>
      <c r="K117" s="187" t="s">
        <v>6576</v>
      </c>
      <c r="L117" s="270" t="str">
        <f>IFERROR(__xludf.DUMMYFUNCTION("IF(
  AND(D117=""Saída"", J117=""Sangria""),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"),"Confirmada")</f>
        <v>Confirmada</v>
      </c>
      <c r="M117" s="274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85">
        <f>IFERROR(__xludf.DUMMYFUNCTION("ifna(VALUE(REGEXEXTRACT(E117,""[0-9.]+[,]+[0-9]+"")))"),750.0)</f>
        <v>750</v>
      </c>
      <c r="O117" s="301">
        <f>IFERROR(__xludf.DUMMYFUNCTION("""COMPUTED_VALUE"""),2040956.0)</f>
        <v>2040956</v>
      </c>
      <c r="P117" s="302">
        <f>IFERROR(__xludf.DUMMYFUNCTION("""COMPUTED_VALUE"""),46086.879907407405)</f>
        <v>46086.87991</v>
      </c>
      <c r="Q117" s="301" t="str">
        <f>IFERROR(__xludf.DUMMYFUNCTION("""COMPUTED_VALUE"""),"Saída")</f>
        <v>Saída</v>
      </c>
      <c r="R117" s="303" t="str">
        <f>IFERROR(__xludf.DUMMYFUNCTION("""COMPUTED_VALUE"""),"R$ 32,00")</f>
        <v>R$ 32,00</v>
      </c>
      <c r="S117" s="301" t="str">
        <f>IFERROR(__xludf.DUMMYFUNCTION("""COMPUTED_VALUE"""),"DECORAÇÃO PASCOA")</f>
        <v>DECORAÇÃO PASCOA</v>
      </c>
      <c r="V117" s="304" t="str">
        <f>IFERROR(__xludf.DUMMYFUNCTION("""COMPUTED_VALUE"""),"Não Encontrada")</f>
        <v>Não Encontrada</v>
      </c>
      <c r="W117" s="185"/>
    </row>
    <row r="118" ht="14.25" customHeight="1">
      <c r="A118" s="178"/>
      <c r="B118" s="12">
        <v>2057730.0</v>
      </c>
      <c r="C118" s="13">
        <v>46094.96603009259</v>
      </c>
      <c r="D118" s="179" t="s">
        <v>81</v>
      </c>
      <c r="E118" s="180" t="s">
        <v>7146</v>
      </c>
      <c r="F118" s="181"/>
      <c r="G118" s="179" t="s">
        <v>193</v>
      </c>
      <c r="H118" s="190"/>
      <c r="I118" s="190"/>
      <c r="J118" s="187" t="s">
        <v>3151</v>
      </c>
      <c r="K118" s="187"/>
      <c r="L118" s="270" t="str">
        <f>IFERROR(__xludf.DUMMYFUNCTION("IF(
  AND(D118=""Saída"", J118=""Sangria""),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72" t="str">
        <f>IFERROR(__xludf.DUMMYFUNCTION("IF(J118=""Compra de Mercadorias"",
   IF(
      COUNTIF(ARRAYFORMULA(TRIM(CLEAN(TO_TEXT(Notas!BS:BS)))), TRIM(CLEAN(TO_TEXT(B118)))) &gt; 0,
      ""Encontrada"",
      ""Não Encontrada""
   ),
"""")"),"Não Encontrada")</f>
        <v>Não Encontrada</v>
      </c>
      <c r="N118" s="185">
        <f>IFERROR(__xludf.DUMMYFUNCTION("ifna(VALUE(REGEXEXTRACT(E118,""[0-9.]+[,]+[0-9]+"")))"),79.43)</f>
        <v>79.43</v>
      </c>
      <c r="O118" s="305">
        <f>IFERROR(__xludf.DUMMYFUNCTION("""COMPUTED_VALUE"""),2040959.0)</f>
        <v>2040959</v>
      </c>
      <c r="P118" s="306">
        <f>IFERROR(__xludf.DUMMYFUNCTION("""COMPUTED_VALUE"""),46086.880324074074)</f>
        <v>46086.88032</v>
      </c>
      <c r="Q118" s="305" t="str">
        <f>IFERROR(__xludf.DUMMYFUNCTION("""COMPUTED_VALUE"""),"Saída")</f>
        <v>Saída</v>
      </c>
      <c r="R118" s="307" t="str">
        <f>IFERROR(__xludf.DUMMYFUNCTION("""COMPUTED_VALUE"""),"R$ 38,50")</f>
        <v>R$ 38,50</v>
      </c>
      <c r="S118" s="305" t="str">
        <f>IFERROR(__xludf.DUMMYFUNCTION("""COMPUTED_VALUE"""),"CANUDOS DE REFRIGERANTES")</f>
        <v>CANUDOS DE REFRIGERANTES</v>
      </c>
      <c r="V118" s="308" t="str">
        <f>IFERROR(__xludf.DUMMYFUNCTION("""COMPUTED_VALUE"""),"Não Encontrada")</f>
        <v>Não Encontrada</v>
      </c>
      <c r="W118" s="185"/>
    </row>
    <row r="119" ht="14.25" customHeight="1">
      <c r="A119" s="178"/>
      <c r="B119" s="12">
        <v>2058813.0</v>
      </c>
      <c r="C119" s="13">
        <v>46095.75244212963</v>
      </c>
      <c r="D119" s="179" t="s">
        <v>152</v>
      </c>
      <c r="E119" s="180" t="s">
        <v>7147</v>
      </c>
      <c r="F119" s="181"/>
      <c r="G119" s="179" t="s">
        <v>267</v>
      </c>
      <c r="H119" s="190"/>
      <c r="I119" s="190"/>
      <c r="J119" s="187" t="s">
        <v>5195</v>
      </c>
      <c r="K119" s="187"/>
      <c r="L119" s="270" t="str">
        <f>IFERROR(__xludf.DUMMYFUNCTION("IF(
  AND(D119=""Saída"", J119=""Sangria""),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74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IFERROR(__xludf.DUMMYFUNCTION("ifna(VALUE(REGEXEXTRACT(E119,""[0-9.]+[,]+[0-9]+"")))"),173.0)</f>
        <v>173</v>
      </c>
      <c r="O119" s="301">
        <f>IFERROR(__xludf.DUMMYFUNCTION("""COMPUTED_VALUE"""),2040963.0)</f>
        <v>2040963</v>
      </c>
      <c r="P119" s="302">
        <f>IFERROR(__xludf.DUMMYFUNCTION("""COMPUTED_VALUE"""),46086.880648148144)</f>
        <v>46086.88065</v>
      </c>
      <c r="Q119" s="301" t="str">
        <f>IFERROR(__xludf.DUMMYFUNCTION("""COMPUTED_VALUE"""),"Saída")</f>
        <v>Saída</v>
      </c>
      <c r="R119" s="303" t="str">
        <f>IFERROR(__xludf.DUMMYFUNCTION("""COMPUTED_VALUE"""),"R$ 52,97")</f>
        <v>R$ 52,97</v>
      </c>
      <c r="S119" s="301" t="str">
        <f>IFERROR(__xludf.DUMMYFUNCTION("""COMPUTED_VALUE"""),"DECORAÇÃO PASCOA")</f>
        <v>DECORAÇÃO PASCOA</v>
      </c>
      <c r="V119" s="304" t="str">
        <f>IFERROR(__xludf.DUMMYFUNCTION("""COMPUTED_VALUE"""),"Não Encontrada")</f>
        <v>Não Encontrada</v>
      </c>
      <c r="W119" s="185"/>
    </row>
    <row r="120" ht="14.25" customHeight="1">
      <c r="A120" s="178"/>
      <c r="B120" s="12">
        <v>2058814.0</v>
      </c>
      <c r="C120" s="13">
        <v>46095.75261574074</v>
      </c>
      <c r="D120" s="179" t="s">
        <v>81</v>
      </c>
      <c r="E120" s="180" t="s">
        <v>3486</v>
      </c>
      <c r="F120" s="181"/>
      <c r="G120" s="179" t="s">
        <v>5296</v>
      </c>
      <c r="H120" s="190"/>
      <c r="I120" s="190"/>
      <c r="J120" s="187" t="s">
        <v>5195</v>
      </c>
      <c r="K120" s="187"/>
      <c r="L120" s="270" t="str">
        <f>IFERROR(__xludf.DUMMYFUNCTION("IF(
  AND(D120=""Saída"", J120=""Sangria""),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2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IFERROR(__xludf.DUMMYFUNCTION("ifna(VALUE(REGEXEXTRACT(E120,""[0-9.]+[,]+[0-9]+"")))"),500.0)</f>
        <v>500</v>
      </c>
      <c r="O120" s="305">
        <f>IFERROR(__xludf.DUMMYFUNCTION("""COMPUTED_VALUE"""),2040964.0)</f>
        <v>2040964</v>
      </c>
      <c r="P120" s="306">
        <f>IFERROR(__xludf.DUMMYFUNCTION("""COMPUTED_VALUE"""),46086.880902777775)</f>
        <v>46086.8809</v>
      </c>
      <c r="Q120" s="305" t="str">
        <f>IFERROR(__xludf.DUMMYFUNCTION("""COMPUTED_VALUE"""),"Saída")</f>
        <v>Saída</v>
      </c>
      <c r="R120" s="307" t="str">
        <f>IFERROR(__xludf.DUMMYFUNCTION("""COMPUTED_VALUE"""),"R$ 25,80")</f>
        <v>R$ 25,80</v>
      </c>
      <c r="S120" s="305" t="str">
        <f>IFERROR(__xludf.DUMMYFUNCTION("""COMPUTED_VALUE"""),"DECORAÇÃO PASCOA")</f>
        <v>DECORAÇÃO PASCOA</v>
      </c>
      <c r="V120" s="308" t="str">
        <f>IFERROR(__xludf.DUMMYFUNCTION("""COMPUTED_VALUE"""),"Não Encontrada")</f>
        <v>Não Encontrada</v>
      </c>
      <c r="W120" s="185"/>
    </row>
    <row r="121" ht="14.25" customHeight="1">
      <c r="A121" s="178"/>
      <c r="B121" s="12">
        <v>2058918.0</v>
      </c>
      <c r="C121" s="13">
        <v>46095.77400462963</v>
      </c>
      <c r="D121" s="179" t="s">
        <v>81</v>
      </c>
      <c r="E121" s="180" t="s">
        <v>7148</v>
      </c>
      <c r="F121" s="181"/>
      <c r="G121" s="179" t="s">
        <v>460</v>
      </c>
      <c r="H121" s="190"/>
      <c r="I121" s="190"/>
      <c r="J121" s="187" t="s">
        <v>3151</v>
      </c>
      <c r="K121" s="187"/>
      <c r="L121" s="270" t="str">
        <f>IFERROR(__xludf.DUMMYFUNCTION("IF(
  AND(D121=""Saída"", J121=""Sangria""),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74" t="str">
        <f>IFERROR(__xludf.DUMMYFUNCTION("IF(J121=""Compra de Mercadorias"",
   IF(
      COUNTIF(ARRAYFORMULA(TRIM(CLEAN(TO_TEXT(Notas!BS:BS)))), TRIM(CLEAN(TO_TEXT(B121)))) &gt; 0,
      ""Encontrada"",
      ""Não Encontrada""
   ),
"""")"),"Não Encontrada")</f>
        <v>Não Encontrada</v>
      </c>
      <c r="N121" s="185">
        <f>IFERROR(__xludf.DUMMYFUNCTION("ifna(VALUE(REGEXEXTRACT(E121,""[0-9.]+[,]+[0-9]+"")))"),165.56)</f>
        <v>165.56</v>
      </c>
      <c r="O121" s="301">
        <f>IFERROR(__xludf.DUMMYFUNCTION("""COMPUTED_VALUE"""),2040965.0)</f>
        <v>2040965</v>
      </c>
      <c r="P121" s="302">
        <f>IFERROR(__xludf.DUMMYFUNCTION("""COMPUTED_VALUE"""),46086.88111111111)</f>
        <v>46086.88111</v>
      </c>
      <c r="Q121" s="301" t="str">
        <f>IFERROR(__xludf.DUMMYFUNCTION("""COMPUTED_VALUE"""),"Saída")</f>
        <v>Saída</v>
      </c>
      <c r="R121" s="303" t="str">
        <f>IFERROR(__xludf.DUMMYFUNCTION("""COMPUTED_VALUE"""),"R$ 21,00")</f>
        <v>R$ 21,00</v>
      </c>
      <c r="S121" s="301" t="str">
        <f>IFERROR(__xludf.DUMMYFUNCTION("""COMPUTED_VALUE"""),"DECORAÇÃO PASCOA")</f>
        <v>DECORAÇÃO PASCOA</v>
      </c>
      <c r="V121" s="304" t="str">
        <f>IFERROR(__xludf.DUMMYFUNCTION("""COMPUTED_VALUE"""),"Não Encontrada")</f>
        <v>Não Encontrada</v>
      </c>
      <c r="W121" s="185"/>
    </row>
    <row r="122" ht="14.25" customHeight="1">
      <c r="A122" s="178"/>
      <c r="B122" s="12">
        <v>2058923.0</v>
      </c>
      <c r="C122" s="13">
        <v>46095.77614583333</v>
      </c>
      <c r="D122" s="179" t="s">
        <v>81</v>
      </c>
      <c r="E122" s="180" t="s">
        <v>910</v>
      </c>
      <c r="F122" s="181"/>
      <c r="G122" s="179" t="s">
        <v>4071</v>
      </c>
      <c r="H122" s="190"/>
      <c r="I122" s="190"/>
      <c r="J122" s="187" t="s">
        <v>2735</v>
      </c>
      <c r="K122" s="187" t="s">
        <v>2018</v>
      </c>
      <c r="L122" s="270" t="str">
        <f>IFERROR(__xludf.DUMMYFUNCTION("IF(
  AND(D122=""Saída"", J122=""Sangria""),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"),"Confirmada")</f>
        <v>Confirmada</v>
      </c>
      <c r="M122" s="272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>
        <f>IFERROR(__xludf.DUMMYFUNCTION("ifna(VALUE(REGEXEXTRACT(E122,""[0-9.]+[,]+[0-9]+"")))"),1000.0)</f>
        <v>1000</v>
      </c>
      <c r="O122" s="305">
        <f>IFERROR(__xludf.DUMMYFUNCTION("""COMPUTED_VALUE"""),2042957.0)</f>
        <v>2042957</v>
      </c>
      <c r="P122" s="306">
        <f>IFERROR(__xludf.DUMMYFUNCTION("""COMPUTED_VALUE"""),46087.830034722225)</f>
        <v>46087.83003</v>
      </c>
      <c r="Q122" s="305" t="str">
        <f>IFERROR(__xludf.DUMMYFUNCTION("""COMPUTED_VALUE"""),"Saída")</f>
        <v>Saída</v>
      </c>
      <c r="R122" s="307" t="str">
        <f>IFERROR(__xludf.DUMMYFUNCTION("""COMPUTED_VALUE"""),"R$ 50,00")</f>
        <v>R$ 50,00</v>
      </c>
      <c r="S122" s="305" t="str">
        <f>IFERROR(__xludf.DUMMYFUNCTION("""COMPUTED_VALUE"""),"DECORAÇÃO LOJA (ANA JULIA )")</f>
        <v>DECORAÇÃO LOJA (ANA JULIA )</v>
      </c>
      <c r="V122" s="308" t="str">
        <f>IFERROR(__xludf.DUMMYFUNCTION("""COMPUTED_VALUE"""),"Não Encontrada")</f>
        <v>Não Encontrada</v>
      </c>
      <c r="W122" s="185"/>
    </row>
    <row r="123" ht="14.25" customHeight="1">
      <c r="A123" s="178"/>
      <c r="B123" s="12">
        <v>2059094.0</v>
      </c>
      <c r="C123" s="13">
        <v>46095.81332175926</v>
      </c>
      <c r="D123" s="179" t="s">
        <v>81</v>
      </c>
      <c r="E123" s="180" t="s">
        <v>7149</v>
      </c>
      <c r="F123" s="181"/>
      <c r="G123" s="179" t="s">
        <v>7150</v>
      </c>
      <c r="H123" s="190"/>
      <c r="I123" s="190"/>
      <c r="J123" s="187" t="s">
        <v>1782</v>
      </c>
      <c r="K123" s="187"/>
      <c r="L123" s="270" t="str">
        <f>IFERROR(__xludf.DUMMYFUNCTION("IF(
  AND(D123=""Saída"", J123=""Sangria""),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74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>
        <f>IFERROR(__xludf.DUMMYFUNCTION("ifna(VALUE(REGEXEXTRACT(E123,""[0-9.]+[,]+[0-9]+"")))"),170.0)</f>
        <v>170</v>
      </c>
      <c r="O123" s="301">
        <f>IFERROR(__xludf.DUMMYFUNCTION("""COMPUTED_VALUE"""),2042995.0)</f>
        <v>2042995</v>
      </c>
      <c r="P123" s="302">
        <f>IFERROR(__xludf.DUMMYFUNCTION("""COMPUTED_VALUE"""),46087.83976851852)</f>
        <v>46087.83977</v>
      </c>
      <c r="Q123" s="301" t="str">
        <f>IFERROR(__xludf.DUMMYFUNCTION("""COMPUTED_VALUE"""),"Saída")</f>
        <v>Saída</v>
      </c>
      <c r="R123" s="303" t="str">
        <f>IFERROR(__xludf.DUMMYFUNCTION("""COMPUTED_VALUE"""),"R$ 505,00")</f>
        <v>R$ 505,00</v>
      </c>
      <c r="S123" s="301" t="str">
        <f>IFERROR(__xludf.DUMMYFUNCTION("""COMPUTED_VALUE"""),"DECORAÇÃO PASCOA")</f>
        <v>DECORAÇÃO PASCOA</v>
      </c>
      <c r="V123" s="304" t="str">
        <f>IFERROR(__xludf.DUMMYFUNCTION("""COMPUTED_VALUE"""),"Não Encontrada")</f>
        <v>Não Encontrada</v>
      </c>
      <c r="W123" s="185"/>
    </row>
    <row r="124" ht="14.25" customHeight="1">
      <c r="A124" s="178"/>
      <c r="B124" s="12">
        <v>2059539.0</v>
      </c>
      <c r="C124" s="13">
        <v>46095.897256944445</v>
      </c>
      <c r="D124" s="179" t="s">
        <v>81</v>
      </c>
      <c r="E124" s="180" t="s">
        <v>7151</v>
      </c>
      <c r="F124" s="181"/>
      <c r="G124" s="179" t="s">
        <v>4041</v>
      </c>
      <c r="H124" s="190"/>
      <c r="I124" s="190"/>
      <c r="J124" s="187" t="s">
        <v>3151</v>
      </c>
      <c r="K124" s="187"/>
      <c r="L124" s="270" t="str">
        <f>IFERROR(__xludf.DUMMYFUNCTION("IF(
  AND(D124=""Saída"", J124=""Sangria""),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2" t="str">
        <f>IFERROR(__xludf.DUMMYFUNCTION("IF(J124=""Compra de Mercadorias"",
   IF(
      COUNTIF(ARRAYFORMULA(TRIM(CLEAN(TO_TEXT(Notas!BS:BS)))), TRIM(CLEAN(TO_TEXT(B124)))) &gt; 0,
      ""Encontrada"",
      ""Não Encontrada""
   ),
"""")"),"Não Encontrada")</f>
        <v>Não Encontrada</v>
      </c>
      <c r="N124" s="185">
        <f>IFERROR(__xludf.DUMMYFUNCTION("ifna(VALUE(REGEXEXTRACT(E124,""[0-9.]+[,]+[0-9]+"")))"),38.36)</f>
        <v>38.36</v>
      </c>
      <c r="O124" s="305">
        <f>IFERROR(__xludf.DUMMYFUNCTION("""COMPUTED_VALUE"""),2046084.0)</f>
        <v>2046084</v>
      </c>
      <c r="P124" s="306">
        <f>IFERROR(__xludf.DUMMYFUNCTION("""COMPUTED_VALUE"""),46088.946481481486)</f>
        <v>46088.94648</v>
      </c>
      <c r="Q124" s="305" t="str">
        <f>IFERROR(__xludf.DUMMYFUNCTION("""COMPUTED_VALUE"""),"Saída")</f>
        <v>Saída</v>
      </c>
      <c r="R124" s="307" t="str">
        <f>IFERROR(__xludf.DUMMYFUNCTION("""COMPUTED_VALUE"""),"R$ 78,06")</f>
        <v>R$ 78,06</v>
      </c>
      <c r="S124" s="305" t="str">
        <f>IFERROR(__xludf.DUMMYFUNCTION("""COMPUTED_VALUE"""),"FRUTAS E CAFE FUNCIONARIOS")</f>
        <v>FRUTAS E CAFE FUNCIONARIOS</v>
      </c>
      <c r="V124" s="308" t="str">
        <f>IFERROR(__xludf.DUMMYFUNCTION("""COMPUTED_VALUE"""),"Não Encontrada")</f>
        <v>Não Encontrada</v>
      </c>
      <c r="W124" s="185"/>
    </row>
    <row r="125" ht="14.25" customHeight="1">
      <c r="A125" s="178"/>
      <c r="B125" s="12">
        <v>2059651.0</v>
      </c>
      <c r="C125" s="13">
        <v>46095.90589120371</v>
      </c>
      <c r="D125" s="179" t="s">
        <v>81</v>
      </c>
      <c r="E125" s="180" t="s">
        <v>979</v>
      </c>
      <c r="F125" s="181"/>
      <c r="G125" s="179" t="s">
        <v>5514</v>
      </c>
      <c r="H125" s="190"/>
      <c r="I125" s="190"/>
      <c r="J125" s="187" t="s">
        <v>2019</v>
      </c>
      <c r="K125" s="187" t="s">
        <v>2078</v>
      </c>
      <c r="L125" s="270" t="str">
        <f>IFERROR(__xludf.DUMMYFUNCTION("IF(
  AND(D125=""Saída"", J125=""Sangria""),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74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>
        <f>IFERROR(__xludf.DUMMYFUNCTION("ifna(VALUE(REGEXEXTRACT(E125,""[0-9.]+[,]+[0-9]+"")))"),3.0)</f>
        <v>3</v>
      </c>
      <c r="O125" s="301">
        <f>IFERROR(__xludf.DUMMYFUNCTION("""COMPUTED_VALUE"""),2049360.0)</f>
        <v>2049360</v>
      </c>
      <c r="P125" s="302">
        <f>IFERROR(__xludf.DUMMYFUNCTION("""COMPUTED_VALUE"""),46089.981412037036)</f>
        <v>46089.98141</v>
      </c>
      <c r="Q125" s="301" t="str">
        <f>IFERROR(__xludf.DUMMYFUNCTION("""COMPUTED_VALUE"""),"Saída")</f>
        <v>Saída</v>
      </c>
      <c r="R125" s="303" t="str">
        <f>IFERROR(__xludf.DUMMYFUNCTION("""COMPUTED_VALUE"""),"R$ 37,46")</f>
        <v>R$ 37,46</v>
      </c>
      <c r="S125" s="301" t="str">
        <f>IFERROR(__xludf.DUMMYFUNCTION("""COMPUTED_VALUE"""),"MIMO DIA DAS MULHERES E CAFE FUNCIONARIOS")</f>
        <v>MIMO DIA DAS MULHERES E CAFE FUNCIONARIOS</v>
      </c>
      <c r="V125" s="304" t="str">
        <f>IFERROR(__xludf.DUMMYFUNCTION("""COMPUTED_VALUE"""),"Não Encontrada")</f>
        <v>Não Encontrada</v>
      </c>
      <c r="W125" s="185"/>
    </row>
    <row r="126" ht="14.25" customHeight="1">
      <c r="A126" s="178"/>
      <c r="B126" s="12">
        <v>2059660.0</v>
      </c>
      <c r="C126" s="13">
        <v>46095.90655092592</v>
      </c>
      <c r="D126" s="179" t="s">
        <v>81</v>
      </c>
      <c r="E126" s="180" t="s">
        <v>7152</v>
      </c>
      <c r="F126" s="181"/>
      <c r="G126" s="179" t="s">
        <v>7153</v>
      </c>
      <c r="H126" s="190"/>
      <c r="I126" s="190"/>
      <c r="J126" s="187" t="s">
        <v>2019</v>
      </c>
      <c r="K126" s="187" t="s">
        <v>6745</v>
      </c>
      <c r="L126" s="270" t="str">
        <f>IFERROR(__xludf.DUMMYFUNCTION("IF(
  AND(D126=""Saída"", J126=""Sangria""),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2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IFERROR(__xludf.DUMMYFUNCTION("ifna(VALUE(REGEXEXTRACT(E126,""[0-9.]+[,]+[0-9]+"")))"),10.32)</f>
        <v>10.32</v>
      </c>
      <c r="O126" s="305">
        <f>IFERROR(__xludf.DUMMYFUNCTION("""COMPUTED_VALUE"""),2052506.0)</f>
        <v>2052506</v>
      </c>
      <c r="P126" s="306">
        <f>IFERROR(__xludf.DUMMYFUNCTION("""COMPUTED_VALUE"""),46091.94091435186)</f>
        <v>46091.94091</v>
      </c>
      <c r="Q126" s="305" t="str">
        <f>IFERROR(__xludf.DUMMYFUNCTION("""COMPUTED_VALUE"""),"Saída")</f>
        <v>Saída</v>
      </c>
      <c r="R126" s="307" t="str">
        <f>IFERROR(__xludf.DUMMYFUNCTION("""COMPUTED_VALUE"""),"R$ 39,83")</f>
        <v>R$ 39,83</v>
      </c>
      <c r="S126" s="305" t="str">
        <f>IFERROR(__xludf.DUMMYFUNCTION("""COMPUTED_VALUE"""),"cafe funcionarios")</f>
        <v>cafe funcionarios</v>
      </c>
      <c r="V126" s="308" t="str">
        <f>IFERROR(__xludf.DUMMYFUNCTION("""COMPUTED_VALUE"""),"Não Encontrada")</f>
        <v>Não Encontrada</v>
      </c>
      <c r="W126" s="185"/>
    </row>
    <row r="127" ht="14.25" customHeight="1">
      <c r="A127" s="178"/>
      <c r="B127" s="12">
        <v>2059852.0</v>
      </c>
      <c r="C127" s="13">
        <v>46095.92224537037</v>
      </c>
      <c r="D127" s="179" t="s">
        <v>81</v>
      </c>
      <c r="E127" s="180" t="s">
        <v>590</v>
      </c>
      <c r="F127" s="181"/>
      <c r="G127" s="179" t="s">
        <v>346</v>
      </c>
      <c r="H127" s="190"/>
      <c r="I127" s="190"/>
      <c r="J127" s="187" t="s">
        <v>2735</v>
      </c>
      <c r="K127" s="187" t="s">
        <v>2018</v>
      </c>
      <c r="L127" s="270" t="str">
        <f>IFERROR(__xludf.DUMMYFUNCTION("IF(
  AND(D127=""Saída"", J127=""Sangria""),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"),"Confirmada")</f>
        <v>Confirmada</v>
      </c>
      <c r="M127" s="274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>
        <f>IFERROR(__xludf.DUMMYFUNCTION("ifna(VALUE(REGEXEXTRACT(E127,""[0-9.]+[,]+[0-9]+"")))"),350.0)</f>
        <v>350</v>
      </c>
      <c r="O127" s="301">
        <f>IFERROR(__xludf.DUMMYFUNCTION("""COMPUTED_VALUE"""),2052508.0)</f>
        <v>2052508</v>
      </c>
      <c r="P127" s="302">
        <f>IFERROR(__xludf.DUMMYFUNCTION("""COMPUTED_VALUE"""),46091.94126157407)</f>
        <v>46091.94126</v>
      </c>
      <c r="Q127" s="301" t="str">
        <f>IFERROR(__xludf.DUMMYFUNCTION("""COMPUTED_VALUE"""),"Saída")</f>
        <v>Saída</v>
      </c>
      <c r="R127" s="303" t="str">
        <f>IFERROR(__xludf.DUMMYFUNCTION("""COMPUTED_VALUE"""),"R$ 89,40")</f>
        <v>R$ 89,40</v>
      </c>
      <c r="S127" s="301" t="str">
        <f>IFERROR(__xludf.DUMMYFUNCTION("""COMPUTED_VALUE"""),"frutas e materiais cozinha")</f>
        <v>frutas e materiais cozinha</v>
      </c>
      <c r="V127" s="304" t="str">
        <f>IFERROR(__xludf.DUMMYFUNCTION("""COMPUTED_VALUE"""),"Não Encontrada")</f>
        <v>Não Encontrada</v>
      </c>
      <c r="W127" s="185"/>
    </row>
    <row r="128" ht="14.25" customHeight="1">
      <c r="A128" s="178"/>
      <c r="B128" s="12">
        <v>2063415.0</v>
      </c>
      <c r="C128" s="13">
        <v>46096.94425925926</v>
      </c>
      <c r="D128" s="179" t="s">
        <v>81</v>
      </c>
      <c r="E128" s="180" t="s">
        <v>335</v>
      </c>
      <c r="F128" s="181"/>
      <c r="G128" s="179" t="s">
        <v>5810</v>
      </c>
      <c r="H128" s="190"/>
      <c r="I128" s="190"/>
      <c r="J128" s="187" t="s">
        <v>2019</v>
      </c>
      <c r="K128" s="187" t="s">
        <v>2117</v>
      </c>
      <c r="L128" s="270" t="str">
        <f>IFERROR(__xludf.DUMMYFUNCTION("IF(
  AND(D128=""Saída"", J128=""Sangria""),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2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>
        <f>IFERROR(__xludf.DUMMYFUNCTION("ifna(VALUE(REGEXEXTRACT(E128,""[0-9.]+[,]+[0-9]+"")))"),10.0)</f>
        <v>10</v>
      </c>
      <c r="O128" s="308">
        <f>IFERROR(__xludf.DUMMYFUNCTION("""COMPUTED_VALUE"""),2052510.0)</f>
        <v>2052510</v>
      </c>
      <c r="P128" s="306">
        <f>IFERROR(__xludf.DUMMYFUNCTION("""COMPUTED_VALUE"""),46091.94153935185)</f>
        <v>46091.94154</v>
      </c>
      <c r="Q128" s="308" t="str">
        <f>IFERROR(__xludf.DUMMYFUNCTION("""COMPUTED_VALUE"""),"Saída")</f>
        <v>Saída</v>
      </c>
      <c r="R128" s="307" t="str">
        <f>IFERROR(__xludf.DUMMYFUNCTION("""COMPUTED_VALUE"""),"R$ 29,99")</f>
        <v>R$ 29,99</v>
      </c>
      <c r="S128" s="308" t="str">
        <f>IFERROR(__xludf.DUMMYFUNCTION("""COMPUTED_VALUE"""),"cafe funcionarios")</f>
        <v>cafe funcionarios</v>
      </c>
      <c r="V128" s="308" t="str">
        <f>IFERROR(__xludf.DUMMYFUNCTION("""COMPUTED_VALUE"""),"Não Encontrada")</f>
        <v>Não Encontrada</v>
      </c>
      <c r="W128" s="185"/>
    </row>
    <row r="129" ht="14.25" customHeight="1">
      <c r="A129" s="178"/>
      <c r="B129" s="12">
        <v>2063422.0</v>
      </c>
      <c r="C129" s="13">
        <v>46096.9446875</v>
      </c>
      <c r="D129" s="179" t="s">
        <v>81</v>
      </c>
      <c r="E129" s="180" t="s">
        <v>7154</v>
      </c>
      <c r="F129" s="181"/>
      <c r="G129" s="179" t="s">
        <v>5609</v>
      </c>
      <c r="H129" s="190"/>
      <c r="I129" s="190"/>
      <c r="J129" s="187" t="s">
        <v>2438</v>
      </c>
      <c r="K129" s="187"/>
      <c r="L129" s="270" t="str">
        <f>IFERROR(__xludf.DUMMYFUNCTION("IF(
  AND(D129=""Saída"", J129=""Sangria""),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74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>
        <f>IFERROR(__xludf.DUMMYFUNCTION("ifna(VALUE(REGEXEXTRACT(E129,""[0-9.]+[,]+[0-9]+"")))"),69.5)</f>
        <v>69.5</v>
      </c>
      <c r="O129" s="304">
        <f>IFERROR(__xludf.DUMMYFUNCTION("""COMPUTED_VALUE"""),2055513.0)</f>
        <v>2055513</v>
      </c>
      <c r="P129" s="302">
        <f>IFERROR(__xludf.DUMMYFUNCTION("""COMPUTED_VALUE"""),46093.92530092593)</f>
        <v>46093.9253</v>
      </c>
      <c r="Q129" s="304" t="str">
        <f>IFERROR(__xludf.DUMMYFUNCTION("""COMPUTED_VALUE"""),"Saída")</f>
        <v>Saída</v>
      </c>
      <c r="R129" s="303" t="str">
        <f>IFERROR(__xludf.DUMMYFUNCTION("""COMPUTED_VALUE"""),"R$ 8,75")</f>
        <v>R$ 8,75</v>
      </c>
      <c r="S129" s="304" t="str">
        <f>IFERROR(__xludf.DUMMYFUNCTION("""COMPUTED_VALUE"""),"FRUTAS")</f>
        <v>FRUTAS</v>
      </c>
      <c r="V129" s="304" t="str">
        <f>IFERROR(__xludf.DUMMYFUNCTION("""COMPUTED_VALUE"""),"Não Encontrada")</f>
        <v>Não Encontrada</v>
      </c>
      <c r="W129" s="185"/>
    </row>
    <row r="130" ht="14.25" customHeight="1">
      <c r="A130" s="178"/>
      <c r="B130" s="12">
        <v>2063430.0</v>
      </c>
      <c r="C130" s="13">
        <v>46096.94513888889</v>
      </c>
      <c r="D130" s="179" t="s">
        <v>81</v>
      </c>
      <c r="E130" s="180" t="s">
        <v>451</v>
      </c>
      <c r="F130" s="181"/>
      <c r="G130" s="179" t="s">
        <v>427</v>
      </c>
      <c r="H130" s="190"/>
      <c r="I130" s="190"/>
      <c r="J130" s="187" t="s">
        <v>1782</v>
      </c>
      <c r="K130" s="187"/>
      <c r="L130" s="270" t="str">
        <f>IFERROR(__xludf.DUMMYFUNCTION("IF(
  AND(D130=""Saída"", J130=""Sangria""),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2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>
        <f>IFERROR(__xludf.DUMMYFUNCTION("ifna(VALUE(REGEXEXTRACT(E130,""[0-9.]+[,]+[0-9]+"")))"),210.0)</f>
        <v>210</v>
      </c>
      <c r="O130" s="305">
        <f>IFERROR(__xludf.DUMMYFUNCTION("""COMPUTED_VALUE"""),2057730.0)</f>
        <v>2057730</v>
      </c>
      <c r="P130" s="306">
        <f>IFERROR(__xludf.DUMMYFUNCTION("""COMPUTED_VALUE"""),46094.96603009259)</f>
        <v>46094.96603</v>
      </c>
      <c r="Q130" s="305" t="str">
        <f>IFERROR(__xludf.DUMMYFUNCTION("""COMPUTED_VALUE"""),"Saída")</f>
        <v>Saída</v>
      </c>
      <c r="R130" s="307" t="str">
        <f>IFERROR(__xludf.DUMMYFUNCTION("""COMPUTED_VALUE"""),"R$ 79,43")</f>
        <v>R$ 79,43</v>
      </c>
      <c r="S130" s="305" t="str">
        <f>IFERROR(__xludf.DUMMYFUNCTION("""COMPUTED_VALUE"""),"cafe funcionarios")</f>
        <v>cafe funcionarios</v>
      </c>
      <c r="V130" s="305" t="str">
        <f>IFERROR(__xludf.DUMMYFUNCTION("""COMPUTED_VALUE"""),"Não Encontrada")</f>
        <v>Não Encontrada</v>
      </c>
      <c r="W130" s="25"/>
    </row>
    <row r="131" ht="14.25" customHeight="1">
      <c r="A131" s="178"/>
      <c r="B131" s="12">
        <v>2063436.0</v>
      </c>
      <c r="C131" s="13">
        <v>46096.94541666667</v>
      </c>
      <c r="D131" s="179" t="s">
        <v>81</v>
      </c>
      <c r="E131" s="180" t="s">
        <v>235</v>
      </c>
      <c r="F131" s="181"/>
      <c r="G131" s="179" t="s">
        <v>7155</v>
      </c>
      <c r="H131" s="190"/>
      <c r="I131" s="190"/>
      <c r="J131" s="187" t="s">
        <v>1782</v>
      </c>
      <c r="K131" s="187"/>
      <c r="L131" s="270" t="str">
        <f>IFERROR(__xludf.DUMMYFUNCTION("IF(
  AND(D131=""Saída"", J131=""Sangria""),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76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>
        <f>IFERROR(__xludf.DUMMYFUNCTION("ifna(VALUE(REGEXEXTRACT(E131,""[0-9.]+[,]+[0-9]+"")))"),190.0)</f>
        <v>190</v>
      </c>
      <c r="O131" s="309">
        <f>IFERROR(__xludf.DUMMYFUNCTION("""COMPUTED_VALUE"""),2058918.0)</f>
        <v>2058918</v>
      </c>
      <c r="P131" s="302">
        <f>IFERROR(__xludf.DUMMYFUNCTION("""COMPUTED_VALUE"""),46095.77400462963)</f>
        <v>46095.774</v>
      </c>
      <c r="Q131" s="301" t="str">
        <f>IFERROR(__xludf.DUMMYFUNCTION("""COMPUTED_VALUE"""),"Saída")</f>
        <v>Saída</v>
      </c>
      <c r="R131" s="303" t="str">
        <f>IFERROR(__xludf.DUMMYFUNCTION("""COMPUTED_VALUE"""),"R$ 165,56")</f>
        <v>R$ 165,56</v>
      </c>
      <c r="S131" s="301" t="str">
        <f>IFERROR(__xludf.DUMMYFUNCTION("""COMPUTED_VALUE"""),"FRUTAS")</f>
        <v>FRUTAS</v>
      </c>
      <c r="V131" s="301" t="str">
        <f>IFERROR(__xludf.DUMMYFUNCTION("""COMPUTED_VALUE"""),"Não Encontrada")</f>
        <v>Não Encontrada</v>
      </c>
      <c r="W131" s="25"/>
    </row>
    <row r="132" ht="14.25" customHeight="1">
      <c r="A132" s="178"/>
      <c r="B132" s="12">
        <v>2063442.0</v>
      </c>
      <c r="C132" s="13">
        <v>46096.94626157408</v>
      </c>
      <c r="D132" s="179" t="s">
        <v>81</v>
      </c>
      <c r="E132" s="180" t="s">
        <v>7156</v>
      </c>
      <c r="F132" s="181"/>
      <c r="G132" s="179" t="s">
        <v>460</v>
      </c>
      <c r="H132" s="190"/>
      <c r="I132" s="190"/>
      <c r="J132" s="187" t="s">
        <v>3151</v>
      </c>
      <c r="K132" s="187"/>
      <c r="L132" s="270" t="str">
        <f>IFERROR(__xludf.DUMMYFUNCTION("IF(
  AND(D132=""Saída"", J132=""Sangria""),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2" t="str">
        <f>IFERROR(__xludf.DUMMYFUNCTION("IF(J132=""Compra de Mercadorias"",
   IF(
      COUNTIF(ARRAYFORMULA(TRIM(CLEAN(TO_TEXT(Notas!BS:BS)))), TRIM(CLEAN(TO_TEXT(B132)))) &gt; 0,
      ""Encontrada"",
      ""Não Encontrada""
   ),
"""")"),"Não Encontrada")</f>
        <v>Não Encontrada</v>
      </c>
      <c r="N132" s="185">
        <f>IFERROR(__xludf.DUMMYFUNCTION("ifna(VALUE(REGEXEXTRACT(E132,""[0-9.]+[,]+[0-9]+"")))"),103.92)</f>
        <v>103.92</v>
      </c>
      <c r="O132" s="305">
        <f>IFERROR(__xludf.DUMMYFUNCTION("""COMPUTED_VALUE"""),2059539.0)</f>
        <v>2059539</v>
      </c>
      <c r="P132" s="306">
        <f>IFERROR(__xludf.DUMMYFUNCTION("""COMPUTED_VALUE"""),46095.897256944445)</f>
        <v>46095.89726</v>
      </c>
      <c r="Q132" s="305" t="str">
        <f>IFERROR(__xludf.DUMMYFUNCTION("""COMPUTED_VALUE"""),"Saída")</f>
        <v>Saída</v>
      </c>
      <c r="R132" s="307" t="str">
        <f>IFERROR(__xludf.DUMMYFUNCTION("""COMPUTED_VALUE"""),"R$ 38,36")</f>
        <v>R$ 38,36</v>
      </c>
      <c r="S132" s="305" t="str">
        <f>IFERROR(__xludf.DUMMYFUNCTION("""COMPUTED_VALUE"""),"CAFE FUNCIONARIOS")</f>
        <v>CAFE FUNCIONARIOS</v>
      </c>
      <c r="V132" s="305" t="str">
        <f>IFERROR(__xludf.DUMMYFUNCTION("""COMPUTED_VALUE"""),"Não Encontrada")</f>
        <v>Não Encontrada</v>
      </c>
      <c r="W132" s="25"/>
    </row>
    <row r="133" ht="14.25" customHeight="1">
      <c r="A133" s="178"/>
      <c r="B133" s="12">
        <v>2063479.0</v>
      </c>
      <c r="C133" s="13">
        <v>46096.949282407404</v>
      </c>
      <c r="D133" s="179" t="s">
        <v>81</v>
      </c>
      <c r="E133" s="180" t="s">
        <v>2900</v>
      </c>
      <c r="F133" s="181"/>
      <c r="G133" s="179" t="s">
        <v>381</v>
      </c>
      <c r="H133" s="190"/>
      <c r="I133" s="190"/>
      <c r="J133" s="187" t="s">
        <v>2735</v>
      </c>
      <c r="K133" s="187" t="s">
        <v>6576</v>
      </c>
      <c r="L133" s="270" t="str">
        <f>IFERROR(__xludf.DUMMYFUNCTION("IF(
  AND(D133=""Saída"", J133=""Sangria""),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"),"Confirmada")</f>
        <v>Confirmada</v>
      </c>
      <c r="M133" s="274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>
        <f>IFERROR(__xludf.DUMMYFUNCTION("ifna(VALUE(REGEXEXTRACT(E133,""[0-9.]+[,]+[0-9]+"")))"),2300.0)</f>
        <v>2300</v>
      </c>
      <c r="O133" s="301">
        <f>IFERROR(__xludf.DUMMYFUNCTION("""COMPUTED_VALUE"""),2063442.0)</f>
        <v>2063442</v>
      </c>
      <c r="P133" s="302">
        <f>IFERROR(__xludf.DUMMYFUNCTION("""COMPUTED_VALUE"""),46096.94626157408)</f>
        <v>46096.94626</v>
      </c>
      <c r="Q133" s="301" t="str">
        <f>IFERROR(__xludf.DUMMYFUNCTION("""COMPUTED_VALUE"""),"Saída")</f>
        <v>Saída</v>
      </c>
      <c r="R133" s="303" t="str">
        <f>IFERROR(__xludf.DUMMYFUNCTION("""COMPUTED_VALUE"""),"R$ 103,92")</f>
        <v>R$ 103,92</v>
      </c>
      <c r="S133" s="301" t="str">
        <f>IFERROR(__xludf.DUMMYFUNCTION("""COMPUTED_VALUE"""),"FRUTAS")</f>
        <v>FRUTAS</v>
      </c>
      <c r="V133" s="301" t="str">
        <f>IFERROR(__xludf.DUMMYFUNCTION("""COMPUTED_VALUE"""),"Não Encontrada")</f>
        <v>Não Encontrada</v>
      </c>
      <c r="W133" s="25"/>
    </row>
    <row r="134" ht="14.25" customHeight="1">
      <c r="A134" s="178"/>
      <c r="B134" s="12">
        <v>2064119.0</v>
      </c>
      <c r="C134" s="13">
        <v>46097.550729166665</v>
      </c>
      <c r="D134" s="179" t="s">
        <v>152</v>
      </c>
      <c r="E134" s="180" t="s">
        <v>536</v>
      </c>
      <c r="F134" s="181"/>
      <c r="G134" s="179" t="s">
        <v>267</v>
      </c>
      <c r="H134" s="190"/>
      <c r="I134" s="190"/>
      <c r="J134" s="187" t="s">
        <v>5195</v>
      </c>
      <c r="K134" s="187"/>
      <c r="L134" s="270" t="str">
        <f>IFERROR(__xludf.DUMMYFUNCTION("IF(
  AND(D134=""Saída"", J134=""Sangria""),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2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IFERROR(__xludf.DUMMYFUNCTION("ifna(VALUE(REGEXEXTRACT(E134,""[0-9.]+[,]+[0-9]+"")))"),80.0)</f>
        <v>80</v>
      </c>
      <c r="O134" s="305">
        <f>IFERROR(__xludf.DUMMYFUNCTION("""COMPUTED_VALUE"""),2065613.0)</f>
        <v>2065613</v>
      </c>
      <c r="P134" s="306">
        <f>IFERROR(__xludf.DUMMYFUNCTION("""COMPUTED_VALUE"""),46097.93326388889)</f>
        <v>46097.93326</v>
      </c>
      <c r="Q134" s="305" t="str">
        <f>IFERROR(__xludf.DUMMYFUNCTION("""COMPUTED_VALUE"""),"Saída")</f>
        <v>Saída</v>
      </c>
      <c r="R134" s="307" t="str">
        <f>IFERROR(__xludf.DUMMYFUNCTION("""COMPUTED_VALUE"""),"R$ 14,98")</f>
        <v>R$ 14,98</v>
      </c>
      <c r="S134" s="305" t="str">
        <f>IFERROR(__xludf.DUMMYFUNCTION("""COMPUTED_VALUE"""),"cafe funcionarios")</f>
        <v>cafe funcionarios</v>
      </c>
      <c r="V134" s="305" t="str">
        <f>IFERROR(__xludf.DUMMYFUNCTION("""COMPUTED_VALUE"""),"Não Encontrada")</f>
        <v>Não Encontrada</v>
      </c>
      <c r="W134" s="25"/>
    </row>
    <row r="135" ht="14.25" customHeight="1">
      <c r="A135" s="178"/>
      <c r="B135" s="12">
        <v>2065585.0</v>
      </c>
      <c r="C135" s="13">
        <v>46097.93084490741</v>
      </c>
      <c r="D135" s="179" t="s">
        <v>81</v>
      </c>
      <c r="E135" s="180" t="s">
        <v>910</v>
      </c>
      <c r="F135" s="181"/>
      <c r="G135" s="179" t="s">
        <v>128</v>
      </c>
      <c r="H135" s="190"/>
      <c r="I135" s="190"/>
      <c r="J135" s="187" t="s">
        <v>2735</v>
      </c>
      <c r="K135" s="187" t="s">
        <v>6576</v>
      </c>
      <c r="L135" s="270" t="str">
        <f>IFERROR(__xludf.DUMMYFUNCTION("IF(
  AND(D135=""Saída"", J135=""Sangria""),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"),"Confirmada")</f>
        <v>Confirmada</v>
      </c>
      <c r="M135" s="274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IFERROR(__xludf.DUMMYFUNCTION("ifna(VALUE(REGEXEXTRACT(E135,""[0-9.]+[,]+[0-9]+"")))"),1000.0)</f>
        <v>1000</v>
      </c>
      <c r="O135" s="301">
        <f>IFERROR(__xludf.DUMMYFUNCTION("""COMPUTED_VALUE"""),2067261.0)</f>
        <v>2067261</v>
      </c>
      <c r="P135" s="302">
        <f>IFERROR(__xludf.DUMMYFUNCTION("""COMPUTED_VALUE"""),46098.906053240746)</f>
        <v>46098.90605</v>
      </c>
      <c r="Q135" s="301" t="str">
        <f>IFERROR(__xludf.DUMMYFUNCTION("""COMPUTED_VALUE"""),"Saída")</f>
        <v>Saída</v>
      </c>
      <c r="R135" s="301" t="str">
        <f>IFERROR(__xludf.DUMMYFUNCTION("""COMPUTED_VALUE"""),"R$ 70,22")</f>
        <v>R$ 70,22</v>
      </c>
      <c r="S135" s="301" t="str">
        <f>IFERROR(__xludf.DUMMYFUNCTION("""COMPUTED_VALUE"""),"cafe funcionarios")</f>
        <v>cafe funcionarios</v>
      </c>
      <c r="V135" s="301" t="str">
        <f>IFERROR(__xludf.DUMMYFUNCTION("""COMPUTED_VALUE"""),"Não Encontrada")</f>
        <v>Não Encontrada</v>
      </c>
      <c r="W135" s="25"/>
    </row>
    <row r="136" ht="14.25" customHeight="1">
      <c r="A136" s="178"/>
      <c r="B136" s="12">
        <v>2065588.0</v>
      </c>
      <c r="C136" s="13">
        <v>46097.93101851852</v>
      </c>
      <c r="D136" s="179" t="s">
        <v>81</v>
      </c>
      <c r="E136" s="180" t="s">
        <v>659</v>
      </c>
      <c r="F136" s="188"/>
      <c r="G136" s="179" t="s">
        <v>7157</v>
      </c>
      <c r="H136" s="190"/>
      <c r="I136" s="190"/>
      <c r="J136" s="187" t="s">
        <v>2019</v>
      </c>
      <c r="K136" s="187" t="s">
        <v>2117</v>
      </c>
      <c r="L136" s="270" t="str">
        <f>IFERROR(__xludf.DUMMYFUNCTION("IF(
  AND(D136=""Saída"", J136=""Sangria""),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6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IFERROR(__xludf.DUMMYFUNCTION("ifna(VALUE(REGEXEXTRACT(E136,""[0-9.]+[,]+[0-9]+"")))"),5.0)</f>
        <v>5</v>
      </c>
      <c r="O136" s="305">
        <f>IFERROR(__xludf.DUMMYFUNCTION("""COMPUTED_VALUE"""),2069079.0)</f>
        <v>2069079</v>
      </c>
      <c r="P136" s="306">
        <f>IFERROR(__xludf.DUMMYFUNCTION("""COMPUTED_VALUE"""),46099.915868055556)</f>
        <v>46099.91587</v>
      </c>
      <c r="Q136" s="305" t="str">
        <f>IFERROR(__xludf.DUMMYFUNCTION("""COMPUTED_VALUE"""),"Saída")</f>
        <v>Saída</v>
      </c>
      <c r="R136" s="305" t="str">
        <f>IFERROR(__xludf.DUMMYFUNCTION("""COMPUTED_VALUE"""),"R$ 215,00")</f>
        <v>R$ 215,00</v>
      </c>
      <c r="S136" s="305" t="str">
        <f>IFERROR(__xludf.DUMMYFUNCTION("""COMPUTED_VALUE"""),"EMBALAGENS")</f>
        <v>EMBALAGENS</v>
      </c>
      <c r="V136" s="305" t="str">
        <f>IFERROR(__xludf.DUMMYFUNCTION("""COMPUTED_VALUE"""),"Não Encontrada")</f>
        <v>Não Encontrada</v>
      </c>
      <c r="W136" s="25"/>
    </row>
    <row r="137" ht="14.25" customHeight="1">
      <c r="A137" s="178"/>
      <c r="B137" s="12">
        <v>2065613.0</v>
      </c>
      <c r="C137" s="13">
        <v>46097.93326388889</v>
      </c>
      <c r="D137" s="179" t="s">
        <v>81</v>
      </c>
      <c r="E137" s="180" t="s">
        <v>7158</v>
      </c>
      <c r="F137" s="181"/>
      <c r="G137" s="179" t="s">
        <v>193</v>
      </c>
      <c r="H137" s="190"/>
      <c r="I137" s="190"/>
      <c r="J137" s="187" t="s">
        <v>3151</v>
      </c>
      <c r="K137" s="187"/>
      <c r="L137" s="270" t="str">
        <f>IFERROR(__xludf.DUMMYFUNCTION("IF(
  AND(D137=""Saída"", J137=""Sangria""),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74" t="str">
        <f>IFERROR(__xludf.DUMMYFUNCTION("IF(J137=""Compra de Mercadorias"",
   IF(
      COUNTIF(ARRAYFORMULA(TRIM(CLEAN(TO_TEXT(Notas!BS:BS)))), TRIM(CLEAN(TO_TEXT(B137)))) &gt; 0,
      ""Encontrada"",
      ""Não Encontrada""
   ),
"""")"),"Não Encontrada")</f>
        <v>Não Encontrada</v>
      </c>
      <c r="N137" s="185">
        <f>IFERROR(__xludf.DUMMYFUNCTION("ifna(VALUE(REGEXEXTRACT(E137,""[0-9.]+[,]+[0-9]+"")))"),14.98)</f>
        <v>14.98</v>
      </c>
      <c r="O137" s="301">
        <f>IFERROR(__xludf.DUMMYFUNCTION("""COMPUTED_VALUE"""),2069082.0)</f>
        <v>2069082</v>
      </c>
      <c r="P137" s="302">
        <f>IFERROR(__xludf.DUMMYFUNCTION("""COMPUTED_VALUE"""),46099.91612268519)</f>
        <v>46099.91612</v>
      </c>
      <c r="Q137" s="301" t="str">
        <f>IFERROR(__xludf.DUMMYFUNCTION("""COMPUTED_VALUE"""),"Saída")</f>
        <v>Saída</v>
      </c>
      <c r="R137" s="301" t="str">
        <f>IFERROR(__xludf.DUMMYFUNCTION("""COMPUTED_VALUE"""),"R$ 77,08")</f>
        <v>R$ 77,08</v>
      </c>
      <c r="S137" s="301" t="str">
        <f>IFERROR(__xludf.DUMMYFUNCTION("""COMPUTED_VALUE"""),"FRUTAS")</f>
        <v>FRUTAS</v>
      </c>
      <c r="V137" s="301" t="str">
        <f>IFERROR(__xludf.DUMMYFUNCTION("""COMPUTED_VALUE"""),"Não Encontrada")</f>
        <v>Não Encontrada</v>
      </c>
      <c r="W137" s="25"/>
    </row>
    <row r="138" ht="14.25" customHeight="1">
      <c r="A138" s="178"/>
      <c r="B138" s="12">
        <v>2066255.0</v>
      </c>
      <c r="C138" s="13">
        <v>46098.62469907408</v>
      </c>
      <c r="D138" s="179" t="s">
        <v>81</v>
      </c>
      <c r="E138" s="180" t="s">
        <v>5100</v>
      </c>
      <c r="F138" s="181"/>
      <c r="G138" s="179" t="s">
        <v>5821</v>
      </c>
      <c r="H138" s="190"/>
      <c r="I138" s="190"/>
      <c r="J138" s="187" t="s">
        <v>2438</v>
      </c>
      <c r="K138" s="187"/>
      <c r="L138" s="270" t="str">
        <f>IFERROR(__xludf.DUMMYFUNCTION("IF(
  AND(D138=""Saída"", J138=""Sangria""),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2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IFERROR(__xludf.DUMMYFUNCTION("ifna(VALUE(REGEXEXTRACT(E138,""[0-9.]+[,]+[0-9]+"")))"),20.76)</f>
        <v>20.76</v>
      </c>
      <c r="O138" s="305">
        <f>IFERROR(__xludf.DUMMYFUNCTION("""COMPUTED_VALUE"""),2071371.0)</f>
        <v>2071371</v>
      </c>
      <c r="P138" s="306">
        <f>IFERROR(__xludf.DUMMYFUNCTION("""COMPUTED_VALUE"""),46100.96241898148)</f>
        <v>46100.96242</v>
      </c>
      <c r="Q138" s="305" t="str">
        <f>IFERROR(__xludf.DUMMYFUNCTION("""COMPUTED_VALUE"""),"Saída")</f>
        <v>Saída</v>
      </c>
      <c r="R138" s="305" t="str">
        <f>IFERROR(__xludf.DUMMYFUNCTION("""COMPUTED_VALUE"""),"R$ 25,80")</f>
        <v>R$ 25,80</v>
      </c>
      <c r="S138" s="305" t="str">
        <f>IFERROR(__xludf.DUMMYFUNCTION("""COMPUTED_VALUE"""),"EMBALAGENS")</f>
        <v>EMBALAGENS</v>
      </c>
      <c r="V138" s="305" t="str">
        <f>IFERROR(__xludf.DUMMYFUNCTION("""COMPUTED_VALUE"""),"Não Encontrada")</f>
        <v>Não Encontrada</v>
      </c>
      <c r="W138" s="25"/>
    </row>
    <row r="139" ht="14.25" customHeight="1">
      <c r="A139" s="178"/>
      <c r="B139" s="12">
        <v>2067012.0</v>
      </c>
      <c r="C139" s="13">
        <v>46098.839837962965</v>
      </c>
      <c r="D139" s="179" t="s">
        <v>152</v>
      </c>
      <c r="E139" s="180" t="s">
        <v>5496</v>
      </c>
      <c r="F139" s="181"/>
      <c r="G139" s="179" t="s">
        <v>7159</v>
      </c>
      <c r="H139" s="190"/>
      <c r="I139" s="190"/>
      <c r="J139" s="187" t="s">
        <v>5195</v>
      </c>
      <c r="K139" s="187"/>
      <c r="L139" s="270" t="str">
        <f>IFERROR(__xludf.DUMMYFUNCTION("IF(
  AND(D139=""Saída"", J139=""Sangria""),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74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IFERROR(__xludf.DUMMYFUNCTION("ifna(VALUE(REGEXEXTRACT(E139,""[0-9.]+[,]+[0-9]+"")))"),24.0)</f>
        <v>24</v>
      </c>
      <c r="O139" s="301">
        <f>IFERROR(__xludf.DUMMYFUNCTION("""COMPUTED_VALUE"""),2079854.0)</f>
        <v>2079854</v>
      </c>
      <c r="P139" s="310">
        <f>IFERROR(__xludf.DUMMYFUNCTION("""COMPUTED_VALUE"""),46104.56841435185)</f>
        <v>46104.56841</v>
      </c>
      <c r="Q139" s="301" t="str">
        <f>IFERROR(__xludf.DUMMYFUNCTION("""COMPUTED_VALUE"""),"Saída")</f>
        <v>Saída</v>
      </c>
      <c r="R139" s="301" t="str">
        <f>IFERROR(__xludf.DUMMYFUNCTION("""COMPUTED_VALUE"""),"R$ 30,40")</f>
        <v>R$ 30,40</v>
      </c>
      <c r="S139" s="301" t="str">
        <f>IFERROR(__xludf.DUMMYFUNCTION("""COMPUTED_VALUE"""),"MANUTENÇÃO LOJA")</f>
        <v>MANUTENÇÃO LOJA</v>
      </c>
      <c r="V139" s="301" t="str">
        <f>IFERROR(__xludf.DUMMYFUNCTION("""COMPUTED_VALUE"""),"Não Encontrada")</f>
        <v>Não Encontrada</v>
      </c>
      <c r="W139" s="25"/>
    </row>
    <row r="140" ht="14.25" customHeight="1">
      <c r="A140" s="178"/>
      <c r="B140" s="12">
        <v>2067261.0</v>
      </c>
      <c r="C140" s="13">
        <v>46098.90605324074</v>
      </c>
      <c r="D140" s="179" t="s">
        <v>81</v>
      </c>
      <c r="E140" s="180" t="s">
        <v>7160</v>
      </c>
      <c r="F140" s="181"/>
      <c r="G140" s="179" t="s">
        <v>193</v>
      </c>
      <c r="H140" s="190"/>
      <c r="I140" s="190"/>
      <c r="J140" s="187" t="s">
        <v>3151</v>
      </c>
      <c r="K140" s="187"/>
      <c r="L140" s="270" t="str">
        <f>IFERROR(__xludf.DUMMYFUNCTION("IF(
  AND(D140=""Saída"", J140=""Sangria""),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2" t="str">
        <f>IFERROR(__xludf.DUMMYFUNCTION("IF(J140=""Compra de Mercadorias"",
   IF(
      COUNTIF(ARRAYFORMULA(TRIM(CLEAN(TO_TEXT(Notas!BS:BS)))), TRIM(CLEAN(TO_TEXT(B140)))) &gt; 0,
      ""Encontrada"",
      ""Não Encontrada""
   ),
"""")"),"Não Encontrada")</f>
        <v>Não Encontrada</v>
      </c>
      <c r="N140" s="185">
        <f>IFERROR(__xludf.DUMMYFUNCTION("ifna(VALUE(REGEXEXTRACT(E140,""[0-9.]+[,]+[0-9]+"")))"),70.22)</f>
        <v>70.22</v>
      </c>
      <c r="O140" s="305">
        <f>IFERROR(__xludf.DUMMYFUNCTION("""COMPUTED_VALUE"""),2079855.0)</f>
        <v>2079855</v>
      </c>
      <c r="P140" s="306">
        <f>IFERROR(__xludf.DUMMYFUNCTION("""COMPUTED_VALUE"""),46104.56854166667)</f>
        <v>46104.56854</v>
      </c>
      <c r="Q140" s="305" t="str">
        <f>IFERROR(__xludf.DUMMYFUNCTION("""COMPUTED_VALUE"""),"Saída")</f>
        <v>Saída</v>
      </c>
      <c r="R140" s="305" t="str">
        <f>IFERROR(__xludf.DUMMYFUNCTION("""COMPUTED_VALUE"""),"R$ 159,90")</f>
        <v>R$ 159,90</v>
      </c>
      <c r="S140" s="305" t="str">
        <f>IFERROR(__xludf.DUMMYFUNCTION("""COMPUTED_VALUE"""),"MANUTENÇÃO LOJA")</f>
        <v>MANUTENÇÃO LOJA</v>
      </c>
      <c r="V140" s="305" t="str">
        <f>IFERROR(__xludf.DUMMYFUNCTION("""COMPUTED_VALUE"""),"Não Encontrada")</f>
        <v>Não Encontrada</v>
      </c>
      <c r="W140" s="25"/>
    </row>
    <row r="141" ht="14.25" customHeight="1">
      <c r="A141" s="178"/>
      <c r="B141" s="12">
        <v>2067332.0</v>
      </c>
      <c r="C141" s="13">
        <v>46098.91648148148</v>
      </c>
      <c r="D141" s="179" t="s">
        <v>81</v>
      </c>
      <c r="E141" s="180" t="s">
        <v>200</v>
      </c>
      <c r="F141" s="188"/>
      <c r="G141" s="179" t="s">
        <v>128</v>
      </c>
      <c r="H141" s="190"/>
      <c r="I141" s="190"/>
      <c r="J141" s="187" t="s">
        <v>2735</v>
      </c>
      <c r="K141" s="187" t="s">
        <v>6576</v>
      </c>
      <c r="L141" s="270" t="str">
        <f>IFERROR(__xludf.DUMMYFUNCTION("IF(
  AND(D141=""Saída"", J141=""Sangria""),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"),"Confirmada")</f>
        <v>Confirmada</v>
      </c>
      <c r="M141" s="274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>
        <f>IFERROR(__xludf.DUMMYFUNCTION("ifna(VALUE(REGEXEXTRACT(E141,""[0-9.]+[,]+[0-9]+"")))"),300.0)</f>
        <v>300</v>
      </c>
      <c r="O141" s="304">
        <f>IFERROR(__xludf.DUMMYFUNCTION("""COMPUTED_VALUE"""),2081225.0)</f>
        <v>2081225</v>
      </c>
      <c r="P141" s="302">
        <f>IFERROR(__xludf.DUMMYFUNCTION("""COMPUTED_VALUE"""),46104.94258101852)</f>
        <v>46104.94258</v>
      </c>
      <c r="Q141" s="304" t="str">
        <f>IFERROR(__xludf.DUMMYFUNCTION("""COMPUTED_VALUE"""),"Saída")</f>
        <v>Saída</v>
      </c>
      <c r="R141" s="304" t="str">
        <f>IFERROR(__xludf.DUMMYFUNCTION("""COMPUTED_VALUE"""),"R$ 11,98")</f>
        <v>R$ 11,98</v>
      </c>
      <c r="S141" s="304" t="str">
        <f>IFERROR(__xludf.DUMMYFUNCTION("""COMPUTED_VALUE"""),"cafe funcionarios")</f>
        <v>cafe funcionarios</v>
      </c>
      <c r="V141" s="304" t="str">
        <f>IFERROR(__xludf.DUMMYFUNCTION("""COMPUTED_VALUE"""),"Não Encontrada")</f>
        <v>Não Encontrada</v>
      </c>
      <c r="W141" s="185"/>
    </row>
    <row r="142" ht="14.25" customHeight="1">
      <c r="A142" s="178"/>
      <c r="B142" s="12">
        <v>2069065.0</v>
      </c>
      <c r="C142" s="13">
        <v>46099.914143518516</v>
      </c>
      <c r="D142" s="179" t="s">
        <v>81</v>
      </c>
      <c r="E142" s="180" t="s">
        <v>7161</v>
      </c>
      <c r="F142" s="181"/>
      <c r="G142" s="179" t="s">
        <v>7059</v>
      </c>
      <c r="H142" s="190"/>
      <c r="I142" s="190"/>
      <c r="J142" s="187" t="s">
        <v>2019</v>
      </c>
      <c r="K142" s="187" t="s">
        <v>2117</v>
      </c>
      <c r="L142" s="270" t="str">
        <f>IFERROR(__xludf.DUMMYFUNCTION("IF(
  AND(D142=""Saída"", J142=""Sangria""),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2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>
        <f>IFERROR(__xludf.DUMMYFUNCTION("ifna(VALUE(REGEXEXTRACT(E142,""[0-9.]+[,]+[0-9]+"")))"),13.96)</f>
        <v>13.96</v>
      </c>
      <c r="O142" s="308"/>
      <c r="P142" s="313"/>
      <c r="Q142" s="308"/>
      <c r="R142" s="308"/>
      <c r="S142" s="308"/>
      <c r="V142" s="308"/>
      <c r="W142" s="185"/>
    </row>
    <row r="143" ht="14.25" customHeight="1">
      <c r="A143" s="178"/>
      <c r="B143" s="12">
        <v>2069079.0</v>
      </c>
      <c r="C143" s="13">
        <v>46099.915868055556</v>
      </c>
      <c r="D143" s="179" t="s">
        <v>81</v>
      </c>
      <c r="E143" s="180" t="s">
        <v>6495</v>
      </c>
      <c r="F143" s="188"/>
      <c r="G143" s="179" t="s">
        <v>5054</v>
      </c>
      <c r="H143" s="190"/>
      <c r="I143" s="190"/>
      <c r="J143" s="187" t="s">
        <v>3151</v>
      </c>
      <c r="K143" s="187"/>
      <c r="L143" s="270" t="str">
        <f>IFERROR(__xludf.DUMMYFUNCTION("IF(
  AND(D143=""Saída"", J143=""Sangria""),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74" t="str">
        <f>IFERROR(__xludf.DUMMYFUNCTION("IF(J143=""Compra de Mercadorias"",
   IF(
      COUNTIF(ARRAYFORMULA(TRIM(CLEAN(TO_TEXT(Notas!BS:BS)))), TRIM(CLEAN(TO_TEXT(B143)))) &gt; 0,
      ""Encontrada"",
      ""Não Encontrada""
   ),
"""")"),"Não Encontrada")</f>
        <v>Não Encontrada</v>
      </c>
      <c r="N143" s="185">
        <f>IFERROR(__xludf.DUMMYFUNCTION("ifna(VALUE(REGEXEXTRACT(E143,""[0-9.]+[,]+[0-9]+"")))"),215.0)</f>
        <v>215</v>
      </c>
      <c r="O143" s="304"/>
      <c r="P143" s="312"/>
      <c r="Q143" s="304"/>
      <c r="R143" s="304"/>
      <c r="S143" s="304"/>
      <c r="V143" s="304"/>
      <c r="W143" s="185"/>
    </row>
    <row r="144" ht="14.25" customHeight="1">
      <c r="A144" s="178"/>
      <c r="B144" s="12">
        <v>2069082.0</v>
      </c>
      <c r="C144" s="13">
        <v>46099.91612268519</v>
      </c>
      <c r="D144" s="179" t="s">
        <v>81</v>
      </c>
      <c r="E144" s="180" t="s">
        <v>7162</v>
      </c>
      <c r="F144" s="181"/>
      <c r="G144" s="179" t="s">
        <v>460</v>
      </c>
      <c r="H144" s="190"/>
      <c r="I144" s="190"/>
      <c r="J144" s="187" t="s">
        <v>3151</v>
      </c>
      <c r="K144" s="187"/>
      <c r="L144" s="270" t="str">
        <f>IFERROR(__xludf.DUMMYFUNCTION("IF(
  AND(D144=""Saída"", J144=""Sangria""),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2" t="str">
        <f>IFERROR(__xludf.DUMMYFUNCTION("IF(J144=""Compra de Mercadorias"",
   IF(
      COUNTIF(ARRAYFORMULA(TRIM(CLEAN(TO_TEXT(Notas!BS:BS)))), TRIM(CLEAN(TO_TEXT(B144)))) &gt; 0,
      ""Encontrada"",
      ""Não Encontrada""
   ),
"""")"),"Não Encontrada")</f>
        <v>Não Encontrada</v>
      </c>
      <c r="N144" s="185">
        <f>IFERROR(__xludf.DUMMYFUNCTION("ifna(VALUE(REGEXEXTRACT(E144,""[0-9.]+[,]+[0-9]+"")))"),77.08)</f>
        <v>77.08</v>
      </c>
      <c r="O144" s="308"/>
      <c r="P144" s="313"/>
      <c r="Q144" s="308"/>
      <c r="R144" s="308"/>
      <c r="S144" s="308"/>
      <c r="V144" s="308"/>
      <c r="W144" s="185"/>
    </row>
    <row r="145" ht="14.25" customHeight="1">
      <c r="A145" s="178"/>
      <c r="B145" s="12">
        <v>2069158.0</v>
      </c>
      <c r="C145" s="13">
        <v>46099.92074074074</v>
      </c>
      <c r="D145" s="179" t="s">
        <v>81</v>
      </c>
      <c r="E145" s="180" t="s">
        <v>5437</v>
      </c>
      <c r="F145" s="181"/>
      <c r="G145" s="179" t="s">
        <v>381</v>
      </c>
      <c r="H145" s="190"/>
      <c r="I145" s="190"/>
      <c r="J145" s="187" t="s">
        <v>2735</v>
      </c>
      <c r="K145" s="187" t="s">
        <v>6576</v>
      </c>
      <c r="L145" s="270" t="str">
        <f>IFERROR(__xludf.DUMMYFUNCTION("IF(
  AND(D145=""Saída"", J145=""Sangria""),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"),"Confirmada")</f>
        <v>Confirmada</v>
      </c>
      <c r="M145" s="274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IFERROR(__xludf.DUMMYFUNCTION("ifna(VALUE(REGEXEXTRACT(E145,""[0-9.]+[,]+[0-9]+"")))"),600.0)</f>
        <v>600</v>
      </c>
      <c r="O145" s="304"/>
      <c r="P145" s="312"/>
      <c r="Q145" s="304"/>
      <c r="R145" s="304"/>
      <c r="S145" s="304"/>
      <c r="V145" s="304"/>
      <c r="W145" s="185"/>
    </row>
    <row r="146" ht="14.25" customHeight="1">
      <c r="A146" s="178"/>
      <c r="B146" s="12">
        <v>2071371.0</v>
      </c>
      <c r="C146" s="13">
        <v>46100.96241898148</v>
      </c>
      <c r="D146" s="179" t="s">
        <v>81</v>
      </c>
      <c r="E146" s="180" t="s">
        <v>6909</v>
      </c>
      <c r="F146" s="181"/>
      <c r="G146" s="179" t="s">
        <v>5054</v>
      </c>
      <c r="H146" s="190"/>
      <c r="I146" s="190"/>
      <c r="J146" s="187" t="s">
        <v>3151</v>
      </c>
      <c r="K146" s="187"/>
      <c r="L146" s="270" t="str">
        <f>IFERROR(__xludf.DUMMYFUNCTION("IF(
  AND(D146=""Saída"", J146=""Sangria""),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2" t="str">
        <f>IFERROR(__xludf.DUMMYFUNCTION("IF(J146=""Compra de Mercadorias"",
   IF(
      COUNTIF(ARRAYFORMULA(TRIM(CLEAN(TO_TEXT(Notas!BS:BS)))), TRIM(CLEAN(TO_TEXT(B146)))) &gt; 0,
      ""Encontrada"",
      ""Não Encontrada""
   ),
"""")"),"Não Encontrada")</f>
        <v>Não Encontrada</v>
      </c>
      <c r="N146" s="185">
        <f>IFERROR(__xludf.DUMMYFUNCTION("ifna(VALUE(REGEXEXTRACT(E146,""[0-9.]+[,]+[0-9]+"")))"),25.8)</f>
        <v>25.8</v>
      </c>
      <c r="O146" s="308"/>
      <c r="P146" s="313"/>
      <c r="Q146" s="308"/>
      <c r="R146" s="308"/>
      <c r="S146" s="308"/>
      <c r="V146" s="308"/>
      <c r="W146" s="185"/>
    </row>
    <row r="147" ht="14.25" customHeight="1">
      <c r="A147" s="178"/>
      <c r="B147" s="12">
        <v>2071375.0</v>
      </c>
      <c r="C147" s="13">
        <v>46100.96263888889</v>
      </c>
      <c r="D147" s="179" t="s">
        <v>81</v>
      </c>
      <c r="E147" s="180" t="s">
        <v>7163</v>
      </c>
      <c r="F147" s="181"/>
      <c r="G147" s="179" t="s">
        <v>7164</v>
      </c>
      <c r="H147" s="190"/>
      <c r="I147" s="190"/>
      <c r="J147" s="187" t="s">
        <v>2438</v>
      </c>
      <c r="K147" s="187"/>
      <c r="L147" s="270" t="str">
        <f>IFERROR(__xludf.DUMMYFUNCTION("IF(
  AND(D147=""Saída"", J147=""Sangria""),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74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>
        <f>IFERROR(__xludf.DUMMYFUNCTION("ifna(VALUE(REGEXEXTRACT(E147,""[0-9.]+[,]+[0-9]+"")))"),72.45)</f>
        <v>72.45</v>
      </c>
      <c r="O147" s="304"/>
      <c r="P147" s="312"/>
      <c r="Q147" s="304"/>
      <c r="R147" s="304"/>
      <c r="S147" s="304"/>
      <c r="V147" s="304"/>
      <c r="W147" s="185"/>
    </row>
    <row r="148" ht="14.25" customHeight="1">
      <c r="A148" s="178"/>
      <c r="B148" s="12">
        <v>2071377.0</v>
      </c>
      <c r="C148" s="13">
        <v>46100.96287037037</v>
      </c>
      <c r="D148" s="179" t="s">
        <v>81</v>
      </c>
      <c r="E148" s="180" t="s">
        <v>7165</v>
      </c>
      <c r="F148" s="181"/>
      <c r="G148" s="179" t="s">
        <v>656</v>
      </c>
      <c r="H148" s="190"/>
      <c r="I148" s="190"/>
      <c r="J148" s="187" t="s">
        <v>2019</v>
      </c>
      <c r="K148" s="187" t="s">
        <v>2078</v>
      </c>
      <c r="L148" s="270" t="str">
        <f>IFERROR(__xludf.DUMMYFUNCTION("IF(
  AND(D148=""Saída"", J148=""Sangria""),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2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IFERROR(__xludf.DUMMYFUNCTION("ifna(VALUE(REGEXEXTRACT(E148,""[0-9.]+[,]+[0-9]+"")))"),13.04)</f>
        <v>13.04</v>
      </c>
      <c r="O148" s="308"/>
      <c r="P148" s="313"/>
      <c r="Q148" s="308"/>
      <c r="R148" s="308"/>
      <c r="S148" s="308"/>
      <c r="V148" s="308"/>
      <c r="W148" s="185"/>
    </row>
    <row r="149" ht="14.25" customHeight="1">
      <c r="A149" s="178"/>
      <c r="B149" s="12">
        <v>2071379.0</v>
      </c>
      <c r="C149" s="13">
        <v>46100.96310185185</v>
      </c>
      <c r="D149" s="179" t="s">
        <v>81</v>
      </c>
      <c r="E149" s="180" t="s">
        <v>6872</v>
      </c>
      <c r="F149" s="188"/>
      <c r="G149" s="179" t="s">
        <v>7166</v>
      </c>
      <c r="H149" s="190"/>
      <c r="I149" s="190"/>
      <c r="J149" s="187" t="s">
        <v>2019</v>
      </c>
      <c r="K149" s="187" t="s">
        <v>2117</v>
      </c>
      <c r="L149" s="270" t="str">
        <f>IFERROR(__xludf.DUMMYFUNCTION("IF(
  AND(D149=""Saída"", J149=""Sangria""),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74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IFERROR(__xludf.DUMMYFUNCTION("ifna(VALUE(REGEXEXTRACT(E149,""[0-9.]+[,]+[0-9]+"")))"),10.06)</f>
        <v>10.06</v>
      </c>
      <c r="O149" s="304"/>
      <c r="P149" s="312"/>
      <c r="Q149" s="304"/>
      <c r="R149" s="304"/>
      <c r="S149" s="304"/>
      <c r="V149" s="304"/>
      <c r="W149" s="185"/>
    </row>
    <row r="150" ht="14.25" customHeight="1">
      <c r="A150" s="178"/>
      <c r="B150" s="12">
        <v>2071419.0</v>
      </c>
      <c r="C150" s="13">
        <v>46100.97033564815</v>
      </c>
      <c r="D150" s="179" t="s">
        <v>81</v>
      </c>
      <c r="E150" s="180" t="s">
        <v>1005</v>
      </c>
      <c r="F150" s="181"/>
      <c r="G150" s="179" t="s">
        <v>381</v>
      </c>
      <c r="H150" s="190"/>
      <c r="I150" s="190"/>
      <c r="J150" s="187" t="s">
        <v>2735</v>
      </c>
      <c r="K150" s="187" t="s">
        <v>6576</v>
      </c>
      <c r="L150" s="270" t="str">
        <f>IFERROR(__xludf.DUMMYFUNCTION("IF(
  AND(D150=""Saída"", J150=""Sangria""),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"),"Confirmada")</f>
        <v>Confirmada</v>
      </c>
      <c r="M150" s="272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IFERROR(__xludf.DUMMYFUNCTION("ifna(VALUE(REGEXEXTRACT(E150,""[0-9.]+[,]+[0-9]+"")))"),1250.0)</f>
        <v>1250</v>
      </c>
      <c r="O150" s="308"/>
      <c r="P150" s="313"/>
      <c r="Q150" s="308"/>
      <c r="R150" s="308"/>
      <c r="S150" s="308"/>
      <c r="V150" s="308"/>
      <c r="W150" s="185"/>
    </row>
    <row r="151" ht="14.25" customHeight="1">
      <c r="A151" s="178"/>
      <c r="B151" s="12">
        <v>2072821.0</v>
      </c>
      <c r="C151" s="13">
        <v>46101.864224537036</v>
      </c>
      <c r="D151" s="179" t="s">
        <v>81</v>
      </c>
      <c r="E151" s="180" t="s">
        <v>7167</v>
      </c>
      <c r="F151" s="181"/>
      <c r="G151" s="179" t="s">
        <v>7049</v>
      </c>
      <c r="H151" s="190"/>
      <c r="I151" s="190"/>
      <c r="J151" s="187" t="s">
        <v>2019</v>
      </c>
      <c r="K151" s="187" t="s">
        <v>6745</v>
      </c>
      <c r="L151" s="270" t="str">
        <f>IFERROR(__xludf.DUMMYFUNCTION("IF(
  AND(D151=""Saída"", J151=""Sangria""),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74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IFERROR(__xludf.DUMMYFUNCTION("ifna(VALUE(REGEXEXTRACT(E151,""[0-9.]+[,]+[0-9]+"")))"),6.92)</f>
        <v>6.92</v>
      </c>
      <c r="O151" s="304"/>
      <c r="P151" s="312"/>
      <c r="Q151" s="304"/>
      <c r="R151" s="304"/>
      <c r="S151" s="304"/>
      <c r="V151" s="304"/>
      <c r="W151" s="185"/>
    </row>
    <row r="152" ht="14.25" customHeight="1">
      <c r="A152" s="178"/>
      <c r="B152" s="12">
        <v>2072823.0</v>
      </c>
      <c r="C152" s="13">
        <v>46101.864652777775</v>
      </c>
      <c r="D152" s="179" t="s">
        <v>81</v>
      </c>
      <c r="E152" s="180" t="s">
        <v>7168</v>
      </c>
      <c r="F152" s="181"/>
      <c r="G152" s="179" t="s">
        <v>5810</v>
      </c>
      <c r="H152" s="190"/>
      <c r="I152" s="190"/>
      <c r="J152" s="187" t="s">
        <v>2019</v>
      </c>
      <c r="K152" s="187" t="s">
        <v>2117</v>
      </c>
      <c r="L152" s="270" t="str">
        <f>IFERROR(__xludf.DUMMYFUNCTION("IF(
  AND(D152=""Saída"", J152=""Sangria""),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2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IFERROR(__xludf.DUMMYFUNCTION("ifna(VALUE(REGEXEXTRACT(E152,""[0-9.]+[,]+[0-9]+"")))"),15.83)</f>
        <v>15.83</v>
      </c>
      <c r="O152" s="308"/>
      <c r="P152" s="313"/>
      <c r="Q152" s="308"/>
      <c r="R152" s="308"/>
      <c r="S152" s="308"/>
      <c r="V152" s="308"/>
      <c r="W152" s="185"/>
    </row>
    <row r="153" ht="14.25" customHeight="1">
      <c r="A153" s="178"/>
      <c r="B153" s="12">
        <v>2072824.0</v>
      </c>
      <c r="C153" s="13">
        <v>46101.864895833336</v>
      </c>
      <c r="D153" s="179" t="s">
        <v>81</v>
      </c>
      <c r="E153" s="180" t="s">
        <v>979</v>
      </c>
      <c r="F153" s="181"/>
      <c r="G153" s="179" t="s">
        <v>568</v>
      </c>
      <c r="H153" s="190"/>
      <c r="I153" s="190"/>
      <c r="J153" s="187" t="s">
        <v>2019</v>
      </c>
      <c r="K153" s="187" t="s">
        <v>2078</v>
      </c>
      <c r="L153" s="270" t="str">
        <f>IFERROR(__xludf.DUMMYFUNCTION("IF(
  AND(D153=""Saída"", J153=""Sangria""),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74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IFERROR(__xludf.DUMMYFUNCTION("ifna(VALUE(REGEXEXTRACT(E153,""[0-9.]+[,]+[0-9]+"")))"),3.0)</f>
        <v>3</v>
      </c>
      <c r="O153" s="304"/>
      <c r="P153" s="312"/>
      <c r="Q153" s="304"/>
      <c r="R153" s="304"/>
      <c r="S153" s="304"/>
      <c r="V153" s="304"/>
      <c r="W153" s="185"/>
    </row>
    <row r="154" ht="14.25" customHeight="1">
      <c r="A154" s="178"/>
      <c r="B154" s="12">
        <v>2072852.0</v>
      </c>
      <c r="C154" s="13">
        <v>46101.87275462963</v>
      </c>
      <c r="D154" s="179" t="s">
        <v>81</v>
      </c>
      <c r="E154" s="180" t="s">
        <v>855</v>
      </c>
      <c r="F154" s="181"/>
      <c r="G154" s="179" t="s">
        <v>577</v>
      </c>
      <c r="H154" s="190"/>
      <c r="I154" s="190"/>
      <c r="J154" s="187" t="s">
        <v>3375</v>
      </c>
      <c r="K154" s="187"/>
      <c r="L154" s="270" t="str">
        <f>IFERROR(__xludf.DUMMYFUNCTION("IF(
  AND(D154=""Saída"", J154=""Sangria""),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2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>
        <f>IFERROR(__xludf.DUMMYFUNCTION("ifna(VALUE(REGEXEXTRACT(E154,""[0-9.]+[,]+[0-9]+"")))"),8.0)</f>
        <v>8</v>
      </c>
      <c r="O154" s="308"/>
      <c r="P154" s="313"/>
      <c r="Q154" s="308"/>
      <c r="R154" s="308"/>
      <c r="S154" s="308"/>
      <c r="V154" s="308"/>
      <c r="W154" s="185"/>
    </row>
    <row r="155" ht="14.25" customHeight="1">
      <c r="A155" s="178"/>
      <c r="B155" s="12">
        <v>2073463.0</v>
      </c>
      <c r="C155" s="13">
        <v>46101.961493055554</v>
      </c>
      <c r="D155" s="179" t="s">
        <v>81</v>
      </c>
      <c r="E155" s="180" t="s">
        <v>411</v>
      </c>
      <c r="F155" s="188"/>
      <c r="G155" s="179" t="s">
        <v>128</v>
      </c>
      <c r="H155" s="190"/>
      <c r="I155" s="190"/>
      <c r="J155" s="187" t="s">
        <v>2735</v>
      </c>
      <c r="K155" s="187" t="s">
        <v>6576</v>
      </c>
      <c r="L155" s="270" t="str">
        <f>IFERROR(__xludf.DUMMYFUNCTION("IF(
  AND(D155=""Saída"", J155=""Sangria""),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"),"Confirmada")</f>
        <v>Confirmada</v>
      </c>
      <c r="M155" s="274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IFERROR(__xludf.DUMMYFUNCTION("ifna(VALUE(REGEXEXTRACT(E155,""[0-9.]+[,]+[0-9]+"")))"),1450.0)</f>
        <v>1450</v>
      </c>
      <c r="O155" s="304"/>
      <c r="P155" s="312"/>
      <c r="Q155" s="304"/>
      <c r="R155" s="304"/>
      <c r="S155" s="304"/>
      <c r="V155" s="304"/>
      <c r="W155" s="185"/>
    </row>
    <row r="156" ht="14.25" customHeight="1">
      <c r="A156" s="178"/>
      <c r="B156" s="12">
        <v>2073913.0</v>
      </c>
      <c r="C156" s="13">
        <v>46102.58692129629</v>
      </c>
      <c r="D156" s="179" t="s">
        <v>152</v>
      </c>
      <c r="E156" s="180" t="s">
        <v>7169</v>
      </c>
      <c r="F156" s="181"/>
      <c r="G156" s="179" t="s">
        <v>158</v>
      </c>
      <c r="H156" s="190"/>
      <c r="I156" s="190"/>
      <c r="J156" s="187" t="s">
        <v>5195</v>
      </c>
      <c r="K156" s="187"/>
      <c r="L156" s="270" t="str">
        <f>IFERROR(__xludf.DUMMYFUNCTION("IF(
  AND(D156=""Saída"", J156=""Sangria""),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2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IFERROR(__xludf.DUMMYFUNCTION("ifna(VALUE(REGEXEXTRACT(E156,""[0-9.]+[,]+[0-9]+"")))"),31.05)</f>
        <v>31.05</v>
      </c>
      <c r="O156" s="308"/>
      <c r="P156" s="313"/>
      <c r="Q156" s="308"/>
      <c r="R156" s="308"/>
      <c r="S156" s="308"/>
      <c r="V156" s="308"/>
      <c r="W156" s="185"/>
    </row>
    <row r="157" ht="14.25" customHeight="1">
      <c r="A157" s="178"/>
      <c r="B157" s="12">
        <v>2074965.0</v>
      </c>
      <c r="C157" s="13">
        <v>46102.79990740741</v>
      </c>
      <c r="D157" s="179" t="s">
        <v>81</v>
      </c>
      <c r="E157" s="180" t="s">
        <v>5424</v>
      </c>
      <c r="F157" s="181"/>
      <c r="G157" s="179" t="s">
        <v>381</v>
      </c>
      <c r="H157" s="190"/>
      <c r="I157" s="190"/>
      <c r="J157" s="187" t="s">
        <v>2735</v>
      </c>
      <c r="K157" s="187" t="s">
        <v>6576</v>
      </c>
      <c r="L157" s="270" t="str">
        <f>IFERROR(__xludf.DUMMYFUNCTION("IF(
  AND(D157=""Saída"", J157=""Sangria""),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"),"Confirmada")</f>
        <v>Confirmada</v>
      </c>
      <c r="M157" s="274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>
        <f>IFERROR(__xludf.DUMMYFUNCTION("ifna(VALUE(REGEXEXTRACT(E157,""[0-9.]+[,]+[0-9]+"")))"),1500.0)</f>
        <v>1500</v>
      </c>
      <c r="O157" s="304"/>
      <c r="P157" s="312"/>
      <c r="Q157" s="304"/>
      <c r="R157" s="304"/>
      <c r="S157" s="304"/>
      <c r="V157" s="304"/>
      <c r="W157" s="185"/>
    </row>
    <row r="158" ht="14.25" customHeight="1">
      <c r="A158" s="178"/>
      <c r="B158" s="12">
        <v>2076177.0</v>
      </c>
      <c r="C158" s="13">
        <v>46102.9525462963</v>
      </c>
      <c r="D158" s="179" t="s">
        <v>81</v>
      </c>
      <c r="E158" s="180" t="s">
        <v>3486</v>
      </c>
      <c r="F158" s="181"/>
      <c r="G158" s="179" t="s">
        <v>128</v>
      </c>
      <c r="H158" s="190"/>
      <c r="I158" s="190"/>
      <c r="J158" s="187" t="s">
        <v>2735</v>
      </c>
      <c r="K158" s="187" t="s">
        <v>6576</v>
      </c>
      <c r="L158" s="270" t="str">
        <f>IFERROR(__xludf.DUMMYFUNCTION("IF(
  AND(D158=""Saída"", J158=""Sangria""),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"),"Confirmada")</f>
        <v>Confirmada</v>
      </c>
      <c r="M158" s="272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>
        <f>IFERROR(__xludf.DUMMYFUNCTION("ifna(VALUE(REGEXEXTRACT(E158,""[0-9.]+[,]+[0-9]+"")))"),500.0)</f>
        <v>500</v>
      </c>
      <c r="O158" s="308"/>
      <c r="P158" s="313"/>
      <c r="Q158" s="308"/>
      <c r="R158" s="308"/>
      <c r="S158" s="308"/>
      <c r="V158" s="308"/>
      <c r="W158" s="185"/>
    </row>
    <row r="159" ht="14.25" customHeight="1">
      <c r="A159" s="178"/>
      <c r="B159" s="12">
        <v>2078733.0</v>
      </c>
      <c r="C159" s="13">
        <v>46103.916030092594</v>
      </c>
      <c r="D159" s="179" t="s">
        <v>81</v>
      </c>
      <c r="E159" s="180" t="s">
        <v>7170</v>
      </c>
      <c r="F159" s="188"/>
      <c r="G159" s="179" t="s">
        <v>7171</v>
      </c>
      <c r="H159" s="190"/>
      <c r="I159" s="190"/>
      <c r="J159" s="187" t="s">
        <v>2019</v>
      </c>
      <c r="K159" s="187" t="s">
        <v>2078</v>
      </c>
      <c r="L159" s="270" t="str">
        <f>IFERROR(__xludf.DUMMYFUNCTION("IF(
  AND(D159=""Saída"", J159=""Sangria""),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74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>
        <f>IFERROR(__xludf.DUMMYFUNCTION("ifna(VALUE(REGEXEXTRACT(E159,""[0-9.]+[,]+[0-9]+"")))"),84.04)</f>
        <v>84.04</v>
      </c>
      <c r="O159" s="185"/>
      <c r="P159" s="185"/>
      <c r="Q159" s="185"/>
      <c r="R159" s="185"/>
      <c r="S159" s="185"/>
      <c r="T159" s="185"/>
      <c r="U159" s="185"/>
      <c r="V159" s="185"/>
      <c r="W159" s="185"/>
    </row>
    <row r="160" ht="14.25" customHeight="1">
      <c r="A160" s="178"/>
      <c r="B160" s="12">
        <v>2079038.0</v>
      </c>
      <c r="C160" s="13">
        <v>46103.93137731482</v>
      </c>
      <c r="D160" s="179" t="s">
        <v>81</v>
      </c>
      <c r="E160" s="180" t="s">
        <v>3334</v>
      </c>
      <c r="F160" s="181"/>
      <c r="G160" s="179" t="s">
        <v>427</v>
      </c>
      <c r="H160" s="190"/>
      <c r="I160" s="190"/>
      <c r="J160" s="187" t="s">
        <v>1782</v>
      </c>
      <c r="K160" s="187"/>
      <c r="L160" s="270" t="str">
        <f>IFERROR(__xludf.DUMMYFUNCTION("IF(
  AND(D160=""Saída"", J160=""Sangria""),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2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>
        <f>IFERROR(__xludf.DUMMYFUNCTION("ifna(VALUE(REGEXEXTRACT(E160,""[0-9.]+[,]+[0-9]+"")))"),204.0)</f>
        <v>204</v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4.25" customHeight="1">
      <c r="A161" s="178"/>
      <c r="B161" s="12">
        <v>2079046.0</v>
      </c>
      <c r="C161" s="13">
        <v>46103.93172453704</v>
      </c>
      <c r="D161" s="179" t="s">
        <v>81</v>
      </c>
      <c r="E161" s="180" t="s">
        <v>7172</v>
      </c>
      <c r="F161" s="181"/>
      <c r="G161" s="179" t="s">
        <v>651</v>
      </c>
      <c r="H161" s="190"/>
      <c r="I161" s="190"/>
      <c r="J161" s="187" t="s">
        <v>1782</v>
      </c>
      <c r="K161" s="187"/>
      <c r="L161" s="270" t="str">
        <f>IFERROR(__xludf.DUMMYFUNCTION("IF(
  AND(D161=""Saída"", J161=""Sangria""),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74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>
        <f>IFERROR(__xludf.DUMMYFUNCTION("ifna(VALUE(REGEXEXTRACT(E161,""[0-9.]+[,]+[0-9]+"")))"),221.0)</f>
        <v>221</v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2">
        <v>2079076.0</v>
      </c>
      <c r="C162" s="13">
        <v>46103.93350694444</v>
      </c>
      <c r="D162" s="179" t="s">
        <v>81</v>
      </c>
      <c r="E162" s="180" t="s">
        <v>296</v>
      </c>
      <c r="F162" s="181"/>
      <c r="G162" s="179" t="s">
        <v>381</v>
      </c>
      <c r="H162" s="190"/>
      <c r="I162" s="190"/>
      <c r="J162" s="187" t="s">
        <v>2735</v>
      </c>
      <c r="K162" s="187" t="s">
        <v>6576</v>
      </c>
      <c r="L162" s="270" t="str">
        <f>IFERROR(__xludf.DUMMYFUNCTION("IF(
  AND(D162=""Saída"", J162=""Sangria""),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"),"Confirmada")</f>
        <v>Confirmada</v>
      </c>
      <c r="M162" s="272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85">
        <f>IFERROR(__xludf.DUMMYFUNCTION("ifna(VALUE(REGEXEXTRACT(E162,""[0-9.]+[,]+[0-9]+"")))"),650.0)</f>
        <v>650</v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2">
        <v>2079181.0</v>
      </c>
      <c r="C163" s="13">
        <v>46103.943449074075</v>
      </c>
      <c r="D163" s="179" t="s">
        <v>81</v>
      </c>
      <c r="E163" s="180" t="s">
        <v>7173</v>
      </c>
      <c r="F163" s="181"/>
      <c r="G163" s="179" t="s">
        <v>651</v>
      </c>
      <c r="H163" s="190"/>
      <c r="I163" s="190"/>
      <c r="J163" s="187" t="s">
        <v>1782</v>
      </c>
      <c r="K163" s="187"/>
      <c r="L163" s="270" t="str">
        <f>IFERROR(__xludf.DUMMYFUNCTION("IF(
  AND(D163=""Saída"", J163=""Sangria""),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74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85">
        <f>IFERROR(__xludf.DUMMYFUNCTION("ifna(VALUE(REGEXEXTRACT(E163,""[0-9.]+[,]+[0-9]+"")))"),53.0)</f>
        <v>53</v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2">
        <v>2079796.0</v>
      </c>
      <c r="C164" s="13">
        <v>46104.54429398148</v>
      </c>
      <c r="D164" s="179" t="s">
        <v>152</v>
      </c>
      <c r="E164" s="180" t="s">
        <v>7174</v>
      </c>
      <c r="F164" s="181"/>
      <c r="G164" s="179" t="s">
        <v>267</v>
      </c>
      <c r="H164" s="190"/>
      <c r="I164" s="190"/>
      <c r="J164" s="187" t="s">
        <v>5195</v>
      </c>
      <c r="K164" s="187"/>
      <c r="L164" s="270" t="str">
        <f>IFERROR(__xludf.DUMMYFUNCTION("IF(
  AND(D164=""Saída"", J164=""Sangria""),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2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>
        <f>IFERROR(__xludf.DUMMYFUNCTION("ifna(VALUE(REGEXEXTRACT(E164,""[0-9.]+[,]+[0-9]+"")))"),15.7)</f>
        <v>15.7</v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2">
        <v>2079852.0</v>
      </c>
      <c r="C165" s="13">
        <v>46104.568090277775</v>
      </c>
      <c r="D165" s="179" t="s">
        <v>152</v>
      </c>
      <c r="E165" s="180" t="s">
        <v>457</v>
      </c>
      <c r="F165" s="181"/>
      <c r="G165" s="179" t="s">
        <v>5296</v>
      </c>
      <c r="H165" s="190"/>
      <c r="I165" s="190"/>
      <c r="J165" s="187" t="s">
        <v>5195</v>
      </c>
      <c r="K165" s="187"/>
      <c r="L165" s="270" t="str">
        <f>IFERROR(__xludf.DUMMYFUNCTION("IF(
  AND(D165=""Saída"", J165=""Sangria""),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74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85">
        <f>IFERROR(__xludf.DUMMYFUNCTION("ifna(VALUE(REGEXEXTRACT(E165,""[0-9.]+[,]+[0-9]+"")))"),200.0)</f>
        <v>200</v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2">
        <v>2079854.0</v>
      </c>
      <c r="C166" s="13">
        <v>46104.56841435185</v>
      </c>
      <c r="D166" s="179" t="s">
        <v>81</v>
      </c>
      <c r="E166" s="180" t="s">
        <v>7175</v>
      </c>
      <c r="F166" s="181"/>
      <c r="G166" s="179" t="s">
        <v>6675</v>
      </c>
      <c r="H166" s="190"/>
      <c r="I166" s="190"/>
      <c r="J166" s="187" t="s">
        <v>3151</v>
      </c>
      <c r="K166" s="187"/>
      <c r="L166" s="270" t="str">
        <f>IFERROR(__xludf.DUMMYFUNCTION("IF(
  AND(D166=""Saída"", J166=""Sangria""),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2" t="str">
        <f>IFERROR(__xludf.DUMMYFUNCTION("IF(J166=""Compra de Mercadorias"",
   IF(
      COUNTIF(ARRAYFORMULA(TRIM(CLEAN(TO_TEXT(Notas!BS:BS)))), TRIM(CLEAN(TO_TEXT(B166)))) &gt; 0,
      ""Encontrada"",
      ""Não Encontrada""
   ),
"""")"),"Não Encontrada")</f>
        <v>Não Encontrada</v>
      </c>
      <c r="N166" s="185">
        <f>IFERROR(__xludf.DUMMYFUNCTION("ifna(VALUE(REGEXEXTRACT(E166,""[0-9.]+[,]+[0-9]+"")))"),30.4)</f>
        <v>30.4</v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2">
        <v>2079855.0</v>
      </c>
      <c r="C167" s="13">
        <v>46104.56854166667</v>
      </c>
      <c r="D167" s="179" t="s">
        <v>81</v>
      </c>
      <c r="E167" s="180" t="s">
        <v>7176</v>
      </c>
      <c r="F167" s="181"/>
      <c r="G167" s="179" t="s">
        <v>6675</v>
      </c>
      <c r="H167" s="190"/>
      <c r="I167" s="190"/>
      <c r="J167" s="187" t="s">
        <v>3151</v>
      </c>
      <c r="K167" s="187"/>
      <c r="L167" s="270" t="str">
        <f>IFERROR(__xludf.DUMMYFUNCTION("IF(
  AND(D167=""Saída"", J167=""Sangria""),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74" t="str">
        <f>IFERROR(__xludf.DUMMYFUNCTION("IF(J167=""Compra de Mercadorias"",
   IF(
      COUNTIF(ARRAYFORMULA(TRIM(CLEAN(TO_TEXT(Notas!BS:BS)))), TRIM(CLEAN(TO_TEXT(B167)))) &gt; 0,
      ""Encontrada"",
      ""Não Encontrada""
   ),
"""")"),"Não Encontrada")</f>
        <v>Não Encontrada</v>
      </c>
      <c r="N167" s="185">
        <f>IFERROR(__xludf.DUMMYFUNCTION("ifna(VALUE(REGEXEXTRACT(E167,""[0-9.]+[,]+[0-9]+"")))"),159.9)</f>
        <v>159.9</v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2">
        <v>2081225.0</v>
      </c>
      <c r="C168" s="13">
        <v>46104.94258101852</v>
      </c>
      <c r="D168" s="179" t="s">
        <v>81</v>
      </c>
      <c r="E168" s="180" t="s">
        <v>7177</v>
      </c>
      <c r="F168" s="181"/>
      <c r="G168" s="179" t="s">
        <v>193</v>
      </c>
      <c r="H168" s="190"/>
      <c r="I168" s="190"/>
      <c r="J168" s="187" t="s">
        <v>3151</v>
      </c>
      <c r="K168" s="187"/>
      <c r="L168" s="270" t="str">
        <f>IFERROR(__xludf.DUMMYFUNCTION("IF(
  AND(D168=""Saída"", J168=""Sangria""),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2" t="str">
        <f>IFERROR(__xludf.DUMMYFUNCTION("IF(J168=""Compra de Mercadorias"",
   IF(
      COUNTIF(ARRAYFORMULA(TRIM(CLEAN(TO_TEXT(Notas!BS:BS)))), TRIM(CLEAN(TO_TEXT(B168)))) &gt; 0,
      ""Encontrada"",
      ""Não Encontrada""
   ),
"""")"),"Não Encontrada")</f>
        <v>Não Encontrada</v>
      </c>
      <c r="N168" s="185">
        <f>IFERROR(__xludf.DUMMYFUNCTION("ifna(VALUE(REGEXEXTRACT(E168,""[0-9.]+[,]+[0-9]+"")))"),11.98)</f>
        <v>11.98</v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2">
        <v>2081239.0</v>
      </c>
      <c r="C169" s="13">
        <v>46104.94594907408</v>
      </c>
      <c r="D169" s="179" t="s">
        <v>81</v>
      </c>
      <c r="E169" s="180" t="s">
        <v>296</v>
      </c>
      <c r="F169" s="181"/>
      <c r="G169" s="179" t="s">
        <v>3587</v>
      </c>
      <c r="H169" s="190"/>
      <c r="I169" s="190"/>
      <c r="J169" s="187" t="s">
        <v>2735</v>
      </c>
      <c r="K169" s="187" t="s">
        <v>2018</v>
      </c>
      <c r="L169" s="270" t="str">
        <f>IFERROR(__xludf.DUMMYFUNCTION("IF(
  AND(D169=""Saída"", J169=""Sangria""),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"),"Confirmada")</f>
        <v>Confirmada</v>
      </c>
      <c r="M169" s="274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>
        <f>IFERROR(__xludf.DUMMYFUNCTION("ifna(VALUE(REGEXEXTRACT(E169,""[0-9.]+[,]+[0-9]+"")))"),650.0)</f>
        <v>650</v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2">
        <v>2081242.0</v>
      </c>
      <c r="C170" s="13">
        <v>46104.946851851855</v>
      </c>
      <c r="D170" s="179" t="s">
        <v>81</v>
      </c>
      <c r="E170" s="180" t="s">
        <v>146</v>
      </c>
      <c r="F170" s="188"/>
      <c r="G170" s="179" t="s">
        <v>381</v>
      </c>
      <c r="H170" s="190"/>
      <c r="I170" s="190"/>
      <c r="J170" s="187" t="s">
        <v>2735</v>
      </c>
      <c r="K170" s="187" t="s">
        <v>6576</v>
      </c>
      <c r="L170" s="270" t="str">
        <f>IFERROR(__xludf.DUMMYFUNCTION("IF(
  AND(D170=""Saída"", J170=""Sangria""),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"),"Confirmada")</f>
        <v>Confirmada</v>
      </c>
      <c r="M170" s="272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>
        <f>IFERROR(__xludf.DUMMYFUNCTION("ifna(VALUE(REGEXEXTRACT(E170,""[0-9.]+[,]+[0-9]+"")))"),400.0)</f>
        <v>400</v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2">
        <v>2082216.0</v>
      </c>
      <c r="C171" s="13">
        <v>46105.755694444444</v>
      </c>
      <c r="D171" s="179" t="s">
        <v>81</v>
      </c>
      <c r="E171" s="180" t="s">
        <v>979</v>
      </c>
      <c r="F171" s="181"/>
      <c r="G171" s="179" t="s">
        <v>585</v>
      </c>
      <c r="H171" s="190"/>
      <c r="I171" s="190"/>
      <c r="J171" s="187" t="s">
        <v>2019</v>
      </c>
      <c r="K171" s="187" t="s">
        <v>2078</v>
      </c>
      <c r="L171" s="270" t="str">
        <f>IFERROR(__xludf.DUMMYFUNCTION("IF(
  AND(D171=""Saída"", J171=""Sangria""),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74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>
        <f>IFERROR(__xludf.DUMMYFUNCTION("ifna(VALUE(REGEXEXTRACT(E171,""[0-9.]+[,]+[0-9]+"")))"),3.0)</f>
        <v>3</v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2">
        <v>2082249.0</v>
      </c>
      <c r="C172" s="13">
        <v>46105.764236111114</v>
      </c>
      <c r="D172" s="179" t="s">
        <v>81</v>
      </c>
      <c r="E172" s="180" t="s">
        <v>979</v>
      </c>
      <c r="F172" s="181"/>
      <c r="G172" s="179" t="s">
        <v>7178</v>
      </c>
      <c r="H172" s="190"/>
      <c r="I172" s="190"/>
      <c r="J172" s="187" t="s">
        <v>2019</v>
      </c>
      <c r="K172" s="187" t="s">
        <v>2078</v>
      </c>
      <c r="L172" s="270" t="str">
        <f>IFERROR(__xludf.DUMMYFUNCTION("IF(
  AND(D172=""Saída"", J172=""Sangria""),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2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>
        <f>IFERROR(__xludf.DUMMYFUNCTION("ifna(VALUE(REGEXEXTRACT(E172,""[0-9.]+[,]+[0-9]+"")))"),3.0)</f>
        <v>3</v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2">
        <v>2083146.0</v>
      </c>
      <c r="C173" s="13">
        <v>46105.97935185185</v>
      </c>
      <c r="D173" s="179" t="s">
        <v>81</v>
      </c>
      <c r="E173" s="180" t="s">
        <v>7179</v>
      </c>
      <c r="F173" s="188"/>
      <c r="G173" s="179" t="s">
        <v>128</v>
      </c>
      <c r="H173" s="190"/>
      <c r="I173" s="190"/>
      <c r="J173" s="187" t="s">
        <v>2735</v>
      </c>
      <c r="K173" s="187" t="s">
        <v>6576</v>
      </c>
      <c r="L173" s="270" t="str">
        <f>IFERROR(__xludf.DUMMYFUNCTION("IF(
  AND(D173=""Saída"", J173=""Sangria""),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"),"Confirmada")</f>
        <v>Confirmada</v>
      </c>
      <c r="M173" s="274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>
        <f>IFERROR(__xludf.DUMMYFUNCTION("ifna(VALUE(REGEXEXTRACT(E173,""[0-9.]+[,]+[0-9]+"")))"),770.0)</f>
        <v>770</v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2">
        <v>2083503.0</v>
      </c>
      <c r="C174" s="13">
        <v>46106.61185185185</v>
      </c>
      <c r="D174" s="179" t="s">
        <v>152</v>
      </c>
      <c r="E174" s="180" t="s">
        <v>7180</v>
      </c>
      <c r="F174" s="181"/>
      <c r="G174" s="179" t="s">
        <v>158</v>
      </c>
      <c r="H174" s="190"/>
      <c r="I174" s="190"/>
      <c r="J174" s="187" t="s">
        <v>5195</v>
      </c>
      <c r="K174" s="187"/>
      <c r="L174" s="270" t="str">
        <f>IFERROR(__xludf.DUMMYFUNCTION("IF(
  AND(D174=""Saída"", J174=""Sangria""),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2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>
        <f>IFERROR(__xludf.DUMMYFUNCTION("ifna(VALUE(REGEXEXTRACT(E174,""[0-9.]+[,]+[0-9]+"")))"),90.3)</f>
        <v>90.3</v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2">
        <v>2084120.0</v>
      </c>
      <c r="C175" s="13">
        <v>46106.808842592596</v>
      </c>
      <c r="D175" s="179" t="s">
        <v>81</v>
      </c>
      <c r="E175" s="180" t="s">
        <v>7181</v>
      </c>
      <c r="F175" s="181"/>
      <c r="G175" s="179" t="s">
        <v>7182</v>
      </c>
      <c r="H175" s="190"/>
      <c r="I175" s="190"/>
      <c r="J175" s="187" t="s">
        <v>2438</v>
      </c>
      <c r="K175" s="187"/>
      <c r="L175" s="270" t="str">
        <f>IFERROR(__xludf.DUMMYFUNCTION("IF(
  AND(D175=""Saída"", J175=""Sangria""),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74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>
        <f>IFERROR(__xludf.DUMMYFUNCTION("ifna(VALUE(REGEXEXTRACT(E175,""[0-9.]+[,]+[0-9]+"")))"),70.9)</f>
        <v>70.9</v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2">
        <v>2084158.0</v>
      </c>
      <c r="C176" s="13">
        <v>46106.82542824074</v>
      </c>
      <c r="D176" s="179" t="s">
        <v>81</v>
      </c>
      <c r="E176" s="180" t="s">
        <v>4106</v>
      </c>
      <c r="F176" s="181"/>
      <c r="G176" s="179" t="s">
        <v>5055</v>
      </c>
      <c r="H176" s="190"/>
      <c r="I176" s="190"/>
      <c r="J176" s="187" t="s">
        <v>2735</v>
      </c>
      <c r="K176" s="187" t="s">
        <v>2018</v>
      </c>
      <c r="L176" s="270" t="str">
        <f>IFERROR(__xludf.DUMMYFUNCTION("IF(
  AND(D176=""Saída"", J176=""Sangria""),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"),"Confirmada")</f>
        <v>Confirmada</v>
      </c>
      <c r="M176" s="272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>
        <f>IFERROR(__xludf.DUMMYFUNCTION("ifna(VALUE(REGEXEXTRACT(E176,""[0-9.]+[,]+[0-9]+"")))"),750.0)</f>
        <v>750</v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2">
        <v>2084164.0</v>
      </c>
      <c r="C177" s="13">
        <v>46106.82734953704</v>
      </c>
      <c r="D177" s="179" t="s">
        <v>81</v>
      </c>
      <c r="E177" s="180" t="s">
        <v>457</v>
      </c>
      <c r="F177" s="181"/>
      <c r="G177" s="179" t="s">
        <v>5192</v>
      </c>
      <c r="H177" s="190"/>
      <c r="I177" s="190"/>
      <c r="J177" s="187" t="s">
        <v>5195</v>
      </c>
      <c r="K177" s="187"/>
      <c r="L177" s="270" t="str">
        <f>IFERROR(__xludf.DUMMYFUNCTION("IF(
  AND(D177=""Saída"", J177=""Sangria""),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74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>
        <f>IFERROR(__xludf.DUMMYFUNCTION("ifna(VALUE(REGEXEXTRACT(E177,""[0-9.]+[,]+[0-9]+"")))"),200.0)</f>
        <v>200</v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2">
        <v>2084883.0</v>
      </c>
      <c r="C178" s="13">
        <v>46106.9765625</v>
      </c>
      <c r="D178" s="179" t="s">
        <v>81</v>
      </c>
      <c r="E178" s="180" t="s">
        <v>3486</v>
      </c>
      <c r="F178" s="188"/>
      <c r="G178" s="179" t="s">
        <v>381</v>
      </c>
      <c r="H178" s="190"/>
      <c r="I178" s="190"/>
      <c r="J178" s="187" t="s">
        <v>2735</v>
      </c>
      <c r="K178" s="187" t="s">
        <v>6576</v>
      </c>
      <c r="L178" s="270" t="str">
        <f>IFERROR(__xludf.DUMMYFUNCTION("IF(
  AND(D178=""Saída"", J178=""Sangria""),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"),"Confirmada")</f>
        <v>Confirmada</v>
      </c>
      <c r="M178" s="272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>
        <f>IFERROR(__xludf.DUMMYFUNCTION("ifna(VALUE(REGEXEXTRACT(E178,""[0-9.]+[,]+[0-9]+"")))"),500.0)</f>
        <v>500</v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270" t="str">
        <f>IFERROR(__xludf.DUMMYFUNCTION("IF(
  AND(D179=""Saída"", J179=""Sangria""),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74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 t="str">
        <f>IFERROR(__xludf.DUMMYFUNCTION("ifna(VALUE(REGEXEXTRACT(E179,""[0-9.]+[,]+[0-9]+"")))"),"")</f>
        <v/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2"/>
      <c r="C180" s="13"/>
      <c r="D180" s="179"/>
      <c r="E180" s="180"/>
      <c r="F180" s="181"/>
      <c r="G180" s="179"/>
      <c r="H180" s="190"/>
      <c r="I180" s="190"/>
      <c r="J180" s="187"/>
      <c r="K180" s="187"/>
      <c r="L180" s="270" t="str">
        <f>IFERROR(__xludf.DUMMYFUNCTION("IF(
  AND(D180=""Saída"", J180=""Sangria""),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2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 t="str">
        <f>IFERROR(__xludf.DUMMYFUNCTION("ifna(VALUE(REGEXEXTRACT(E180,""[0-9.]+[,]+[0-9]+"")))"),"")</f>
        <v/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2"/>
      <c r="C181" s="13"/>
      <c r="D181" s="179"/>
      <c r="E181" s="180"/>
      <c r="F181" s="188"/>
      <c r="G181" s="179"/>
      <c r="H181" s="190"/>
      <c r="I181" s="190"/>
      <c r="J181" s="187"/>
      <c r="K181" s="187"/>
      <c r="L181" s="270" t="str">
        <f>IFERROR(__xludf.DUMMYFUNCTION("IF(
  AND(D181=""Saída"", J181=""Sangria""),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74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 t="str">
        <f>IFERROR(__xludf.DUMMYFUNCTION("ifna(VALUE(REGEXEXTRACT(E181,""[0-9.]+[,]+[0-9]+"")))"),"")</f>
        <v/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270" t="str">
        <f>IFERROR(__xludf.DUMMYFUNCTION("IF(
  AND(D182=""Saída"", J182=""Sangria""),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2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 t="str">
        <f>IFERROR(__xludf.DUMMYFUNCTION("ifna(VALUE(REGEXEXTRACT(E182,""[0-9.]+[,]+[0-9]+"")))"),"")</f>
        <v/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270" t="str">
        <f>IFERROR(__xludf.DUMMYFUNCTION("IF(
  AND(D183=""Saída"", J183=""Sangria""),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74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 t="str">
        <f>IFERROR(__xludf.DUMMYFUNCTION("ifna(VALUE(REGEXEXTRACT(E183,""[0-9.]+[,]+[0-9]+"")))"),"")</f>
        <v/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2"/>
      <c r="C184" s="13"/>
      <c r="D184" s="179"/>
      <c r="E184" s="180"/>
      <c r="F184" s="181"/>
      <c r="G184" s="179"/>
      <c r="H184" s="190"/>
      <c r="I184" s="190"/>
      <c r="J184" s="187"/>
      <c r="K184" s="187"/>
      <c r="L184" s="270" t="str">
        <f>IFERROR(__xludf.DUMMYFUNCTION("IF(
  AND(D184=""Saída"", J184=""Sangria""),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2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 t="str">
        <f>IFERROR(__xludf.DUMMYFUNCTION("ifna(VALUE(REGEXEXTRACT(E184,""[0-9.]+[,]+[0-9]+"")))"),"")</f>
        <v/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270" t="str">
        <f>IFERROR(__xludf.DUMMYFUNCTION("IF(
  AND(D185=""Saída"", J185=""Sangria""),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74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 t="str">
        <f>IFERROR(__xludf.DUMMYFUNCTION("ifna(VALUE(REGEXEXTRACT(E185,""[0-9.]+[,]+[0-9]+"")))"),"")</f>
        <v/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2"/>
      <c r="C186" s="13"/>
      <c r="D186" s="179"/>
      <c r="E186" s="180"/>
      <c r="F186" s="181"/>
      <c r="G186" s="179"/>
      <c r="H186" s="190"/>
      <c r="I186" s="190"/>
      <c r="J186" s="187"/>
      <c r="K186" s="187"/>
      <c r="L186" s="270" t="str">
        <f>IFERROR(__xludf.DUMMYFUNCTION("IF(
  AND(D186=""Saída"", J186=""Sangria""),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2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 t="str">
        <f>IFERROR(__xludf.DUMMYFUNCTION("ifna(VALUE(REGEXEXTRACT(E186,""[0-9.]+[,]+[0-9]+"")))"),"")</f>
        <v/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270" t="str">
        <f>IFERROR(__xludf.DUMMYFUNCTION("IF(
  AND(D187=""Saída"", J187=""Sangria""),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74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 t="str">
        <f>IFERROR(__xludf.DUMMYFUNCTION("ifna(VALUE(REGEXEXTRACT(E187,""[0-9.]+[,]+[0-9]+"")))"),"")</f>
        <v/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270" t="str">
        <f>IFERROR(__xludf.DUMMYFUNCTION("IF(
  AND(D188=""Saída"", J188=""Sangria""),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2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 t="str">
        <f>IFERROR(__xludf.DUMMYFUNCTION("ifna(VALUE(REGEXEXTRACT(E188,""[0-9.]+[,]+[0-9]+"")))"),"")</f>
        <v/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270" t="str">
        <f>IFERROR(__xludf.DUMMYFUNCTION("IF(
  AND(D189=""Saída"", J189=""Sangria""),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74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 t="str">
        <f>IFERROR(__xludf.DUMMYFUNCTION("ifna(VALUE(REGEXEXTRACT(E189,""[0-9.]+[,]+[0-9]+"")))"),"")</f>
        <v/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2"/>
      <c r="C190" s="13"/>
      <c r="D190" s="179"/>
      <c r="E190" s="180"/>
      <c r="F190" s="188"/>
      <c r="G190" s="179"/>
      <c r="H190" s="190"/>
      <c r="I190" s="190"/>
      <c r="J190" s="187"/>
      <c r="K190" s="187"/>
      <c r="L190" s="270" t="str">
        <f>IFERROR(__xludf.DUMMYFUNCTION("IF(
  AND(D190=""Saída"", J190=""Sangria""),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2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 t="str">
        <f>IFERROR(__xludf.DUMMYFUNCTION("ifna(VALUE(REGEXEXTRACT(E190,""[0-9.]+[,]+[0-9]+"")))"),"")</f>
        <v/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187"/>
      <c r="K191" s="187"/>
      <c r="L191" s="270" t="str">
        <f>IFERROR(__xludf.DUMMYFUNCTION("IF(
  AND(D191=""Saída"", J191=""Sangria""),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74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 t="str">
        <f>IFERROR(__xludf.DUMMYFUNCTION("ifna(VALUE(REGEXEXTRACT(E191,""[0-9.]+[,]+[0-9]+"")))"),"")</f>
        <v/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2"/>
      <c r="C192" s="13"/>
      <c r="D192" s="179"/>
      <c r="E192" s="180"/>
      <c r="F192" s="181"/>
      <c r="G192" s="179"/>
      <c r="H192" s="190"/>
      <c r="I192" s="190"/>
      <c r="J192" s="187"/>
      <c r="K192" s="187"/>
      <c r="L192" s="270" t="str">
        <f>IFERROR(__xludf.DUMMYFUNCTION("IF(
  AND(D192=""Saída"", J192=""Sangria""),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2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 t="str">
        <f>IFERROR(__xludf.DUMMYFUNCTION("ifna(VALUE(REGEXEXTRACT(E192,""[0-9.]+[,]+[0-9]+"")))"),"")</f>
        <v/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270" t="str">
        <f>IFERROR(__xludf.DUMMYFUNCTION("IF(
  AND(D193=""Saída"", J193=""Sangria""),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74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 t="str">
        <f>IFERROR(__xludf.DUMMYFUNCTION("ifna(VALUE(REGEXEXTRACT(E193,""[0-9.]+[,]+[0-9]+"")))"),"")</f>
        <v/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270" t="str">
        <f>IFERROR(__xludf.DUMMYFUNCTION("IF(
  AND(D194=""Saída"", J194=""Sangria""),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2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85" t="str">
        <f>IFERROR(__xludf.DUMMYFUNCTION("ifna(VALUE(REGEXEXTRACT(E194,""[0-9.]+[,]+[0-9]+"")))"),"")</f>
        <v/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2"/>
      <c r="C195" s="13"/>
      <c r="D195" s="179"/>
      <c r="E195" s="180"/>
      <c r="F195" s="181"/>
      <c r="G195" s="179"/>
      <c r="H195" s="190"/>
      <c r="I195" s="190"/>
      <c r="J195" s="187"/>
      <c r="K195" s="187"/>
      <c r="L195" s="270" t="str">
        <f>IFERROR(__xludf.DUMMYFUNCTION("IF(
  AND(D195=""Saída"", J195=""Sangria""),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74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 t="str">
        <f>IFERROR(__xludf.DUMMYFUNCTION("ifna(VALUE(REGEXEXTRACT(E195,""[0-9.]+[,]+[0-9]+"")))"),"")</f>
        <v/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J196" s="187"/>
      <c r="K196" s="187"/>
      <c r="L196" s="270" t="str">
        <f>IFERROR(__xludf.DUMMYFUNCTION("IF(
  AND(D196=""Saída"", J196=""Sangria""),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2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 t="str">
        <f>IFERROR(__xludf.DUMMYFUNCTION("ifna(VALUE(REGEXEXTRACT(E196,""[0-9.]+[,]+[0-9]+"")))"),"")</f>
        <v/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270" t="str">
        <f>IFERROR(__xludf.DUMMYFUNCTION("IF(
  AND(D197=""Saída"", J197=""Sangria""),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74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 t="str">
        <f>IFERROR(__xludf.DUMMYFUNCTION("ifna(VALUE(REGEXEXTRACT(E197,""[0-9.]+[,]+[0-9]+"")))"),"")</f>
        <v/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270" t="str">
        <f>IFERROR(__xludf.DUMMYFUNCTION("IF(
  AND(D198=""Saída"", J198=""Sangria""),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2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 t="str">
        <f>IFERROR(__xludf.DUMMYFUNCTION("ifna(VALUE(REGEXEXTRACT(E198,""[0-9.]+[,]+[0-9]+"")))"),"")</f>
        <v/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270" t="str">
        <f>IFERROR(__xludf.DUMMYFUNCTION("IF(
  AND(D199=""Saída"", J199=""Sangria""),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74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 t="str">
        <f>IFERROR(__xludf.DUMMYFUNCTION("ifna(VALUE(REGEXEXTRACT(E199,""[0-9.]+[,]+[0-9]+"")))"),"")</f>
        <v/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2"/>
      <c r="C200" s="13"/>
      <c r="D200" s="179"/>
      <c r="E200" s="180"/>
      <c r="F200" s="188"/>
      <c r="G200" s="179"/>
      <c r="H200" s="190"/>
      <c r="I200" s="190"/>
      <c r="J200" s="187"/>
      <c r="K200" s="187"/>
      <c r="L200" s="270" t="str">
        <f>IFERROR(__xludf.DUMMYFUNCTION("IF(
  AND(D200=""Saída"", J200=""Sangria""),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2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 t="str">
        <f>IFERROR(__xludf.DUMMYFUNCTION("ifna(VALUE(REGEXEXTRACT(E200,""[0-9.]+[,]+[0-9]+"")))"),"")</f>
        <v/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270" t="str">
        <f>IFERROR(__xludf.DUMMYFUNCTION("IF(
  AND(D201=""Saída"", J201=""Sangria""),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74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 t="str">
        <f>IFERROR(__xludf.DUMMYFUNCTION("ifna(VALUE(REGEXEXTRACT(E201,""[0-9.]+[,]+[0-9]+"")))"),"")</f>
        <v/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270" t="str">
        <f>IFERROR(__xludf.DUMMYFUNCTION("IF(
  AND(D202=""Saída"", J202=""Sangria""),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2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 t="str">
        <f>IFERROR(__xludf.DUMMYFUNCTION("ifna(VALUE(REGEXEXTRACT(E202,""[0-9.]+[,]+[0-9]+"")))"),"")</f>
        <v/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270" t="str">
        <f>IFERROR(__xludf.DUMMYFUNCTION("IF(
  AND(D203=""Saída"", J203=""Sangria""),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74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 t="str">
        <f>IFERROR(__xludf.DUMMYFUNCTION("ifna(VALUE(REGEXEXTRACT(E203,""[0-9.]+[,]+[0-9]+"")))"),"")</f>
        <v/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270" t="str">
        <f>IFERROR(__xludf.DUMMYFUNCTION("IF(
  AND(D204=""Saída"", J204=""Sangria""),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2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 t="str">
        <f>IFERROR(__xludf.DUMMYFUNCTION("ifna(VALUE(REGEXEXTRACT(E204,""[0-9.]+[,]+[0-9]+"")))"),"")</f>
        <v/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2"/>
      <c r="C205" s="13"/>
      <c r="D205" s="179"/>
      <c r="E205" s="180"/>
      <c r="F205" s="181"/>
      <c r="G205" s="179"/>
      <c r="H205" s="190"/>
      <c r="I205" s="190"/>
      <c r="J205" s="187"/>
      <c r="K205" s="187"/>
      <c r="L205" s="270" t="str">
        <f>IFERROR(__xludf.DUMMYFUNCTION("IF(
  AND(D205=""Saída"", J205=""Sangria""),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74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 t="str">
        <f>IFERROR(__xludf.DUMMYFUNCTION("ifna(VALUE(REGEXEXTRACT(E205,""[0-9.]+[,]+[0-9]+"")))"),"")</f>
        <v/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2"/>
      <c r="C206" s="13"/>
      <c r="D206" s="179"/>
      <c r="E206" s="180"/>
      <c r="F206" s="188"/>
      <c r="G206" s="179"/>
      <c r="H206" s="190"/>
      <c r="I206" s="190"/>
      <c r="J206" s="187"/>
      <c r="K206" s="187"/>
      <c r="L206" s="270" t="str">
        <f>IFERROR(__xludf.DUMMYFUNCTION("IF(
  AND(D206=""Saída"", J206=""Sangria""),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2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 t="str">
        <f>IFERROR(__xludf.DUMMYFUNCTION("ifna(VALUE(REGEXEXTRACT(E206,""[0-9.]+[,]+[0-9]+"")))"),"")</f>
        <v/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270" t="str">
        <f>IFERROR(__xludf.DUMMYFUNCTION("IF(
  AND(D207=""Saída"", J207=""Sangria""),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74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270" t="str">
        <f>IFERROR(__xludf.DUMMYFUNCTION("IF(
  AND(D208=""Saída"", J208=""Sangria""),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2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270" t="str">
        <f>IFERROR(__xludf.DUMMYFUNCTION("IF(
  AND(D209=""Saída"", J209=""Sangria""),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74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270" t="str">
        <f>IFERROR(__xludf.DUMMYFUNCTION("IF(
  AND(D210=""Saída"", J210=""Sangria""),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2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270" t="str">
        <f>IFERROR(__xludf.DUMMYFUNCTION("IF(
  AND(D211=""Saída"", J211=""Sangria""),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74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270" t="str">
        <f>IFERROR(__xludf.DUMMYFUNCTION("IF(
  AND(D212=""Saída"", J212=""Sangria""),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2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270" t="str">
        <f>IFERROR(__xludf.DUMMYFUNCTION("IF(
  AND(D213=""Saída"", J213=""Sangria""),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74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270" t="str">
        <f>IFERROR(__xludf.DUMMYFUNCTION("IF(
  AND(D214=""Saída"", J214=""Sangria""),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2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270" t="str">
        <f>IFERROR(__xludf.DUMMYFUNCTION("IF(
  AND(D215=""Saída"", J215=""Sangria""),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74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270" t="str">
        <f>IFERROR(__xludf.DUMMYFUNCTION("IF(
  AND(D216=""Saída"", J216=""Sangria""),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2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270" t="str">
        <f>IFERROR(__xludf.DUMMYFUNCTION("IF(
  AND(D217=""Saída"", J217=""Sangria""),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74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270" t="str">
        <f>IFERROR(__xludf.DUMMYFUNCTION("IF(
  AND(D218=""Saída"", J218=""Sangria""),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2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270" t="str">
        <f>IFERROR(__xludf.DUMMYFUNCTION("IF(
  AND(D219=""Saída"", J219=""Sangria""),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74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270" t="str">
        <f>IFERROR(__xludf.DUMMYFUNCTION("IF(
  AND(D220=""Saída"", J220=""Sangria""),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2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270" t="str">
        <f>IFERROR(__xludf.DUMMYFUNCTION("IF(
  AND(D221=""Saída"", J221=""Sangria""),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74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270" t="str">
        <f>IFERROR(__xludf.DUMMYFUNCTION("IF(
  AND(D222=""Saída"", J222=""Sangria""),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2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270" t="str">
        <f>IFERROR(__xludf.DUMMYFUNCTION("IF(
  AND(D223=""Saída"", J223=""Sangria""),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74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270" t="str">
        <f>IFERROR(__xludf.DUMMYFUNCTION("IF(
  AND(D224=""Saída"", J224=""Sangria""),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2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270" t="str">
        <f>IFERROR(__xludf.DUMMYFUNCTION("IF(
  AND(D225=""Saída"", J225=""Sangria""),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74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270" t="str">
        <f>IFERROR(__xludf.DUMMYFUNCTION("IF(
  AND(D226=""Saída"", J226=""Sangria""),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2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270" t="str">
        <f>IFERROR(__xludf.DUMMYFUNCTION("IF(
  AND(D227=""Saída"", J227=""Sangria""),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74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270" t="str">
        <f>IFERROR(__xludf.DUMMYFUNCTION("IF(
  AND(D228=""Saída"", J228=""Sangria""),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2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270" t="str">
        <f>IFERROR(__xludf.DUMMYFUNCTION("IF(
  AND(D229=""Saída"", J229=""Sangria""),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74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270" t="str">
        <f>IFERROR(__xludf.DUMMYFUNCTION("IF(
  AND(D230=""Saída"", J230=""Sangria""),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2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270" t="str">
        <f>IFERROR(__xludf.DUMMYFUNCTION("IF(
  AND(D231=""Saída"", J231=""Sangria""),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74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270" t="str">
        <f>IFERROR(__xludf.DUMMYFUNCTION("IF(
  AND(D232=""Saída"", J232=""Sangria""),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2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270" t="str">
        <f>IFERROR(__xludf.DUMMYFUNCTION("IF(
  AND(D233=""Saída"", J233=""Sangria""),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74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270" t="str">
        <f>IFERROR(__xludf.DUMMYFUNCTION("IF(
  AND(D234=""Saída"", J234=""Sangria""),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2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270" t="str">
        <f>IFERROR(__xludf.DUMMYFUNCTION("IF(
  AND(D235=""Saída"", J235=""Sangria""),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74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270" t="str">
        <f>IFERROR(__xludf.DUMMYFUNCTION("IF(
  AND(D236=""Saída"", J236=""Sangria""),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2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270" t="str">
        <f>IFERROR(__xludf.DUMMYFUNCTION("IF(
  AND(D237=""Saída"", J237=""Sangria""),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74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270" t="str">
        <f>IFERROR(__xludf.DUMMYFUNCTION("IF(
  AND(D238=""Saída"", J238=""Sangria""),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2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270" t="str">
        <f>IFERROR(__xludf.DUMMYFUNCTION("IF(
  AND(D239=""Saída"", J239=""Sangria""),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74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270" t="str">
        <f>IFERROR(__xludf.DUMMYFUNCTION("IF(
  AND(D240=""Saída"", J240=""Sangria""),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2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270" t="str">
        <f>IFERROR(__xludf.DUMMYFUNCTION("IF(
  AND(D241=""Saída"", J241=""Sangria""),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74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270" t="str">
        <f>IFERROR(__xludf.DUMMYFUNCTION("IF(
  AND(D242=""Saída"", J242=""Sangria""),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2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270" t="str">
        <f>IFERROR(__xludf.DUMMYFUNCTION("IF(
  AND(D243=""Saída"", J243=""Sangria""),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74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270" t="str">
        <f>IFERROR(__xludf.DUMMYFUNCTION("IF(
  AND(D244=""Saída"", J244=""Sangria""),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2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270" t="str">
        <f>IFERROR(__xludf.DUMMYFUNCTION("IF(
  AND(D245=""Saída"", J245=""Sangria""),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74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270" t="str">
        <f>IFERROR(__xludf.DUMMYFUNCTION("IF(
  AND(D246=""Saída"", J246=""Sangria""),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2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270" t="str">
        <f>IFERROR(__xludf.DUMMYFUNCTION("IF(
  AND(D247=""Saída"", J247=""Sangria""),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74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270" t="str">
        <f>IFERROR(__xludf.DUMMYFUNCTION("IF(
  AND(D248=""Saída"", J248=""Sangria""),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2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270" t="str">
        <f>IFERROR(__xludf.DUMMYFUNCTION("IF(
  AND(D249=""Saída"", J249=""Sangria""),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74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270" t="str">
        <f>IFERROR(__xludf.DUMMYFUNCTION("IF(
  AND(D250=""Saída"", J250=""Sangria""),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2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270" t="str">
        <f>IFERROR(__xludf.DUMMYFUNCTION("IF(
  AND(D251=""Saída"", J251=""Sangria""),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74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270" t="str">
        <f>IFERROR(__xludf.DUMMYFUNCTION("IF(
  AND(D252=""Saída"", J252=""Sangria""),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2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270" t="str">
        <f>IFERROR(__xludf.DUMMYFUNCTION("IF(
  AND(D253=""Saída"", J253=""Sangria""),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74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270" t="str">
        <f>IFERROR(__xludf.DUMMYFUNCTION("IF(
  AND(D254=""Saída"", J254=""Sangria""),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2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270" t="str">
        <f>IFERROR(__xludf.DUMMYFUNCTION("IF(
  AND(D255=""Saída"", J255=""Sangria""),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74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270" t="str">
        <f>IFERROR(__xludf.DUMMYFUNCTION("IF(
  AND(D256=""Saída"", J256=""Sangria""),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2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270" t="str">
        <f>IFERROR(__xludf.DUMMYFUNCTION("IF(
  AND(D257=""Saída"", J257=""Sangria""),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74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270" t="str">
        <f>IFERROR(__xludf.DUMMYFUNCTION("IF(
  AND(D258=""Saída"", J258=""Sangria""),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2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270" t="str">
        <f>IFERROR(__xludf.DUMMYFUNCTION("IF(
  AND(D259=""Saída"", J259=""Sangria""),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74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270" t="str">
        <f>IFERROR(__xludf.DUMMYFUNCTION("IF(
  AND(D260=""Saída"", J260=""Sangria""),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2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270" t="str">
        <f>IFERROR(__xludf.DUMMYFUNCTION("IF(
  AND(D261=""Saída"", J261=""Sangria""),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74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270" t="str">
        <f>IFERROR(__xludf.DUMMYFUNCTION("IF(
  AND(D262=""Saída"", J262=""Sangria""),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2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270" t="str">
        <f>IFERROR(__xludf.DUMMYFUNCTION("IF(
  AND(D263=""Saída"", J263=""Sangria""),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74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270" t="str">
        <f>IFERROR(__xludf.DUMMYFUNCTION("IF(
  AND(D264=""Saída"", J264=""Sangria""),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2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270" t="str">
        <f>IFERROR(__xludf.DUMMYFUNCTION("IF(
  AND(D265=""Saída"", J265=""Sangria""),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74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270" t="str">
        <f>IFERROR(__xludf.DUMMYFUNCTION("IF(
  AND(D266=""Saída"", J266=""Sangria""),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2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270" t="str">
        <f>IFERROR(__xludf.DUMMYFUNCTION("IF(
  AND(D267=""Saída"", J267=""Sangria""),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74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270" t="str">
        <f>IFERROR(__xludf.DUMMYFUNCTION("IF(
  AND(D268=""Saída"", J268=""Sangria""),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2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270" t="str">
        <f>IFERROR(__xludf.DUMMYFUNCTION("IF(
  AND(D269=""Saída"", J269=""Sangria""),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74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270" t="str">
        <f>IFERROR(__xludf.DUMMYFUNCTION("IF(
  AND(D270=""Saída"", J270=""Sangria""),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2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270" t="str">
        <f>IFERROR(__xludf.DUMMYFUNCTION("IF(
  AND(D271=""Saída"", J271=""Sangria""),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74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270" t="str">
        <f>IFERROR(__xludf.DUMMYFUNCTION("IF(
  AND(D272=""Saída"", J272=""Sangria""),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2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270" t="str">
        <f>IFERROR(__xludf.DUMMYFUNCTION("IF(
  AND(D273=""Saída"", J273=""Sangria""),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74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270" t="str">
        <f>IFERROR(__xludf.DUMMYFUNCTION("IF(
  AND(D274=""Saída"", J274=""Sangria""),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2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270" t="str">
        <f>IFERROR(__xludf.DUMMYFUNCTION("IF(
  AND(D275=""Saída"", J275=""Sangria""),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74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270" t="str">
        <f>IFERROR(__xludf.DUMMYFUNCTION("IF(
  AND(D276=""Saída"", J276=""Sangria""),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2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270" t="str">
        <f>IFERROR(__xludf.DUMMYFUNCTION("IF(
  AND(D277=""Saída"", J277=""Sangria""),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74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270" t="str">
        <f>IFERROR(__xludf.DUMMYFUNCTION("IF(
  AND(D278=""Saída"", J278=""Sangria""),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2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270" t="str">
        <f>IFERROR(__xludf.DUMMYFUNCTION("IF(
  AND(D279=""Saída"", J279=""Sangria""),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74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270" t="str">
        <f>IFERROR(__xludf.DUMMYFUNCTION("IF(
  AND(D280=""Saída"", J280=""Sangria""),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2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270" t="str">
        <f>IFERROR(__xludf.DUMMYFUNCTION("IF(
  AND(D281=""Saída"", J281=""Sangria""),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74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270" t="str">
        <f>IFERROR(__xludf.DUMMYFUNCTION("IF(
  AND(D282=""Saída"", J282=""Sangria""),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2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270" t="str">
        <f>IFERROR(__xludf.DUMMYFUNCTION("IF(
  AND(D283=""Saída"", J283=""Sangria""),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74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270" t="str">
        <f>IFERROR(__xludf.DUMMYFUNCTION("IF(
  AND(D284=""Saída"", J284=""Sangria""),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2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270" t="str">
        <f>IFERROR(__xludf.DUMMYFUNCTION("IF(
  AND(D285=""Saída"", J285=""Sangria""),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74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270" t="str">
        <f>IFERROR(__xludf.DUMMYFUNCTION("IF(
  AND(D286=""Saída"", J286=""Sangria""),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2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270" t="str">
        <f>IFERROR(__xludf.DUMMYFUNCTION("IF(
  AND(D287=""Saída"", J287=""Sangria""),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74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270" t="str">
        <f>IFERROR(__xludf.DUMMYFUNCTION("IF(
  AND(D288=""Saída"", J288=""Sangria""),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2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270" t="str">
        <f>IFERROR(__xludf.DUMMYFUNCTION("IF(
  AND(D289=""Saída"", J289=""Sangria""),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74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270" t="str">
        <f>IFERROR(__xludf.DUMMYFUNCTION("IF(
  AND(D290=""Saída"", J290=""Sangria""),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2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270" t="str">
        <f>IFERROR(__xludf.DUMMYFUNCTION("IF(
  AND(D291=""Saída"", J291=""Sangria""),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74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270" t="str">
        <f>IFERROR(__xludf.DUMMYFUNCTION("IF(
  AND(D292=""Saída"", J292=""Sangria""),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2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270" t="str">
        <f>IFERROR(__xludf.DUMMYFUNCTION("IF(
  AND(D293=""Saída"", J293=""Sangria""),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74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270" t="str">
        <f>IFERROR(__xludf.DUMMYFUNCTION("IF(
  AND(D294=""Saída"", J294=""Sangria""),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2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270" t="str">
        <f>IFERROR(__xludf.DUMMYFUNCTION("IF(
  AND(D295=""Saída"", J295=""Sangria""),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74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270" t="str">
        <f>IFERROR(__xludf.DUMMYFUNCTION("IF(
  AND(D296=""Saída"", J296=""Sangria""),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2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270" t="str">
        <f>IFERROR(__xludf.DUMMYFUNCTION("IF(
  AND(D297=""Saída"", J297=""Sangria""),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74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270" t="str">
        <f>IFERROR(__xludf.DUMMYFUNCTION("IF(
  AND(D298=""Saída"", J298=""Sangria""),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2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270" t="str">
        <f>IFERROR(__xludf.DUMMYFUNCTION("IF(
  AND(D299=""Saída"", J299=""Sangria""),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74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270" t="str">
        <f>IFERROR(__xludf.DUMMYFUNCTION("IF(
  AND(D300=""Saída"", J300=""Sangria""),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2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270" t="str">
        <f>IFERROR(__xludf.DUMMYFUNCTION("IF(
  AND(D301=""Saída"", J301=""Sangria""),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74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270" t="str">
        <f>IFERROR(__xludf.DUMMYFUNCTION("IF(
  AND(D302=""Saída"", J302=""Sangria""),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2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270" t="str">
        <f>IFERROR(__xludf.DUMMYFUNCTION("IF(
  AND(D303=""Saída"", J303=""Sangria""),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74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270" t="str">
        <f>IFERROR(__xludf.DUMMYFUNCTION("IF(
  AND(D304=""Saída"", J304=""Sangria""),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2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270" t="str">
        <f>IFERROR(__xludf.DUMMYFUNCTION("IF(
  AND(D305=""Saída"", J305=""Sangria""),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74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270" t="str">
        <f>IFERROR(__xludf.DUMMYFUNCTION("IF(
  AND(D306=""Saída"", J306=""Sangria""),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2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270" t="str">
        <f>IFERROR(__xludf.DUMMYFUNCTION("IF(
  AND(D307=""Saída"", J307=""Sangria""),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74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270" t="str">
        <f>IFERROR(__xludf.DUMMYFUNCTION("IF(
  AND(D308=""Saída"", J308=""Sangria""),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2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270" t="str">
        <f>IFERROR(__xludf.DUMMYFUNCTION("IF(
  AND(D309=""Saída"", J309=""Sangria""),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74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270" t="str">
        <f>IFERROR(__xludf.DUMMYFUNCTION("IF(
  AND(D310=""Saída"", J310=""Sangria""),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2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270" t="str">
        <f>IFERROR(__xludf.DUMMYFUNCTION("IF(
  AND(D311=""Saída"", J311=""Sangria""),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74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270" t="str">
        <f>IFERROR(__xludf.DUMMYFUNCTION("IF(
  AND(D312=""Saída"", J312=""Sangria""),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2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270" t="str">
        <f>IFERROR(__xludf.DUMMYFUNCTION("IF(
  AND(D313=""Saída"", J313=""Sangria""),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74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270" t="str">
        <f>IFERROR(__xludf.DUMMYFUNCTION("IF(
  AND(D314=""Saída"", J314=""Sangria""),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2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270" t="str">
        <f>IFERROR(__xludf.DUMMYFUNCTION("IF(
  AND(D315=""Saída"", J315=""Sangria""),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74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270" t="str">
        <f>IFERROR(__xludf.DUMMYFUNCTION("IF(
  AND(D316=""Saída"", J316=""Sangria""),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2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270" t="str">
        <f>IFERROR(__xludf.DUMMYFUNCTION("IF(
  AND(D317=""Saída"", J317=""Sangria""),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74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270" t="str">
        <f>IFERROR(__xludf.DUMMYFUNCTION("IF(
  AND(D318=""Saída"", J318=""Sangria""),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2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270" t="str">
        <f>IFERROR(__xludf.DUMMYFUNCTION("IF(
  AND(D319=""Saída"", J319=""Sangria""),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74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270" t="str">
        <f>IFERROR(__xludf.DUMMYFUNCTION("IF(
  AND(D320=""Saída"", J320=""Sangria""),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2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270" t="str">
        <f>IFERROR(__xludf.DUMMYFUNCTION("IF(
  AND(D321=""Saída"", J321=""Sangria""),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74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270" t="str">
        <f>IFERROR(__xludf.DUMMYFUNCTION("IF(
  AND(D322=""Saída"", J322=""Sangria""),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2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270" t="str">
        <f>IFERROR(__xludf.DUMMYFUNCTION("IF(
  AND(D323=""Saída"", J323=""Sangria""),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74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270" t="str">
        <f>IFERROR(__xludf.DUMMYFUNCTION("IF(
  AND(D324=""Saída"", J324=""Sangria""),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2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270" t="str">
        <f>IFERROR(__xludf.DUMMYFUNCTION("IF(
  AND(D325=""Saída"", J325=""Sangria""),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74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270" t="str">
        <f>IFERROR(__xludf.DUMMYFUNCTION("IF(
  AND(D326=""Saída"", J326=""Sangria""),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2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270" t="str">
        <f>IFERROR(__xludf.DUMMYFUNCTION("IF(
  AND(D327=""Saída"", J327=""Sangria""),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74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270" t="str">
        <f>IFERROR(__xludf.DUMMYFUNCTION("IF(
  AND(D328=""Saída"", J328=""Sangria""),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2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270" t="str">
        <f>IFERROR(__xludf.DUMMYFUNCTION("IF(
  AND(D329=""Saída"", J329=""Sangria""),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74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270" t="str">
        <f>IFERROR(__xludf.DUMMYFUNCTION("IF(
  AND(D330=""Saída"", J330=""Sangria""),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2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270" t="str">
        <f>IFERROR(__xludf.DUMMYFUNCTION("IF(
  AND(D331=""Saída"", J331=""Sangria""),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74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270" t="str">
        <f>IFERROR(__xludf.DUMMYFUNCTION("IF(
  AND(D332=""Saída"", J332=""Sangria""),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2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270" t="str">
        <f>IFERROR(__xludf.DUMMYFUNCTION("IF(
  AND(D333=""Saída"", J333=""Sangria""),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74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270" t="str">
        <f>IFERROR(__xludf.DUMMYFUNCTION("IF(
  AND(D334=""Saída"", J334=""Sangria""),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2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270" t="str">
        <f>IFERROR(__xludf.DUMMYFUNCTION("IF(
  AND(D335=""Saída"", J335=""Sangria""),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74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270" t="str">
        <f>IFERROR(__xludf.DUMMYFUNCTION("IF(
  AND(D336=""Saída"", J336=""Sangria""),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2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270" t="str">
        <f>IFERROR(__xludf.DUMMYFUNCTION("IF(
  AND(D337=""Saída"", J337=""Sangria""),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74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270" t="str">
        <f>IFERROR(__xludf.DUMMYFUNCTION("IF(
  AND(D338=""Saída"", J338=""Sangria""),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2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270" t="str">
        <f>IFERROR(__xludf.DUMMYFUNCTION("IF(
  AND(D339=""Saída"", J339=""Sangria""),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74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270" t="str">
        <f>IFERROR(__xludf.DUMMYFUNCTION("IF(
  AND(D340=""Saída"", J340=""Sangria""),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2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270" t="str">
        <f>IFERROR(__xludf.DUMMYFUNCTION("IF(
  AND(D341=""Saída"", J341=""Sangria""),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74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270" t="str">
        <f>IFERROR(__xludf.DUMMYFUNCTION("IF(
  AND(D342=""Saída"", J342=""Sangria""),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2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270" t="str">
        <f>IFERROR(__xludf.DUMMYFUNCTION("IF(
  AND(D343=""Saída"", J343=""Sangria""),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74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270" t="str">
        <f>IFERROR(__xludf.DUMMYFUNCTION("IF(
  AND(D344=""Saída"", J344=""Sangria""),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2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270" t="str">
        <f>IFERROR(__xludf.DUMMYFUNCTION("IF(
  AND(D345=""Saída"", J345=""Sangria""),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74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270" t="str">
        <f>IFERROR(__xludf.DUMMYFUNCTION("IF(
  AND(D346=""Saída"", J346=""Sangria""),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2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270" t="str">
        <f>IFERROR(__xludf.DUMMYFUNCTION("IF(
  AND(D347=""Saída"", J347=""Sangria""),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74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270" t="str">
        <f>IFERROR(__xludf.DUMMYFUNCTION("IF(
  AND(D348=""Saída"", J348=""Sangria""),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2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270" t="str">
        <f>IFERROR(__xludf.DUMMYFUNCTION("IF(
  AND(D349=""Saída"", J349=""Sangria""),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74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270" t="str">
        <f>IFERROR(__xludf.DUMMYFUNCTION("IF(
  AND(D350=""Saída"", J350=""Sangria""),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2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270" t="str">
        <f>IFERROR(__xludf.DUMMYFUNCTION("IF(
  AND(D351=""Saída"", J351=""Sangria""),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74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270" t="str">
        <f>IFERROR(__xludf.DUMMYFUNCTION("IF(
  AND(D352=""Saída"", J352=""Sangria""),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2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270" t="str">
        <f>IFERROR(__xludf.DUMMYFUNCTION("IF(
  AND(D353=""Saída"", J353=""Sangria""),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74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270" t="str">
        <f>IFERROR(__xludf.DUMMYFUNCTION("IF(
  AND(D354=""Saída"", J354=""Sangria""),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2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270" t="str">
        <f>IFERROR(__xludf.DUMMYFUNCTION("IF(
  AND(D355=""Saída"", J355=""Sangria""),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74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270" t="str">
        <f>IFERROR(__xludf.DUMMYFUNCTION("IF(
  AND(D356=""Saída"", J356=""Sangria""),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2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270" t="str">
        <f>IFERROR(__xludf.DUMMYFUNCTION("IF(
  AND(D357=""Saída"", J357=""Sangria""),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74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270" t="str">
        <f>IFERROR(__xludf.DUMMYFUNCTION("IF(
  AND(D358=""Saída"", J358=""Sangria""),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2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270" t="str">
        <f>IFERROR(__xludf.DUMMYFUNCTION("IF(
  AND(D359=""Saída"", J359=""Sangria""),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74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270" t="str">
        <f>IFERROR(__xludf.DUMMYFUNCTION("IF(
  AND(D360=""Saída"", J360=""Sangria""),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2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270" t="str">
        <f>IFERROR(__xludf.DUMMYFUNCTION("IF(
  AND(D361=""Saída"", J361=""Sangria""),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74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270" t="str">
        <f>IFERROR(__xludf.DUMMYFUNCTION("IF(
  AND(D362=""Saída"", J362=""Sangria""),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2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270" t="str">
        <f>IFERROR(__xludf.DUMMYFUNCTION("IF(
  AND(D363=""Saída"", J363=""Sangria""),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74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270" t="str">
        <f>IFERROR(__xludf.DUMMYFUNCTION("IF(
  AND(D364=""Saída"", J364=""Sangria""),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2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270" t="str">
        <f>IFERROR(__xludf.DUMMYFUNCTION("IF(
  AND(D365=""Saída"", J365=""Sangria""),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74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270" t="str">
        <f>IFERROR(__xludf.DUMMYFUNCTION("IF(
  AND(D366=""Saída"", J366=""Sangria""),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2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270" t="str">
        <f>IFERROR(__xludf.DUMMYFUNCTION("IF(
  AND(D367=""Saída"", J367=""Sangria""),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74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270" t="str">
        <f>IFERROR(__xludf.DUMMYFUNCTION("IF(
  AND(D368=""Saída"", J368=""Sangria""),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2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270" t="str">
        <f>IFERROR(__xludf.DUMMYFUNCTION("IF(
  AND(D369=""Saída"", J369=""Sangria""),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74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270" t="str">
        <f>IFERROR(__xludf.DUMMYFUNCTION("IF(
  AND(D370=""Saída"", J370=""Sangria""),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2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270" t="str">
        <f>IFERROR(__xludf.DUMMYFUNCTION("IF(
  AND(D371=""Saída"", J371=""Sangria""),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74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270" t="str">
        <f>IFERROR(__xludf.DUMMYFUNCTION("IF(
  AND(D372=""Saída"", J372=""Sangria""),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2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270" t="str">
        <f>IFERROR(__xludf.DUMMYFUNCTION("IF(
  AND(D373=""Saída"", J373=""Sangria""),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74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270" t="str">
        <f>IFERROR(__xludf.DUMMYFUNCTION("IF(
  AND(D374=""Saída"", J374=""Sangria""),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2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270" t="str">
        <f>IFERROR(__xludf.DUMMYFUNCTION("IF(
  AND(D375=""Saída"", J375=""Sangria""),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74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270" t="str">
        <f>IFERROR(__xludf.DUMMYFUNCTION("IF(
  AND(D376=""Saída"", J376=""Sangria""),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2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270" t="str">
        <f>IFERROR(__xludf.DUMMYFUNCTION("IF(
  AND(D377=""Saída"", J377=""Sangria""),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74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270" t="str">
        <f>IFERROR(__xludf.DUMMYFUNCTION("IF(
  AND(D378=""Saída"", J378=""Sangria""),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2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270" t="str">
        <f>IFERROR(__xludf.DUMMYFUNCTION("IF(
  AND(D379=""Saída"", J379=""Sangria""),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74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270" t="str">
        <f>IFERROR(__xludf.DUMMYFUNCTION("IF(
  AND(D380=""Saída"", J380=""Sangria""),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2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270" t="str">
        <f>IFERROR(__xludf.DUMMYFUNCTION("IF(
  AND(D381=""Saída"", J381=""Sangria""),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74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270" t="str">
        <f>IFERROR(__xludf.DUMMYFUNCTION("IF(
  AND(D382=""Saída"", J382=""Sangria""),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2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270" t="str">
        <f>IFERROR(__xludf.DUMMYFUNCTION("IF(
  AND(D383=""Saída"", J383=""Sangria""),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74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270" t="str">
        <f>IFERROR(__xludf.DUMMYFUNCTION("IF(
  AND(D384=""Saída"", J384=""Sangria""),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2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270" t="str">
        <f>IFERROR(__xludf.DUMMYFUNCTION("IF(
  AND(D385=""Saída"", J385=""Sangria""),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74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270" t="str">
        <f>IFERROR(__xludf.DUMMYFUNCTION("IF(
  AND(D386=""Saída"", J386=""Sangria""),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2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270" t="str">
        <f>IFERROR(__xludf.DUMMYFUNCTION("IF(
  AND(D387=""Saída"", J387=""Sangria""),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74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270" t="str">
        <f>IFERROR(__xludf.DUMMYFUNCTION("IF(
  AND(D388=""Saída"", J388=""Sangria""),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2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270" t="str">
        <f>IFERROR(__xludf.DUMMYFUNCTION("IF(
  AND(D389=""Saída"", J389=""Sangria""),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74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270" t="str">
        <f>IFERROR(__xludf.DUMMYFUNCTION("IF(
  AND(D390=""Saída"", J390=""Sangria""),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2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270" t="str">
        <f>IFERROR(__xludf.DUMMYFUNCTION("IF(
  AND(D391=""Saída"", J391=""Sangria""),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74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270" t="str">
        <f>IFERROR(__xludf.DUMMYFUNCTION("IF(
  AND(D392=""Saída"", J392=""Sangria""),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2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270" t="str">
        <f>IFERROR(__xludf.DUMMYFUNCTION("IF(
  AND(D393=""Saída"", J393=""Sangria""),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74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270" t="str">
        <f>IFERROR(__xludf.DUMMYFUNCTION("IF(
  AND(D394=""Saída"", J394=""Sangria""),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2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270" t="str">
        <f>IFERROR(__xludf.DUMMYFUNCTION("IF(
  AND(D395=""Saída"", J395=""Sangria""),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74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270" t="str">
        <f>IFERROR(__xludf.DUMMYFUNCTION("IF(
  AND(D396=""Saída"", J396=""Sangria""),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2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270" t="str">
        <f>IFERROR(__xludf.DUMMYFUNCTION("IF(
  AND(D397=""Saída"", J397=""Sangria""),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74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270" t="str">
        <f>IFERROR(__xludf.DUMMYFUNCTION("IF(
  AND(D398=""Saída"", J398=""Sangria""),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2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270" t="str">
        <f>IFERROR(__xludf.DUMMYFUNCTION("IF(
  AND(D399=""Saída"", J399=""Sangria""),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74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270" t="str">
        <f>IFERROR(__xludf.DUMMYFUNCTION("IF(
  AND(D400=""Saída"", J400=""Sangria""),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2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270" t="str">
        <f>IFERROR(__xludf.DUMMYFUNCTION("IF(
  AND(D401=""Saída"", J401=""Sangria""),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74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270" t="str">
        <f>IFERROR(__xludf.DUMMYFUNCTION("IF(
  AND(D402=""Saída"", J402=""Sangria""),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2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270" t="str">
        <f>IFERROR(__xludf.DUMMYFUNCTION("IF(
  AND(D403=""Saída"", J403=""Sangria""),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74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270" t="str">
        <f>IFERROR(__xludf.DUMMYFUNCTION("IF(
  AND(D404=""Saída"", J404=""Sangria""),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2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270" t="str">
        <f>IFERROR(__xludf.DUMMYFUNCTION("IF(
  AND(D405=""Saída"", J405=""Sangria""),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74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270" t="str">
        <f>IFERROR(__xludf.DUMMYFUNCTION("IF(
  AND(D406=""Saída"", J406=""Sangria""),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2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270" t="str">
        <f>IFERROR(__xludf.DUMMYFUNCTION("IF(
  AND(D407=""Saída"", J407=""Sangria""),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74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270" t="str">
        <f>IFERROR(__xludf.DUMMYFUNCTION("IF(
  AND(D408=""Saída"", J408=""Sangria""),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2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270" t="str">
        <f>IFERROR(__xludf.DUMMYFUNCTION("IF(
  AND(D409=""Saída"", J409=""Sangria""),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74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270" t="str">
        <f>IFERROR(__xludf.DUMMYFUNCTION("IF(
  AND(D410=""Saída"", J410=""Sangria""),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2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270" t="str">
        <f>IFERROR(__xludf.DUMMYFUNCTION("IF(
  AND(D411=""Saída"", J411=""Sangria""),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74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270" t="str">
        <f>IFERROR(__xludf.DUMMYFUNCTION("IF(
  AND(D412=""Saída"", J412=""Sangria""),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2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270" t="str">
        <f>IFERROR(__xludf.DUMMYFUNCTION("IF(
  AND(D413=""Saída"", J413=""Sangria""),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74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270" t="str">
        <f>IFERROR(__xludf.DUMMYFUNCTION("IF(
  AND(D414=""Saída"", J414=""Sangria""),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2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270" t="str">
        <f>IFERROR(__xludf.DUMMYFUNCTION("IF(
  AND(D415=""Saída"", J415=""Sangria""),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74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270" t="str">
        <f>IFERROR(__xludf.DUMMYFUNCTION("IF(
  AND(D416=""Saída"", J416=""Sangria""),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2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270" t="str">
        <f>IFERROR(__xludf.DUMMYFUNCTION("IF(
  AND(D417=""Saída"", J417=""Sangria""),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74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270" t="str">
        <f>IFERROR(__xludf.DUMMYFUNCTION("IF(
  AND(D418=""Saída"", J418=""Sangria""),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2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270" t="str">
        <f>IFERROR(__xludf.DUMMYFUNCTION("IF(
  AND(D419=""Saída"", J419=""Sangria""),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74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270" t="str">
        <f>IFERROR(__xludf.DUMMYFUNCTION("IF(
  AND(D420=""Saída"", J420=""Sangria""),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2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270" t="str">
        <f>IFERROR(__xludf.DUMMYFUNCTION("IF(
  AND(D421=""Saída"", J421=""Sangria""),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74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270" t="str">
        <f>IFERROR(__xludf.DUMMYFUNCTION("IF(
  AND(D422=""Saída"", J422=""Sangria""),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2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270" t="str">
        <f>IFERROR(__xludf.DUMMYFUNCTION("IF(
  AND(D423=""Saída"", J423=""Sangria""),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74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270" t="str">
        <f>IFERROR(__xludf.DUMMYFUNCTION("IF(
  AND(D424=""Saída"", J424=""Sangria""),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2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270" t="str">
        <f>IFERROR(__xludf.DUMMYFUNCTION("IF(
  AND(D425=""Saída"", J425=""Sangria""),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74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270" t="str">
        <f>IFERROR(__xludf.DUMMYFUNCTION("IF(
  AND(D426=""Saída"", J426=""Sangria""),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2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270" t="str">
        <f>IFERROR(__xludf.DUMMYFUNCTION("IF(
  AND(D427=""Saída"", J427=""Sangria""),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74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270" t="str">
        <f>IFERROR(__xludf.DUMMYFUNCTION("IF(
  AND(D428=""Saída"", J428=""Sangria""),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2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270" t="str">
        <f>IFERROR(__xludf.DUMMYFUNCTION("IF(
  AND(D429=""Saída"", J429=""Sangria""),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74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270" t="str">
        <f>IFERROR(__xludf.DUMMYFUNCTION("IF(
  AND(D430=""Saída"", J430=""Sangria""),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2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270" t="str">
        <f>IFERROR(__xludf.DUMMYFUNCTION("IF(
  AND(D431=""Saída"", J431=""Sangria""),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74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270" t="str">
        <f>IFERROR(__xludf.DUMMYFUNCTION("IF(
  AND(D432=""Saída"", J432=""Sangria""),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2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270" t="str">
        <f>IFERROR(__xludf.DUMMYFUNCTION("IF(
  AND(D433=""Saída"", J433=""Sangria""),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74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270" t="str">
        <f>IFERROR(__xludf.DUMMYFUNCTION("IF(
  AND(D434=""Saída"", J434=""Sangria""),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2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270" t="str">
        <f>IFERROR(__xludf.DUMMYFUNCTION("IF(
  AND(D435=""Saída"", J435=""Sangria""),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74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270" t="str">
        <f>IFERROR(__xludf.DUMMYFUNCTION("IF(
  AND(D436=""Saída"", J436=""Sangria""),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2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270" t="str">
        <f>IFERROR(__xludf.DUMMYFUNCTION("IF(
  AND(D437=""Saída"", J437=""Sangria""),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74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270" t="str">
        <f>IFERROR(__xludf.DUMMYFUNCTION("IF(
  AND(D438=""Saída"", J438=""Sangria""),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2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270" t="str">
        <f>IFERROR(__xludf.DUMMYFUNCTION("IF(
  AND(D439=""Saída"", J439=""Sangria""),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74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270" t="str">
        <f>IFERROR(__xludf.DUMMYFUNCTION("IF(
  AND(D440=""Saída"", J440=""Sangria""),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2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270" t="str">
        <f>IFERROR(__xludf.DUMMYFUNCTION("IF(
  AND(D441=""Saída"", J441=""Sangria""),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74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270" t="str">
        <f>IFERROR(__xludf.DUMMYFUNCTION("IF(
  AND(D442=""Saída"", J442=""Sangria""),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2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270" t="str">
        <f>IFERROR(__xludf.DUMMYFUNCTION("IF(
  AND(D443=""Saída"", J443=""Sangria""),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74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270" t="str">
        <f>IFERROR(__xludf.DUMMYFUNCTION("IF(
  AND(D444=""Saída"", J444=""Sangria""),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2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270" t="str">
        <f>IFERROR(__xludf.DUMMYFUNCTION("IF(
  AND(D445=""Saída"", J445=""Sangria""),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74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270" t="str">
        <f>IFERROR(__xludf.DUMMYFUNCTION("IF(
  AND(D446=""Saída"", J446=""Sangria""),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2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270" t="str">
        <f>IFERROR(__xludf.DUMMYFUNCTION("IF(
  AND(D447=""Saída"", J447=""Sangria""),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74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270" t="str">
        <f>IFERROR(__xludf.DUMMYFUNCTION("IF(
  AND(D448=""Saída"", J448=""Sangria""),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2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270" t="str">
        <f>IFERROR(__xludf.DUMMYFUNCTION("IF(
  AND(D449=""Saída"", J449=""Sangria""),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74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270" t="str">
        <f>IFERROR(__xludf.DUMMYFUNCTION("IF(
  AND(D450=""Saída"", J450=""Sangria""),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2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270" t="str">
        <f>IFERROR(__xludf.DUMMYFUNCTION("IF(
  AND(D451=""Saída"", J451=""Sangria""),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74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270" t="str">
        <f>IFERROR(__xludf.DUMMYFUNCTION("IF(
  AND(D452=""Saída"", J452=""Sangria""),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2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270" t="str">
        <f>IFERROR(__xludf.DUMMYFUNCTION("IF(
  AND(D453=""Saída"", J453=""Sangria""),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74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270" t="str">
        <f>IFERROR(__xludf.DUMMYFUNCTION("IF(
  AND(D454=""Saída"", J454=""Sangria""),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2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270" t="str">
        <f>IFERROR(__xludf.DUMMYFUNCTION("IF(
  AND(D455=""Saída"", J455=""Sangria""),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74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270" t="str">
        <f>IFERROR(__xludf.DUMMYFUNCTION("IF(
  AND(D456=""Saída"", J456=""Sangria""),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2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270" t="str">
        <f>IFERROR(__xludf.DUMMYFUNCTION("IF(
  AND(D457=""Saída"", J457=""Sangria""),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74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270" t="str">
        <f>IFERROR(__xludf.DUMMYFUNCTION("IF(
  AND(D458=""Saída"", J458=""Sangria""),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2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270" t="str">
        <f>IFERROR(__xludf.DUMMYFUNCTION("IF(
  AND(D459=""Saída"", J459=""Sangria""),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74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270" t="str">
        <f>IFERROR(__xludf.DUMMYFUNCTION("IF(
  AND(D460=""Saída"", J460=""Sangria""),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2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270" t="str">
        <f>IFERROR(__xludf.DUMMYFUNCTION("IF(
  AND(D461=""Saída"", J461=""Sangria""),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74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270" t="str">
        <f>IFERROR(__xludf.DUMMYFUNCTION("IF(
  AND(D462=""Saída"", J462=""Sangria""),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2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270" t="str">
        <f>IFERROR(__xludf.DUMMYFUNCTION("IF(
  AND(D463=""Saída"", J463=""Sangria""),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74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270" t="str">
        <f>IFERROR(__xludf.DUMMYFUNCTION("IF(
  AND(D464=""Saída"", J464=""Sangria""),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2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270" t="str">
        <f>IFERROR(__xludf.DUMMYFUNCTION("IF(
  AND(D465=""Saída"", J465=""Sangria""),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74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270" t="str">
        <f>IFERROR(__xludf.DUMMYFUNCTION("IF(
  AND(D466=""Saída"", J466=""Sangria""),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2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270" t="str">
        <f>IFERROR(__xludf.DUMMYFUNCTION("IF(
  AND(D467=""Saída"", J467=""Sangria""),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74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270" t="str">
        <f>IFERROR(__xludf.DUMMYFUNCTION("IF(
  AND(D468=""Saída"", J468=""Sangria""),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2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270" t="str">
        <f>IFERROR(__xludf.DUMMYFUNCTION("IF(
  AND(D469=""Saída"", J469=""Sangria""),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74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270" t="str">
        <f>IFERROR(__xludf.DUMMYFUNCTION("IF(
  AND(D470=""Saída"", J470=""Sangria""),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2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270" t="str">
        <f>IFERROR(__xludf.DUMMYFUNCTION("IF(
  AND(D471=""Saída"", J471=""Sangria""),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74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270" t="str">
        <f>IFERROR(__xludf.DUMMYFUNCTION("IF(
  AND(D472=""Saída"", J472=""Sangria""),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2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270" t="str">
        <f>IFERROR(__xludf.DUMMYFUNCTION("IF(
  AND(D473=""Saída"", J473=""Sangria""),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74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270" t="str">
        <f>IFERROR(__xludf.DUMMYFUNCTION("IF(
  AND(D474=""Saída"", J474=""Sangria""),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2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270" t="str">
        <f>IFERROR(__xludf.DUMMYFUNCTION("IF(
  AND(D475=""Saída"", J475=""Sangria""),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74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270" t="str">
        <f>IFERROR(__xludf.DUMMYFUNCTION("IF(
  AND(D476=""Saída"", J476=""Sangria""),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2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270" t="str">
        <f>IFERROR(__xludf.DUMMYFUNCTION("IF(
  AND(D477=""Saída"", J477=""Sangria""),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74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270" t="str">
        <f>IFERROR(__xludf.DUMMYFUNCTION("IF(
  AND(D478=""Saída"", J478=""Sangria""),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2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270" t="str">
        <f>IFERROR(__xludf.DUMMYFUNCTION("IF(
  AND(D479=""Saída"", J479=""Sangria""),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74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270" t="str">
        <f>IFERROR(__xludf.DUMMYFUNCTION("IF(
  AND(D480=""Saída"", J480=""Sangria""),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2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270" t="str">
        <f>IFERROR(__xludf.DUMMYFUNCTION("IF(
  AND(D481=""Saída"", J481=""Sangria""),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74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270" t="str">
        <f>IFERROR(__xludf.DUMMYFUNCTION("IF(
  AND(D482=""Saída"", J482=""Sangria""),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2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270" t="str">
        <f>IFERROR(__xludf.DUMMYFUNCTION("IF(
  AND(D483=""Saída"", J483=""Sangria""),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74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270" t="str">
        <f>IFERROR(__xludf.DUMMYFUNCTION("IF(
  AND(D484=""Saída"", J484=""Sangria""),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2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270" t="str">
        <f>IFERROR(__xludf.DUMMYFUNCTION("IF(
  AND(D485=""Saída"", J485=""Sangria""),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74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270" t="str">
        <f>IFERROR(__xludf.DUMMYFUNCTION("IF(
  AND(D486=""Saída"", J486=""Sangria""),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2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270" t="str">
        <f>IFERROR(__xludf.DUMMYFUNCTION("IF(
  AND(D487=""Saída"", J487=""Sangria""),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74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270" t="str">
        <f>IFERROR(__xludf.DUMMYFUNCTION("IF(
  AND(D488=""Saída"", J488=""Sangria""),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2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270" t="str">
        <f>IFERROR(__xludf.DUMMYFUNCTION("IF(
  AND(D489=""Saída"", J489=""Sangria""),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74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270" t="str">
        <f>IFERROR(__xludf.DUMMYFUNCTION("IF(
  AND(D490=""Saída"", J490=""Sangria""),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2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270" t="str">
        <f>IFERROR(__xludf.DUMMYFUNCTION("IF(
  AND(D491=""Saída"", J491=""Sangria""),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74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270" t="str">
        <f>IFERROR(__xludf.DUMMYFUNCTION("IF(
  AND(D492=""Saída"", J492=""Sangria""),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2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270" t="str">
        <f>IFERROR(__xludf.DUMMYFUNCTION("IF(
  AND(D493=""Saída"", J493=""Sangria""),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74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270" t="str">
        <f>IFERROR(__xludf.DUMMYFUNCTION("IF(
  AND(D494=""Saída"", J494=""Sangria""),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2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270" t="str">
        <f>IFERROR(__xludf.DUMMYFUNCTION("IF(
  AND(D495=""Saída"", J495=""Sangria""),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74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270" t="str">
        <f>IFERROR(__xludf.DUMMYFUNCTION("IF(
  AND(D496=""Saída"", J496=""Sangria""),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2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270" t="str">
        <f>IFERROR(__xludf.DUMMYFUNCTION("IF(
  AND(D497=""Saída"", J497=""Sangria""),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74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270" t="str">
        <f>IFERROR(__xludf.DUMMYFUNCTION("IF(
  AND(D498=""Saída"", J498=""Sangria""),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2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270" t="str">
        <f>IFERROR(__xludf.DUMMYFUNCTION("IF(
  AND(D499=""Saída"", J499=""Sangria""),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74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270" t="str">
        <f>IFERROR(__xludf.DUMMYFUNCTION("IF(
  AND(D500=""Saída"", J500=""Sangria""),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2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270" t="str">
        <f>IFERROR(__xludf.DUMMYFUNCTION("IF(
  AND(D501=""Saída"", J501=""Sangria""),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74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270" t="str">
        <f>IFERROR(__xludf.DUMMYFUNCTION("IF(
  AND(D502=""Saída"", J502=""Sangria""),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2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270" t="str">
        <f>IFERROR(__xludf.DUMMYFUNCTION("IF(
  AND(D503=""Saída"", J503=""Sangria""),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74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270" t="str">
        <f>IFERROR(__xludf.DUMMYFUNCTION("IF(
  AND(D504=""Saída"", J504=""Sangria""),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2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5"/>
      <c r="B505" s="320"/>
      <c r="C505" s="255"/>
      <c r="D505" s="190"/>
      <c r="E505" s="257"/>
      <c r="F505" s="190"/>
      <c r="G505" s="258"/>
      <c r="H505" s="190"/>
      <c r="I505" s="190"/>
      <c r="J505" s="189"/>
      <c r="K505" s="189"/>
      <c r="L505" s="270" t="str">
        <f>IFERROR(__xludf.DUMMYFUNCTION("IF(
  AND(D505=""Saída"", J505=""Sangria""),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74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5"/>
      <c r="B506" s="320"/>
      <c r="C506" s="255"/>
      <c r="D506" s="190"/>
      <c r="E506" s="257"/>
      <c r="F506" s="190"/>
      <c r="G506" s="258"/>
      <c r="H506" s="190"/>
      <c r="I506" s="190"/>
      <c r="J506" s="189"/>
      <c r="K506" s="189"/>
      <c r="L506" s="270" t="str">
        <f>IFERROR(__xludf.DUMMYFUNCTION("IF(
  AND(D506=""Saída"", J506=""Sangria""),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2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5"/>
      <c r="B507" s="320"/>
      <c r="C507" s="255"/>
      <c r="D507" s="190"/>
      <c r="E507" s="257"/>
      <c r="F507" s="190"/>
      <c r="G507" s="258"/>
      <c r="H507" s="190"/>
      <c r="I507" s="190"/>
      <c r="J507" s="189"/>
      <c r="K507" s="189"/>
      <c r="L507" s="270" t="str">
        <f>IFERROR(__xludf.DUMMYFUNCTION("IF(
  AND(D507=""Saída"", J507=""Sangria""),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74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7:R37"/>
    <mergeCell ref="O59:T60"/>
    <mergeCell ref="S61:T61"/>
    <mergeCell ref="O106:V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52:U152"/>
    <mergeCell ref="S153:U153"/>
    <mergeCell ref="S154:U154"/>
    <mergeCell ref="S155:U155"/>
    <mergeCell ref="S156:U156"/>
    <mergeCell ref="S157:U157"/>
    <mergeCell ref="S158:U158"/>
    <mergeCell ref="S145:U145"/>
    <mergeCell ref="S146:U146"/>
    <mergeCell ref="S147:U147"/>
    <mergeCell ref="S148:U148"/>
    <mergeCell ref="S149:U149"/>
    <mergeCell ref="S150:U150"/>
    <mergeCell ref="S151:U151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7:W37"/>
  </mergeCells>
  <conditionalFormatting sqref="E29:E213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W4 L11 D20 O20:W20 O38:W38 U58:W58">
    <cfRule type="cellIs" dxfId="6" priority="10" operator="greaterThanOrEqual">
      <formula>500</formula>
    </cfRule>
  </conditionalFormatting>
  <conditionalFormatting sqref="L4:W4 L11 D20 O20:W20 O38:W38 U58:W58">
    <cfRule type="cellIs" dxfId="7" priority="11" operator="between">
      <formula>400</formula>
      <formula>500</formula>
    </cfRule>
  </conditionalFormatting>
  <conditionalFormatting sqref="E29:E507">
    <cfRule type="containsText" dxfId="9" priority="12" operator="containsText" text="R$">
      <formula>NOT(ISERROR(SEARCH(("R$"),(E29))))</formula>
    </cfRule>
  </conditionalFormatting>
  <conditionalFormatting sqref="B29:B60 C29:K507 B62:B507">
    <cfRule type="expression" dxfId="5" priority="13">
      <formula>and($J$29:$J$504="Sangria",$D$29:$D$504="Saída")</formula>
    </cfRule>
  </conditionalFormatting>
  <conditionalFormatting sqref="K29:K507">
    <cfRule type="expression" dxfId="10" priority="14">
      <formula>or($J$29:$J$218="Compra Moedas",$J$29:$J$218="Cortesias",$J$29:$J$218="Troco")</formula>
    </cfRule>
  </conditionalFormatting>
  <conditionalFormatting sqref="K29:K507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7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1">
      <formula>and($C$29:$C$218="",or($D$29:$D$218="Entrada",$D$29:$D$218="Saída"))</formula>
    </cfRule>
  </conditionalFormatting>
  <conditionalFormatting sqref="I29:I507">
    <cfRule type="expression" dxfId="8" priority="22">
      <formula>and(K29 = "",or(J29="Consumo",J29="Adiantamento"))</formula>
    </cfRule>
  </conditionalFormatting>
  <conditionalFormatting sqref="M29:M507">
    <cfRule type="cellIs" dxfId="8" priority="23" operator="equal">
      <formula>"Não Encontrada"</formula>
    </cfRule>
  </conditionalFormatting>
  <conditionalFormatting sqref="L29:L507">
    <cfRule type="cellIs" dxfId="8" priority="24" operator="equal">
      <formula>"Caixa Sangria"</formula>
    </cfRule>
  </conditionalFormatting>
  <dataValidations>
    <dataValidation type="list" allowBlank="1" showErrorMessage="1" sqref="K29:K507">
      <formula1>'MARÇO 2026'!$B$4:$B$16</formula1>
    </dataValidation>
    <dataValidation type="list" allowBlank="1" showErrorMessage="1" sqref="J29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3.25"/>
    <col customWidth="1" min="15" max="15" width="10.13"/>
    <col customWidth="1" min="16" max="16" width="12.0"/>
    <col customWidth="1" min="17" max="17" width="12.75"/>
    <col customWidth="1" min="18" max="18" width="14.63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26"/>
      <c r="O2" s="30" t="s">
        <v>1840</v>
      </c>
      <c r="P2" s="28"/>
      <c r="Q2" s="28"/>
      <c r="R2" s="28"/>
      <c r="S2" s="28"/>
      <c r="T2" s="28"/>
      <c r="U2" s="28"/>
      <c r="V2" s="28"/>
      <c r="W2" s="29"/>
    </row>
    <row r="3">
      <c r="A3" s="31" t="s">
        <v>1847</v>
      </c>
      <c r="B3" s="32"/>
      <c r="C3" s="33" t="str">
        <f>B4</f>
        <v>Marcelo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/>
      </c>
      <c r="J3" s="32"/>
      <c r="K3" s="34" t="str">
        <f>B8</f>
        <v>Gabriel Azevedo</v>
      </c>
      <c r="L3" s="35"/>
      <c r="M3" s="36"/>
      <c r="N3" s="36"/>
      <c r="O3" s="37" t="str">
        <f>B4</f>
        <v>Marcelo</v>
      </c>
      <c r="P3" s="28"/>
      <c r="Q3" s="28"/>
      <c r="R3" s="29"/>
      <c r="S3" s="38"/>
      <c r="T3" s="39" t="str">
        <f>B5</f>
        <v>Mariane</v>
      </c>
      <c r="U3" s="28"/>
      <c r="V3" s="28"/>
      <c r="W3" s="29"/>
    </row>
    <row r="4" ht="15.75" customHeight="1">
      <c r="A4" s="40" t="s">
        <v>132</v>
      </c>
      <c r="B4" s="41" t="s">
        <v>6576</v>
      </c>
      <c r="C4" s="42" t="s">
        <v>1900</v>
      </c>
      <c r="D4" s="43">
        <f>SUMIFS(N29:N504,J29:J504,C4,K29:K504,C3)+SUMIF(Q62:Q104,A4,R62:R104)+D9</f>
        <v>0</v>
      </c>
      <c r="E4" s="44" t="s">
        <v>1900</v>
      </c>
      <c r="F4" s="43">
        <f>SUMIFS(N29:N504,J29:J504,E4,K29:K504,E3)+SUMIF(Q62:Q104,A5,R62:R104)+F9</f>
        <v>0</v>
      </c>
      <c r="G4" s="44" t="s">
        <v>1900</v>
      </c>
      <c r="H4" s="43">
        <f>SUMIFS(N29:N504,J29:J504,C4,K29:K504,G3)+SUMIF(Q62:Q104,A6,R62:R104)+H9</f>
        <v>0</v>
      </c>
      <c r="I4" s="44" t="s">
        <v>1900</v>
      </c>
      <c r="J4" s="43">
        <f>SUMIFS(N29:N504,J29:J504,C4,K29:K504,I3)+SUMIF(Q62:Q104,A7,R62:R104)+J9</f>
        <v>0</v>
      </c>
      <c r="K4" s="44" t="s">
        <v>1900</v>
      </c>
      <c r="L4" s="45">
        <f>SUMIFS(N29:N504,J29:J504,C4,K29:K504,K3)+SUMIF(Q62:Q104,A8,R62:R104)+L9</f>
        <v>100</v>
      </c>
      <c r="M4" s="26"/>
      <c r="N4" s="26"/>
      <c r="O4" s="46" t="str">
        <f>IFERROR(__xludf.DUMMYFUNCTION("query(C28:L507,""select Col1,Col3,Col8,Col9 where (Col8 = 'Adiantamento' or Col8 = 'Consumo') and Col9 = '""&amp;B4&amp;""'"",1)"),"Data")</f>
        <v>Data</v>
      </c>
      <c r="P4" s="47" t="str">
        <f>IFERROR(__xludf.DUMMYFUNCTION("""COMPUTED_VALUE"""),"Valor ")</f>
        <v>Valor </v>
      </c>
      <c r="Q4" s="47" t="str">
        <f>IFERROR(__xludf.DUMMYFUNCTION("""COMPUTED_VALUE"""),"Tipo")</f>
        <v>Tipo</v>
      </c>
      <c r="R4" s="48" t="str">
        <f>IFERROR(__xludf.DUMMYFUNCTION("""COMPUTED_VALUE"""),"Funcionário")</f>
        <v>Funcionário</v>
      </c>
      <c r="S4" s="49"/>
      <c r="T4" s="50" t="str">
        <f>IFERROR(__xludf.DUMMYFUNCTION("query(C28:L507,""select Col1,Col3,Col8,Col9 where (Col8 = 'Adiantamento' or Col8 = 'Consumo') and Col9 = '""&amp;B5&amp;""'"",1)"),"Data")</f>
        <v>Data</v>
      </c>
      <c r="U4" s="50" t="str">
        <f>IFERROR(__xludf.DUMMYFUNCTION("""COMPUTED_VALUE"""),"Valor ")</f>
        <v>Valor </v>
      </c>
      <c r="V4" s="50" t="str">
        <f>IFERROR(__xludf.DUMMYFUNCTION("""COMPUTED_VALUE"""),"Tipo")</f>
        <v>Tipo</v>
      </c>
      <c r="W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SUMIFS(N29:N504,J29:J504,C5,K29:K504,C3)</f>
        <v>0</v>
      </c>
      <c r="E5" s="44" t="s">
        <v>2019</v>
      </c>
      <c r="F5" s="43">
        <f>SUMIFS(N29:N504,J29:J504,C5,K29:K504,E3)</f>
        <v>0</v>
      </c>
      <c r="G5" s="44" t="s">
        <v>2019</v>
      </c>
      <c r="H5" s="43">
        <f>SUMIFS(N29:N504,J29:J504,C5,K29:K504,G3)</f>
        <v>321.31</v>
      </c>
      <c r="I5" s="44" t="s">
        <v>2019</v>
      </c>
      <c r="J5" s="43">
        <f>SUMIFS(N29:N504,J29:J504,C5,K29:K504,I3)</f>
        <v>0</v>
      </c>
      <c r="K5" s="44" t="s">
        <v>2019</v>
      </c>
      <c r="L5" s="45">
        <f>SUMIFS(N29:N504,J29:J504,C5,K29:K504,K3)</f>
        <v>194.43</v>
      </c>
      <c r="M5" s="26"/>
      <c r="N5" s="26"/>
      <c r="O5" s="52"/>
      <c r="P5" s="53"/>
      <c r="Q5" s="53"/>
      <c r="R5" s="54"/>
      <c r="S5" s="55"/>
      <c r="T5" s="53"/>
      <c r="U5" s="53"/>
      <c r="V5" s="53"/>
      <c r="W5" s="54"/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0</v>
      </c>
      <c r="G6" s="44" t="s">
        <v>2079</v>
      </c>
      <c r="H6" s="43">
        <f>H5*0.8</f>
        <v>257.048</v>
      </c>
      <c r="I6" s="44" t="s">
        <v>2079</v>
      </c>
      <c r="J6" s="43">
        <f>J5*0.8</f>
        <v>0</v>
      </c>
      <c r="K6" s="57" t="s">
        <v>2079</v>
      </c>
      <c r="L6" s="45">
        <f>L5*0.8</f>
        <v>155.544</v>
      </c>
      <c r="M6" s="26"/>
      <c r="N6" s="26"/>
      <c r="O6" s="52"/>
      <c r="P6" s="53"/>
      <c r="Q6" s="53"/>
      <c r="R6" s="54"/>
      <c r="S6" s="55"/>
      <c r="T6" s="53"/>
      <c r="U6" s="53"/>
      <c r="V6" s="53"/>
      <c r="W6" s="54"/>
    </row>
    <row r="7" ht="14.25" customHeight="1">
      <c r="A7" s="40"/>
      <c r="B7" s="41"/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62"/>
      <c r="O7" s="52"/>
      <c r="P7" s="53"/>
      <c r="Q7" s="53"/>
      <c r="R7" s="54"/>
      <c r="S7" s="55"/>
      <c r="T7" s="53"/>
      <c r="U7" s="53"/>
      <c r="V7" s="53"/>
      <c r="W7" s="54"/>
    </row>
    <row r="8" ht="14.25" customHeight="1">
      <c r="A8" s="16" t="s">
        <v>6077</v>
      </c>
      <c r="B8" s="41" t="s">
        <v>6745</v>
      </c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69"/>
      <c r="O8" s="52"/>
      <c r="P8" s="53"/>
      <c r="Q8" s="53"/>
      <c r="R8" s="54"/>
      <c r="S8" s="55"/>
      <c r="T8" s="53"/>
      <c r="U8" s="53"/>
      <c r="V8" s="53"/>
      <c r="W8" s="54"/>
    </row>
    <row r="9">
      <c r="A9" s="40" t="s">
        <v>6086</v>
      </c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69"/>
      <c r="O9" s="52"/>
      <c r="P9" s="53"/>
      <c r="Q9" s="53"/>
      <c r="R9" s="54"/>
      <c r="S9" s="55"/>
      <c r="T9" s="53"/>
      <c r="U9" s="53"/>
      <c r="V9" s="53"/>
      <c r="W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25"/>
      <c r="O10" s="52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1900</v>
      </c>
      <c r="D11" s="85">
        <f>SUMIFS(N29:N514,J29:J514,C11,K29:K514,C10)+SUMIF(Q62:Q104,A9,R62:R104)+D16</f>
        <v>0</v>
      </c>
      <c r="E11" s="86" t="s">
        <v>1900</v>
      </c>
      <c r="F11" s="85">
        <f>SUMIFS(N29:N514,J29:J514,E11,K29:K514,E10)+SUMIF(Q62:Q104,A10,R62:R104)+F16</f>
        <v>0</v>
      </c>
      <c r="G11" s="86" t="s">
        <v>1900</v>
      </c>
      <c r="H11" s="85">
        <f>SUMIFS(N29:N514,J29:J514,C11,K29:K514,G10)+SUMIF(Q62:Q104,A11,R62:R104)+H16</f>
        <v>0</v>
      </c>
      <c r="I11" s="86" t="s">
        <v>1900</v>
      </c>
      <c r="J11" s="85">
        <f>SUMIFS(N29:N514,J29:J514,C11,K29:K514,I10)+SUMIF(Q62:Q104,A11,R62:R104)+J16</f>
        <v>0</v>
      </c>
      <c r="K11" s="86" t="s">
        <v>1900</v>
      </c>
      <c r="L11" s="87">
        <f>SUMIFS(N29:N514,J29:J514,C11,K29:K514,K10)+SUMIF(Q62:Q104,A13,R62:R104)+L16</f>
        <v>0</v>
      </c>
      <c r="M11" s="25"/>
      <c r="N11" s="25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2019</v>
      </c>
      <c r="D12" s="85">
        <f>SUMIFS(N36:N514,J36:J514,C12,K36:K514,C10)</f>
        <v>0</v>
      </c>
      <c r="E12" s="86" t="s">
        <v>2019</v>
      </c>
      <c r="F12" s="85">
        <f>SUMIFS(N29:N514,J29:J514,C12,K29:K514,E10)</f>
        <v>0</v>
      </c>
      <c r="G12" s="86" t="s">
        <v>2019</v>
      </c>
      <c r="H12" s="85">
        <f>SUMIFS(N36:N514,J36:J514,C12,K36:K514,G10)</f>
        <v>0</v>
      </c>
      <c r="I12" s="86" t="s">
        <v>2019</v>
      </c>
      <c r="J12" s="85">
        <f>SUMIFS(N29:N514,J29:J514,C12,K29:K514,I10)</f>
        <v>0</v>
      </c>
      <c r="K12" s="86" t="s">
        <v>2019</v>
      </c>
      <c r="L12" s="87">
        <f>SUMIFS(N29:N514,J29:J514,C12,K29:K514,K10)</f>
        <v>0</v>
      </c>
      <c r="M12" s="25"/>
      <c r="N12" s="25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25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25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25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25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25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25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4"/>
      <c r="B19" s="24"/>
      <c r="C19" s="112"/>
      <c r="D19" s="113"/>
      <c r="E19" s="112"/>
      <c r="F19" s="114"/>
      <c r="G19" s="266" t="s">
        <v>6509</v>
      </c>
      <c r="H19" s="116">
        <f>SUMIF(L29:L499,G19,N29:N499)</f>
        <v>2050</v>
      </c>
      <c r="I19" s="117" t="s">
        <v>2436</v>
      </c>
      <c r="J19" s="118" t="s">
        <v>2438</v>
      </c>
      <c r="K19" s="119" t="s">
        <v>2440</v>
      </c>
      <c r="L19" s="113"/>
      <c r="M19" s="25"/>
      <c r="N19" s="25"/>
      <c r="O19" s="123" t="str">
        <f>B6</f>
        <v>Isabeli Grassmann</v>
      </c>
      <c r="P19" s="106"/>
      <c r="Q19" s="106"/>
      <c r="R19" s="124"/>
      <c r="S19" s="122"/>
      <c r="T19" s="123" t="str">
        <f>B7</f>
        <v/>
      </c>
      <c r="U19" s="106"/>
      <c r="V19" s="106"/>
      <c r="W19" s="124"/>
    </row>
    <row r="20">
      <c r="A20" s="125"/>
      <c r="B20" s="125"/>
      <c r="C20" s="126" t="s">
        <v>1900</v>
      </c>
      <c r="D20" s="127">
        <f>SUMIFS(N29:N504,J29:J504,C20,K29:K504,C19)+SUMIF(Q68:Q104,A9,R68:R104)+D25</f>
        <v>0</v>
      </c>
      <c r="E20" s="126" t="s">
        <v>1900</v>
      </c>
      <c r="F20" s="128">
        <f>SUMIFS(N29:N504,J29:J504,C20,K29:K504,E19)+SUMIF(Q68:Q104,A10,R68:R104)+F25</f>
        <v>0</v>
      </c>
      <c r="G20" s="129" t="s">
        <v>2473</v>
      </c>
      <c r="H20" s="130">
        <v>8450.0</v>
      </c>
      <c r="I20" s="131">
        <f>SUMIF(J29:J504,I19,N29:N504)</f>
        <v>0</v>
      </c>
      <c r="J20" s="132">
        <f>SUMIF(J29:J504,J19,N29:N504)</f>
        <v>243.82</v>
      </c>
      <c r="K20" s="133" t="s">
        <v>2491</v>
      </c>
      <c r="L20" s="134"/>
      <c r="M20" s="25"/>
      <c r="N20" s="25"/>
      <c r="O20" s="50" t="str">
        <f>IFERROR(__xludf.DUMMYFUNCTION("query(C28:L507,""select Col1,Col3,Col8,Col9 where (Col8 = 'Adiantamento' or Col8 = 'Consumo') and Col9 = '""&amp;B6&amp;""'"",1)"),"#REF!")</f>
        <v>#REF!</v>
      </c>
      <c r="P20" s="50"/>
      <c r="Q20" s="50"/>
      <c r="R20" s="51"/>
      <c r="S20" s="49"/>
      <c r="T20" s="50" t="str">
        <f>IFERROR(__xludf.DUMMYFUNCTION("query(C28:L507,""select Col1,Col3,Col8,Col9 where (Col8 = 'Adiantamento' or Col8 = 'Consumo') and Col9 = '""&amp;B7&amp;""'"",1)"),"Data")</f>
        <v>Data</v>
      </c>
      <c r="U20" s="50" t="str">
        <f>IFERROR(__xludf.DUMMYFUNCTION("""COMPUTED_VALUE"""),"Valor ")</f>
        <v>Valor </v>
      </c>
      <c r="V20" s="50" t="str">
        <f>IFERROR(__xludf.DUMMYFUNCTION("""COMPUTED_VALUE"""),"Tipo")</f>
        <v>Tipo</v>
      </c>
      <c r="W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SUMIFS(N29:N504,J29:J504,C21,K29:K504,C19)</f>
        <v>0</v>
      </c>
      <c r="E21" s="126" t="s">
        <v>2019</v>
      </c>
      <c r="F21" s="128">
        <f>SUMIFS(N29:N504,J29:J504,E21,K29:K504,E19)</f>
        <v>0</v>
      </c>
      <c r="G21" s="86" t="s">
        <v>2522</v>
      </c>
      <c r="H21" s="127">
        <f>SUMIFS(N29:N504,D29:D504,"Saída",J29:J504,"Sangria")</f>
        <v>24690</v>
      </c>
      <c r="I21" s="138"/>
      <c r="J21" s="139"/>
      <c r="K21" s="133" t="s">
        <v>2530</v>
      </c>
      <c r="L21" s="134"/>
      <c r="M21" s="25"/>
      <c r="N21" s="25"/>
      <c r="O21" s="53"/>
      <c r="P21" s="53"/>
      <c r="Q21" s="53"/>
      <c r="R21" s="54"/>
      <c r="S21" s="55"/>
      <c r="T21" s="53"/>
      <c r="U21" s="53"/>
      <c r="V21" s="53"/>
      <c r="W21" s="54"/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SUMIFS(N29:N504,D29:D504,"Entrada",J29:J504,"Sangria")</f>
        <v>0</v>
      </c>
      <c r="I22" s="144" t="s">
        <v>2556</v>
      </c>
      <c r="J22" s="145"/>
      <c r="K22" s="133" t="s">
        <v>2559</v>
      </c>
      <c r="L22" s="134"/>
      <c r="M22" s="25"/>
      <c r="N22" s="25"/>
      <c r="O22" s="53"/>
      <c r="P22" s="53"/>
      <c r="Q22" s="53"/>
      <c r="R22" s="54"/>
      <c r="S22" s="55"/>
      <c r="T22" s="53"/>
      <c r="U22" s="53"/>
      <c r="V22" s="53"/>
      <c r="W22" s="54"/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SUMIF(J29:J504,I22,N29:N504)</f>
        <v>0</v>
      </c>
      <c r="J23" s="152"/>
      <c r="K23" s="133" t="s">
        <v>2578</v>
      </c>
      <c r="L23" s="134"/>
      <c r="M23" s="25"/>
      <c r="N23" s="25"/>
      <c r="O23" s="53"/>
      <c r="P23" s="53"/>
      <c r="Q23" s="53"/>
      <c r="R23" s="54"/>
      <c r="S23" s="55"/>
      <c r="T23" s="53"/>
      <c r="U23" s="53"/>
      <c r="V23" s="53"/>
      <c r="W23" s="54"/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SUMIF(L29:L504,G24,N29:N504)</f>
        <v>0</v>
      </c>
      <c r="I24" s="157" t="s">
        <v>2593</v>
      </c>
      <c r="J24" s="150"/>
      <c r="K24" s="133" t="s">
        <v>2594</v>
      </c>
      <c r="L24" s="134"/>
      <c r="M24" s="25"/>
      <c r="N24" s="25"/>
      <c r="O24" s="53"/>
      <c r="P24" s="53"/>
      <c r="Q24" s="53"/>
      <c r="R24" s="54"/>
      <c r="S24" s="55"/>
      <c r="T24" s="53"/>
      <c r="U24" s="53"/>
      <c r="V24" s="53"/>
      <c r="W24" s="54"/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SUMIF(L29:L504,G25,N29:N504)</f>
        <v>0</v>
      </c>
      <c r="I25" s="151">
        <f>SUMIF(J29:J504,I24,N29:N504)</f>
        <v>0</v>
      </c>
      <c r="J25" s="152"/>
      <c r="K25" s="162"/>
      <c r="L25" s="163"/>
      <c r="M25" s="26"/>
      <c r="N25" s="26"/>
      <c r="O25" s="53"/>
      <c r="P25" s="53"/>
      <c r="Q25" s="53"/>
      <c r="R25" s="54"/>
      <c r="S25" s="55"/>
      <c r="T25" s="53"/>
      <c r="U25" s="53"/>
      <c r="V25" s="53"/>
      <c r="W25" s="54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79"/>
      <c r="P26" s="79"/>
      <c r="Q26" s="79"/>
      <c r="R26" s="80"/>
      <c r="S26" s="81"/>
      <c r="T26" s="79"/>
      <c r="U26" s="79"/>
      <c r="V26" s="79"/>
      <c r="W26" s="80"/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04"/>
      <c r="N27" s="167"/>
      <c r="O27" s="89"/>
      <c r="P27" s="89"/>
      <c r="Q27" s="89"/>
      <c r="R27" s="90"/>
      <c r="S27" s="91"/>
      <c r="T27" s="89"/>
      <c r="U27" s="89"/>
      <c r="V27" s="89"/>
      <c r="W27" s="90"/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268" t="s">
        <v>2647</v>
      </c>
      <c r="M28" s="269" t="s">
        <v>8</v>
      </c>
      <c r="N28" s="167"/>
      <c r="O28" s="89"/>
      <c r="P28" s="89"/>
      <c r="Q28" s="89"/>
      <c r="R28" s="90"/>
      <c r="S28" s="91"/>
      <c r="T28" s="89"/>
      <c r="U28" s="89"/>
      <c r="V28" s="89"/>
      <c r="W28" s="90"/>
    </row>
    <row r="29" ht="14.25" customHeight="1">
      <c r="A29" s="178"/>
      <c r="B29" s="12">
        <v>2086914.0</v>
      </c>
      <c r="C29" s="13">
        <v>46107.52162037037</v>
      </c>
      <c r="D29" s="179" t="s">
        <v>81</v>
      </c>
      <c r="E29" s="180" t="s">
        <v>146</v>
      </c>
      <c r="F29" s="181"/>
      <c r="G29" s="179" t="s">
        <v>7183</v>
      </c>
      <c r="H29" s="182"/>
      <c r="I29" s="182"/>
      <c r="J29" s="183" t="s">
        <v>2735</v>
      </c>
      <c r="K29" s="183" t="s">
        <v>6576</v>
      </c>
      <c r="L29" s="270" t="str">
        <f>IFERROR(__xludf.DUMMYFUNCTION("IF(
  AND(D29=""Saída"", J29=""Sangria""),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"),"Confirmada")</f>
        <v>Confirmada</v>
      </c>
      <c r="M29" s="27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IFERROR(__xludf.DUMMYFUNCTION("ifna(VALUE(REGEXEXTRACT(E29,""[0-9.]+[,]+[0-9]+"")))"),400.0)</f>
        <v>400</v>
      </c>
      <c r="O29" s="89"/>
      <c r="P29" s="89"/>
      <c r="Q29" s="89"/>
      <c r="R29" s="90"/>
      <c r="S29" s="91"/>
      <c r="T29" s="89"/>
      <c r="U29" s="89"/>
      <c r="V29" s="89"/>
      <c r="W29" s="90"/>
    </row>
    <row r="30" ht="14.25" customHeight="1">
      <c r="A30" s="178"/>
      <c r="B30" s="12">
        <v>2086916.0</v>
      </c>
      <c r="C30" s="13">
        <v>46108.52199074074</v>
      </c>
      <c r="D30" s="179" t="s">
        <v>81</v>
      </c>
      <c r="E30" s="180" t="s">
        <v>7184</v>
      </c>
      <c r="F30" s="181"/>
      <c r="G30" s="179" t="s">
        <v>7185</v>
      </c>
      <c r="H30" s="186"/>
      <c r="I30" s="186"/>
      <c r="J30" s="187" t="s">
        <v>2438</v>
      </c>
      <c r="K30" s="187"/>
      <c r="L30" s="270" t="str">
        <f>IFERROR(__xludf.DUMMYFUNCTION("IF(
  AND(D30=""Saída"", J30=""Sangria""),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2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85">
        <f>IFERROR(__xludf.DUMMYFUNCTION("ifna(VALUE(REGEXEXTRACT(E30,""[0-9.]+[,]+[0-9]+"")))"),59.38)</f>
        <v>59.38</v>
      </c>
      <c r="O30" s="89"/>
      <c r="P30" s="89"/>
      <c r="Q30" s="89"/>
      <c r="R30" s="90"/>
      <c r="S30" s="91"/>
      <c r="T30" s="89"/>
      <c r="U30" s="89"/>
      <c r="V30" s="89"/>
      <c r="W30" s="90"/>
    </row>
    <row r="31" ht="14.25" customHeight="1">
      <c r="A31" s="178"/>
      <c r="B31" s="12">
        <v>2086918.0</v>
      </c>
      <c r="C31" s="13">
        <v>46108.523518518516</v>
      </c>
      <c r="D31" s="179" t="s">
        <v>81</v>
      </c>
      <c r="E31" s="180" t="s">
        <v>5289</v>
      </c>
      <c r="F31" s="181"/>
      <c r="G31" s="179" t="s">
        <v>7186</v>
      </c>
      <c r="H31" s="186"/>
      <c r="I31" s="186"/>
      <c r="J31" s="187"/>
      <c r="K31" s="187"/>
      <c r="L31" s="270" t="str">
        <f>IFERROR(__xludf.DUMMYFUNCTION("IF(
  AND(D31=""Saída"", J31=""Sangria""),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3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IFERROR(__xludf.DUMMYFUNCTION("ifna(VALUE(REGEXEXTRACT(E31,""[0-9.]+[,]+[0-9]+"")))"),0.01)</f>
        <v>0.01</v>
      </c>
      <c r="O31" s="89"/>
      <c r="P31" s="89"/>
      <c r="Q31" s="89"/>
      <c r="R31" s="90"/>
      <c r="S31" s="91"/>
      <c r="T31" s="89"/>
      <c r="U31" s="89"/>
      <c r="V31" s="89"/>
      <c r="W31" s="90"/>
    </row>
    <row r="32" ht="14.25" customHeight="1">
      <c r="A32" s="178"/>
      <c r="B32" s="12">
        <v>2086937.0</v>
      </c>
      <c r="C32" s="13">
        <v>46108.53662037037</v>
      </c>
      <c r="D32" s="179" t="s">
        <v>81</v>
      </c>
      <c r="E32" s="180" t="s">
        <v>7187</v>
      </c>
      <c r="F32" s="181"/>
      <c r="G32" s="179" t="s">
        <v>7188</v>
      </c>
      <c r="H32" s="186"/>
      <c r="I32" s="186"/>
      <c r="J32" s="187" t="s">
        <v>3151</v>
      </c>
      <c r="K32" s="187"/>
      <c r="L32" s="270" t="str">
        <f>IFERROR(__xludf.DUMMYFUNCTION("IF(
  AND(D32=""Saída"", J32=""Sangria""),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2" t="str">
        <f>IFERROR(__xludf.DUMMYFUNCTION("IF(J32=""Compra de Mercadorias"",
   IF(
      COUNTIF(ARRAYFORMULA(TRIM(CLEAN(TO_TEXT(Notas!BS:BS)))), TRIM(CLEAN(TO_TEXT(B32)))) &gt; 0,
      ""Encontrada"",
      ""Não Encontrada""
   ),
"""")"),"Não Encontrada")</f>
        <v>Não Encontrada</v>
      </c>
      <c r="N32" s="185">
        <f>IFERROR(__xludf.DUMMYFUNCTION("ifna(VALUE(REGEXEXTRACT(E32,""[0-9.]+[,]+[0-9]+"")))"),83.87)</f>
        <v>83.87</v>
      </c>
      <c r="O32" s="89"/>
      <c r="P32" s="89"/>
      <c r="Q32" s="89"/>
      <c r="R32" s="90"/>
      <c r="S32" s="91"/>
      <c r="T32" s="89"/>
      <c r="U32" s="89"/>
      <c r="V32" s="89"/>
      <c r="W32" s="90"/>
    </row>
    <row r="33" ht="14.25" customHeight="1">
      <c r="A33" s="178"/>
      <c r="B33" s="12">
        <v>2087058.0</v>
      </c>
      <c r="C33" s="13">
        <v>46108.58273148148</v>
      </c>
      <c r="D33" s="179" t="s">
        <v>81</v>
      </c>
      <c r="E33" s="180" t="s">
        <v>7189</v>
      </c>
      <c r="F33" s="181"/>
      <c r="G33" s="179" t="s">
        <v>7190</v>
      </c>
      <c r="H33" s="186"/>
      <c r="I33" s="186"/>
      <c r="J33" s="187" t="s">
        <v>3151</v>
      </c>
      <c r="K33" s="187"/>
      <c r="L33" s="270" t="str">
        <f>IFERROR(__xludf.DUMMYFUNCTION("IF(
  AND(D33=""Saída"", J33=""Sangria""),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4" t="str">
        <f>IFERROR(__xludf.DUMMYFUNCTION("IF(J33=""Compra de Mercadorias"",
   IF(
      COUNTIF(ARRAYFORMULA(TRIM(CLEAN(TO_TEXT(Notas!BS:BS)))), TRIM(CLEAN(TO_TEXT(B33)))) &gt; 0,
      ""Encontrada"",
      ""Não Encontrada""
   ),
"""")"),"Não Encontrada")</f>
        <v>Não Encontrada</v>
      </c>
      <c r="N33" s="185">
        <f>IFERROR(__xludf.DUMMYFUNCTION("ifna(VALUE(REGEXEXTRACT(E33,""[0-9.]+[,]+[0-9]+"")))"),6.0)</f>
        <v>6</v>
      </c>
      <c r="O33" s="89"/>
      <c r="P33" s="89"/>
      <c r="Q33" s="89"/>
      <c r="R33" s="90"/>
      <c r="S33" s="91"/>
      <c r="T33" s="89"/>
      <c r="U33" s="89"/>
      <c r="V33" s="89"/>
      <c r="W33" s="90"/>
    </row>
    <row r="34" ht="14.25" customHeight="1">
      <c r="A34" s="178"/>
      <c r="B34" s="12">
        <v>2088039.0</v>
      </c>
      <c r="C34" s="13">
        <v>46108.82570601852</v>
      </c>
      <c r="D34" s="179" t="s">
        <v>81</v>
      </c>
      <c r="E34" s="180" t="s">
        <v>7191</v>
      </c>
      <c r="F34" s="181"/>
      <c r="G34" s="179" t="s">
        <v>193</v>
      </c>
      <c r="H34" s="186"/>
      <c r="I34" s="186"/>
      <c r="J34" s="187" t="s">
        <v>3151</v>
      </c>
      <c r="K34" s="187"/>
      <c r="L34" s="270" t="str">
        <f>IFERROR(__xludf.DUMMYFUNCTION("IF(
  AND(D34=""Saída"", J34=""Sangria""),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2" t="str">
        <f>IFERROR(__xludf.DUMMYFUNCTION("IF(J34=""Compra de Mercadorias"",
   IF(
      COUNTIF(ARRAYFORMULA(TRIM(CLEAN(TO_TEXT(Notas!BS:BS)))), TRIM(CLEAN(TO_TEXT(B34)))) &gt; 0,
      ""Encontrada"",
      ""Não Encontrada""
   ),
"""")"),"Não Encontrada")</f>
        <v>Não Encontrada</v>
      </c>
      <c r="N34" s="185">
        <f>IFERROR(__xludf.DUMMYFUNCTION("ifna(VALUE(REGEXEXTRACT(E34,""[0-9.]+[,]+[0-9]+"")))"),66.12)</f>
        <v>66.12</v>
      </c>
      <c r="O34" s="109"/>
      <c r="P34" s="109"/>
      <c r="Q34" s="109"/>
      <c r="R34" s="111"/>
      <c r="S34" s="110"/>
      <c r="T34" s="109"/>
      <c r="U34" s="109"/>
      <c r="V34" s="109"/>
      <c r="W34" s="111"/>
    </row>
    <row r="35" ht="18.75" customHeight="1">
      <c r="A35" s="178"/>
      <c r="B35" s="12">
        <v>2088043.0</v>
      </c>
      <c r="C35" s="13">
        <v>46108.82607638889</v>
      </c>
      <c r="D35" s="179" t="s">
        <v>81</v>
      </c>
      <c r="E35" s="180" t="s">
        <v>7192</v>
      </c>
      <c r="F35" s="181"/>
      <c r="G35" s="179" t="s">
        <v>7193</v>
      </c>
      <c r="H35" s="186"/>
      <c r="I35" s="186"/>
      <c r="J35" s="187" t="s">
        <v>3151</v>
      </c>
      <c r="K35" s="187"/>
      <c r="L35" s="270" t="str">
        <f>IFERROR(__xludf.DUMMYFUNCTION("IF(
  AND(D35=""Saída"", J35=""Sangria""),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74" t="str">
        <f>IFERROR(__xludf.DUMMYFUNCTION("IF(J35=""Compra de Mercadorias"",
   IF(
      COUNTIF(ARRAYFORMULA(TRIM(CLEAN(TO_TEXT(Notas!BS:BS)))), TRIM(CLEAN(TO_TEXT(B35)))) &gt; 0,
      ""Encontrada"",
      ""Não Encontrada""
   ),
"""")"),"Não Encontrada")</f>
        <v>Não Encontrada</v>
      </c>
      <c r="N35" s="185">
        <f>IFERROR(__xludf.DUMMYFUNCTION("ifna(VALUE(REGEXEXTRACT(E35,""[0-9.]+[,]+[0-9]+"")))"),40.46)</f>
        <v>40.46</v>
      </c>
      <c r="O35" s="275"/>
      <c r="P35" s="25"/>
      <c r="Q35" s="25"/>
      <c r="R35" s="25"/>
      <c r="S35" s="110"/>
      <c r="T35" s="25"/>
      <c r="U35" s="25"/>
      <c r="V35" s="25"/>
      <c r="W35" s="25"/>
    </row>
    <row r="36" ht="14.25" customHeight="1">
      <c r="A36" s="178"/>
      <c r="B36" s="12">
        <v>2088100.0</v>
      </c>
      <c r="C36" s="13">
        <v>46108.83876157407</v>
      </c>
      <c r="D36" s="179" t="s">
        <v>81</v>
      </c>
      <c r="E36" s="180" t="s">
        <v>7194</v>
      </c>
      <c r="F36" s="181"/>
      <c r="G36" s="179" t="s">
        <v>128</v>
      </c>
      <c r="H36" s="186"/>
      <c r="I36" s="186"/>
      <c r="J36" s="187" t="s">
        <v>2735</v>
      </c>
      <c r="K36" s="187" t="s">
        <v>6576</v>
      </c>
      <c r="L36" s="270" t="str">
        <f>IFERROR(__xludf.DUMMYFUNCTION("IF(
  AND(D36=""Saída"", J36=""Sangria""),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"),"Confirmada")</f>
        <v>Confirmada</v>
      </c>
      <c r="M36" s="272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IFERROR(__xludf.DUMMYFUNCTION("ifna(VALUE(REGEXEXTRACT(E36,""[0-9.]+[,]+[0-9]+"")))"),1190.0)</f>
        <v>1190</v>
      </c>
      <c r="O36" s="25"/>
      <c r="P36" s="25"/>
      <c r="Q36" s="25"/>
      <c r="R36" s="25"/>
      <c r="S36" s="110"/>
      <c r="T36" s="25"/>
      <c r="U36" s="25"/>
      <c r="V36" s="25"/>
      <c r="W36" s="25"/>
    </row>
    <row r="37" ht="14.25" customHeight="1">
      <c r="A37" s="178"/>
      <c r="B37" s="12">
        <v>2090992.0</v>
      </c>
      <c r="C37" s="13">
        <v>46109.91024305556</v>
      </c>
      <c r="D37" s="179" t="s">
        <v>81</v>
      </c>
      <c r="E37" s="180" t="s">
        <v>855</v>
      </c>
      <c r="F37" s="181"/>
      <c r="G37" s="179" t="s">
        <v>568</v>
      </c>
      <c r="H37" s="186"/>
      <c r="I37" s="186"/>
      <c r="J37" s="187" t="s">
        <v>2019</v>
      </c>
      <c r="K37" s="187" t="s">
        <v>2078</v>
      </c>
      <c r="L37" s="270" t="str">
        <f>IFERROR(__xludf.DUMMYFUNCTION("IF(
  AND(D37=""Saída"", J37=""Sangria""),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74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IFERROR(__xludf.DUMMYFUNCTION("ifna(VALUE(REGEXEXTRACT(E37,""[0-9.]+[,]+[0-9]+"")))"),8.0)</f>
        <v>8</v>
      </c>
      <c r="O37" s="193" t="str">
        <f>B8</f>
        <v>Gabriel Azevedo</v>
      </c>
      <c r="P37" s="106"/>
      <c r="Q37" s="106"/>
      <c r="R37" s="106"/>
      <c r="S37" s="110"/>
      <c r="T37" s="123" t="str">
        <f>B9</f>
        <v/>
      </c>
      <c r="U37" s="106"/>
      <c r="V37" s="106"/>
      <c r="W37" s="124"/>
    </row>
    <row r="38" ht="14.25" customHeight="1">
      <c r="A38" s="178"/>
      <c r="B38" s="12">
        <v>2091205.0</v>
      </c>
      <c r="C38" s="13">
        <v>46109.92513888889</v>
      </c>
      <c r="D38" s="179" t="s">
        <v>81</v>
      </c>
      <c r="E38" s="180" t="s">
        <v>4010</v>
      </c>
      <c r="F38" s="181"/>
      <c r="G38" s="179" t="s">
        <v>4071</v>
      </c>
      <c r="H38" s="186"/>
      <c r="I38" s="186"/>
      <c r="J38" s="187" t="s">
        <v>2735</v>
      </c>
      <c r="K38" s="187" t="s">
        <v>2018</v>
      </c>
      <c r="L38" s="270" t="str">
        <f>IFERROR(__xludf.DUMMYFUNCTION("IF(
  AND(D38=""Saída"", J38=""Sangria""),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"),"Confirmada")</f>
        <v>Confirmada</v>
      </c>
      <c r="M38" s="272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IFERROR(__xludf.DUMMYFUNCTION("ifna(VALUE(REGEXEXTRACT(E38,""[0-9.]+[,]+[0-9]+"")))"),2050.0)</f>
        <v>2050</v>
      </c>
      <c r="O38" s="46" t="str">
        <f>IFERROR(__xludf.DUMMYFUNCTION("query(C28:L507,""select Col1,Col3,Col8,Col9 where (Col8 = 'Adiantamento' or Col8 = 'Consumo') and Col9 = '""&amp;B8&amp;""'"",1)"),"Data")</f>
        <v>Data</v>
      </c>
      <c r="P38" s="47" t="str">
        <f>IFERROR(__xludf.DUMMYFUNCTION("""COMPUTED_VALUE"""),"Valor ")</f>
        <v>Valor </v>
      </c>
      <c r="Q38" s="47" t="str">
        <f>IFERROR(__xludf.DUMMYFUNCTION("""COMPUTED_VALUE"""),"Tipo")</f>
        <v>Tipo</v>
      </c>
      <c r="R38" s="47" t="str">
        <f>IFERROR(__xludf.DUMMYFUNCTION("""COMPUTED_VALUE"""),"Funcionário")</f>
        <v>Funcionário</v>
      </c>
      <c r="S38" s="49"/>
      <c r="T38" s="50" t="str">
        <f>IFERROR(__xludf.DUMMYFUNCTION("query(C28:L507,""select Col1,Col3,Col8,Col9 where (Col8 = 'Adiantamento' or Col8 = 'Consumo') and Col9 = '""&amp;B9&amp;""'"",1)"),"Data")</f>
        <v>Data</v>
      </c>
      <c r="U38" s="50" t="str">
        <f>IFERROR(__xludf.DUMMYFUNCTION("""COMPUTED_VALUE"""),"Valor ")</f>
        <v>Valor </v>
      </c>
      <c r="V38" s="50" t="str">
        <f>IFERROR(__xludf.DUMMYFUNCTION("""COMPUTED_VALUE"""),"Tipo")</f>
        <v>Tipo</v>
      </c>
      <c r="W38" s="51" t="str">
        <f>IFERROR(__xludf.DUMMYFUNCTION("""COMPUTED_VALUE"""),"Funcionário")</f>
        <v>Funcionário</v>
      </c>
    </row>
    <row r="39" ht="21.75" customHeight="1">
      <c r="A39" s="178"/>
      <c r="B39" s="12">
        <v>2091806.0</v>
      </c>
      <c r="C39" s="13">
        <v>46109.98881944444</v>
      </c>
      <c r="D39" s="179" t="s">
        <v>81</v>
      </c>
      <c r="E39" s="180" t="s">
        <v>7195</v>
      </c>
      <c r="F39" s="181"/>
      <c r="G39" s="179" t="s">
        <v>114</v>
      </c>
      <c r="H39" s="186"/>
      <c r="I39" s="186"/>
      <c r="J39" s="187" t="s">
        <v>3151</v>
      </c>
      <c r="K39" s="187"/>
      <c r="L39" s="270" t="str">
        <f>IFERROR(__xludf.DUMMYFUNCTION("IF(
  AND(D39=""Saída"", J39=""Sangria""),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74" t="str">
        <f>IFERROR(__xludf.DUMMYFUNCTION("IF(J39=""Compra de Mercadorias"",
   IF(
      COUNTIF(ARRAYFORMULA(TRIM(CLEAN(TO_TEXT(Notas!BS:BS)))), TRIM(CLEAN(TO_TEXT(B39)))) &gt; 0,
      ""Encontrada"",
      ""Não Encontrada""
   ),
"""")"),"Não Encontrada")</f>
        <v>Não Encontrada</v>
      </c>
      <c r="N39" s="185">
        <f>IFERROR(__xludf.DUMMYFUNCTION("ifna(VALUE(REGEXEXTRACT(E39,""[0-9.]+[,]+[0-9]+"")))"),168.04)</f>
        <v>168.04</v>
      </c>
      <c r="O39" s="52">
        <f>IFERROR(__xludf.DUMMYFUNCTION("""COMPUTED_VALUE"""),46113.97394675926)</f>
        <v>46113.97395</v>
      </c>
      <c r="P39" s="53" t="str">
        <f>IFERROR(__xludf.DUMMYFUNCTION("""COMPUTED_VALUE"""),"R$ 40,03")</f>
        <v>R$ 40,03</v>
      </c>
      <c r="Q39" s="53" t="str">
        <f>IFERROR(__xludf.DUMMYFUNCTION("""COMPUTED_VALUE"""),"Consumo")</f>
        <v>Consumo</v>
      </c>
      <c r="R39" s="53" t="str">
        <f>IFERROR(__xludf.DUMMYFUNCTION("""COMPUTED_VALUE"""),"Gabriel Azevedo")</f>
        <v>Gabriel Azevedo</v>
      </c>
      <c r="S39" s="55"/>
      <c r="T39" s="53"/>
      <c r="U39" s="53"/>
      <c r="V39" s="53"/>
      <c r="W39" s="54"/>
    </row>
    <row r="40" ht="14.25" customHeight="1">
      <c r="A40" s="178"/>
      <c r="B40" s="12">
        <v>2091809.0</v>
      </c>
      <c r="C40" s="13">
        <v>46109.98913194444</v>
      </c>
      <c r="D40" s="179" t="s">
        <v>81</v>
      </c>
      <c r="E40" s="180" t="s">
        <v>609</v>
      </c>
      <c r="F40" s="181"/>
      <c r="G40" s="179" t="s">
        <v>114</v>
      </c>
      <c r="H40" s="186"/>
      <c r="I40" s="186"/>
      <c r="J40" s="187" t="s">
        <v>3151</v>
      </c>
      <c r="K40" s="187"/>
      <c r="L40" s="270" t="str">
        <f>IFERROR(__xludf.DUMMYFUNCTION("IF(
  AND(D40=""Saída"", J40=""Sangria""),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2" t="str">
        <f>IFERROR(__xludf.DUMMYFUNCTION("IF(J40=""Compra de Mercadorias"",
   IF(
      COUNTIF(ARRAYFORMULA(TRIM(CLEAN(TO_TEXT(Notas!BS:BS)))), TRIM(CLEAN(TO_TEXT(B40)))) &gt; 0,
      ""Encontrada"",
      ""Não Encontrada""
   ),
"""")"),"Não Encontrada")</f>
        <v>Não Encontrada</v>
      </c>
      <c r="N40" s="185">
        <f>IFERROR(__xludf.DUMMYFUNCTION("ifna(VALUE(REGEXEXTRACT(E40,""[0-9.]+[,]+[0-9]+"")))"),82.0)</f>
        <v>82</v>
      </c>
      <c r="O40" s="52">
        <f>IFERROR(__xludf.DUMMYFUNCTION("""COMPUTED_VALUE"""),46114.979363425926)</f>
        <v>46114.97936</v>
      </c>
      <c r="P40" s="53" t="str">
        <f>IFERROR(__xludf.DUMMYFUNCTION("""COMPUTED_VALUE"""),"R$ 8,43")</f>
        <v>R$ 8,43</v>
      </c>
      <c r="Q40" s="53" t="str">
        <f>IFERROR(__xludf.DUMMYFUNCTION("""COMPUTED_VALUE"""),"Consumo")</f>
        <v>Consumo</v>
      </c>
      <c r="R40" s="53" t="str">
        <f>IFERROR(__xludf.DUMMYFUNCTION("""COMPUTED_VALUE"""),"Gabriel Azevedo")</f>
        <v>Gabriel Azevedo</v>
      </c>
      <c r="S40" s="55"/>
      <c r="T40" s="53"/>
      <c r="U40" s="53"/>
      <c r="V40" s="53"/>
      <c r="W40" s="54"/>
    </row>
    <row r="41" ht="14.25" customHeight="1">
      <c r="A41" s="178"/>
      <c r="B41" s="12">
        <v>2091812.0</v>
      </c>
      <c r="C41" s="13">
        <v>46109.989386574074</v>
      </c>
      <c r="D41" s="179" t="s">
        <v>81</v>
      </c>
      <c r="E41" s="180" t="s">
        <v>7196</v>
      </c>
      <c r="F41" s="181"/>
      <c r="G41" s="179" t="s">
        <v>114</v>
      </c>
      <c r="H41" s="186"/>
      <c r="I41" s="186"/>
      <c r="J41" s="187" t="s">
        <v>3151</v>
      </c>
      <c r="K41" s="187"/>
      <c r="L41" s="270" t="str">
        <f>IFERROR(__xludf.DUMMYFUNCTION("IF(
  AND(D41=""Saída"", J41=""Sangria""),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74" t="str">
        <f>IFERROR(__xludf.DUMMYFUNCTION("IF(J41=""Compra de Mercadorias"",
   IF(
      COUNTIF(ARRAYFORMULA(TRIM(CLEAN(TO_TEXT(Notas!BS:BS)))), TRIM(CLEAN(TO_TEXT(B41)))) &gt; 0,
      ""Encontrada"",
      ""Não Encontrada""
   ),
"""")"),"Não Encontrada")</f>
        <v>Não Encontrada</v>
      </c>
      <c r="N41" s="185">
        <f>IFERROR(__xludf.DUMMYFUNCTION("ifna(VALUE(REGEXEXTRACT(E41,""[0-9.]+[,]+[0-9]+"")))"),8.99)</f>
        <v>8.99</v>
      </c>
      <c r="O41" s="52">
        <f>IFERROR(__xludf.DUMMYFUNCTION("""COMPUTED_VALUE"""),46116.91084490741)</f>
        <v>46116.91084</v>
      </c>
      <c r="P41" s="53" t="str">
        <f>IFERROR(__xludf.DUMMYFUNCTION("""COMPUTED_VALUE"""),"R$ 17,99")</f>
        <v>R$ 17,99</v>
      </c>
      <c r="Q41" s="53" t="str">
        <f>IFERROR(__xludf.DUMMYFUNCTION("""COMPUTED_VALUE"""),"Consumo")</f>
        <v>Consumo</v>
      </c>
      <c r="R41" s="53" t="str">
        <f>IFERROR(__xludf.DUMMYFUNCTION("""COMPUTED_VALUE"""),"Gabriel Azevedo")</f>
        <v>Gabriel Azevedo</v>
      </c>
      <c r="S41" s="55"/>
      <c r="T41" s="53"/>
      <c r="U41" s="53"/>
      <c r="V41" s="53"/>
      <c r="W41" s="54"/>
    </row>
    <row r="42" ht="14.25" customHeight="1">
      <c r="A42" s="178"/>
      <c r="B42" s="12">
        <v>2092121.0</v>
      </c>
      <c r="C42" s="13">
        <v>46110.568240740744</v>
      </c>
      <c r="D42" s="179" t="s">
        <v>152</v>
      </c>
      <c r="E42" s="180" t="s">
        <v>7197</v>
      </c>
      <c r="F42" s="188"/>
      <c r="G42" s="179" t="s">
        <v>158</v>
      </c>
      <c r="H42" s="186"/>
      <c r="I42" s="186"/>
      <c r="J42" s="187" t="s">
        <v>5195</v>
      </c>
      <c r="K42" s="187"/>
      <c r="L42" s="270" t="str">
        <f>IFERROR(__xludf.DUMMYFUNCTION("IF(
  AND(D42=""Saída"", J42=""Sangria""),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76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IFERROR(__xludf.DUMMYFUNCTION("ifna(VALUE(REGEXEXTRACT(E42,""[0-9.]+[,]+[0-9]+"")))"),70.8)</f>
        <v>70.8</v>
      </c>
      <c r="O42" s="52">
        <f>IFERROR(__xludf.DUMMYFUNCTION("""COMPUTED_VALUE"""),46121.68898148148)</f>
        <v>46121.68898</v>
      </c>
      <c r="P42" s="53" t="str">
        <f>IFERROR(__xludf.DUMMYFUNCTION("""COMPUTED_VALUE"""),"R$ 18,87")</f>
        <v>R$ 18,87</v>
      </c>
      <c r="Q42" s="53" t="str">
        <f>IFERROR(__xludf.DUMMYFUNCTION("""COMPUTED_VALUE"""),"Consumo")</f>
        <v>Consumo</v>
      </c>
      <c r="R42" s="53" t="str">
        <f>IFERROR(__xludf.DUMMYFUNCTION("""COMPUTED_VALUE"""),"Gabriel Azevedo")</f>
        <v>Gabriel Azevedo</v>
      </c>
      <c r="S42" s="55"/>
      <c r="T42" s="53"/>
      <c r="U42" s="53"/>
      <c r="V42" s="53"/>
      <c r="W42" s="54"/>
    </row>
    <row r="43" ht="14.25" customHeight="1">
      <c r="A43" s="178"/>
      <c r="B43" s="12">
        <v>2094928.0</v>
      </c>
      <c r="C43" s="13">
        <v>46110.95340277778</v>
      </c>
      <c r="D43" s="179" t="s">
        <v>81</v>
      </c>
      <c r="E43" s="180" t="s">
        <v>5424</v>
      </c>
      <c r="F43" s="181"/>
      <c r="G43" s="179" t="s">
        <v>128</v>
      </c>
      <c r="H43" s="189"/>
      <c r="I43" s="189"/>
      <c r="J43" s="187" t="s">
        <v>2735</v>
      </c>
      <c r="K43" s="187" t="s">
        <v>6576</v>
      </c>
      <c r="L43" s="270" t="str">
        <f>IFERROR(__xludf.DUMMYFUNCTION("IF(
  AND(D43=""Saída"", J43=""Sangria""),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"),"Confirmada")</f>
        <v>Confirmada</v>
      </c>
      <c r="M43" s="274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IFERROR(__xludf.DUMMYFUNCTION("ifna(VALUE(REGEXEXTRACT(E43,""[0-9.]+[,]+[0-9]+"")))"),1500.0)</f>
        <v>1500</v>
      </c>
      <c r="O43" s="52">
        <f>IFERROR(__xludf.DUMMYFUNCTION("""COMPUTED_VALUE"""),46126.77489583333)</f>
        <v>46126.7749</v>
      </c>
      <c r="P43" s="53" t="str">
        <f>IFERROR(__xludf.DUMMYFUNCTION("""COMPUTED_VALUE"""),"R$ 21,61")</f>
        <v>R$ 21,61</v>
      </c>
      <c r="Q43" s="53" t="str">
        <f>IFERROR(__xludf.DUMMYFUNCTION("""COMPUTED_VALUE"""),"Consumo")</f>
        <v>Consumo</v>
      </c>
      <c r="R43" s="53" t="str">
        <f>IFERROR(__xludf.DUMMYFUNCTION("""COMPUTED_VALUE"""),"Gabriel Azevedo")</f>
        <v>Gabriel Azevedo</v>
      </c>
      <c r="S43" s="55"/>
      <c r="T43" s="53"/>
      <c r="U43" s="53"/>
      <c r="V43" s="53"/>
      <c r="W43" s="54"/>
    </row>
    <row r="44" ht="14.25" customHeight="1">
      <c r="A44" s="178"/>
      <c r="B44" s="12">
        <v>2094932.0</v>
      </c>
      <c r="C44" s="13">
        <v>46110.953738425924</v>
      </c>
      <c r="D44" s="179" t="s">
        <v>81</v>
      </c>
      <c r="E44" s="180" t="s">
        <v>7198</v>
      </c>
      <c r="F44" s="181"/>
      <c r="G44" s="179" t="s">
        <v>506</v>
      </c>
      <c r="H44" s="189"/>
      <c r="I44" s="189"/>
      <c r="J44" s="187" t="s">
        <v>1782</v>
      </c>
      <c r="K44" s="187"/>
      <c r="L44" s="270" t="str">
        <f>IFERROR(__xludf.DUMMYFUNCTION("IF(
  AND(D44=""Saída"", J44=""Sangria""),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2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IFERROR(__xludf.DUMMYFUNCTION("ifna(VALUE(REGEXEXTRACT(E44,""[0-9.]+[,]+[0-9]+"")))"),207.0)</f>
        <v>207</v>
      </c>
      <c r="O44" s="52">
        <f>IFERROR(__xludf.DUMMYFUNCTION("""COMPUTED_VALUE"""),46129.719548611116)</f>
        <v>46129.71955</v>
      </c>
      <c r="P44" s="79" t="str">
        <f>IFERROR(__xludf.DUMMYFUNCTION("""COMPUTED_VALUE"""),"R$ 16,78")</f>
        <v>R$ 16,78</v>
      </c>
      <c r="Q44" s="79" t="str">
        <f>IFERROR(__xludf.DUMMYFUNCTION("""COMPUTED_VALUE"""),"Consumo")</f>
        <v>Consumo</v>
      </c>
      <c r="R44" s="79" t="str">
        <f>IFERROR(__xludf.DUMMYFUNCTION("""COMPUTED_VALUE"""),"Gabriel Azevedo")</f>
        <v>Gabriel Azevedo</v>
      </c>
      <c r="S44" s="81"/>
      <c r="T44" s="79"/>
      <c r="U44" s="79"/>
      <c r="V44" s="79"/>
      <c r="W44" s="80"/>
    </row>
    <row r="45" ht="14.25" customHeight="1">
      <c r="A45" s="178"/>
      <c r="B45" s="12">
        <v>2094939.0</v>
      </c>
      <c r="C45" s="13">
        <v>46110.95458333333</v>
      </c>
      <c r="D45" s="179" t="s">
        <v>81</v>
      </c>
      <c r="E45" s="180" t="s">
        <v>7199</v>
      </c>
      <c r="F45" s="181"/>
      <c r="G45" s="179" t="s">
        <v>7200</v>
      </c>
      <c r="H45" s="190"/>
      <c r="I45" s="190"/>
      <c r="J45" s="187" t="s">
        <v>1782</v>
      </c>
      <c r="K45" s="187"/>
      <c r="L45" s="270" t="str">
        <f>IFERROR(__xludf.DUMMYFUNCTION("IF(
  AND(D45=""Saída"", J45=""Sangria""),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4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85">
        <f>IFERROR(__xludf.DUMMYFUNCTION("ifna(VALUE(REGEXEXTRACT(E45,""[0-9.]+[,]+[0-9]+"")))"),191.0)</f>
        <v>191</v>
      </c>
      <c r="O45" s="318">
        <f>IFERROR(__xludf.DUMMYFUNCTION("""COMPUTED_VALUE"""),46130.725648148145)</f>
        <v>46130.72565</v>
      </c>
      <c r="P45" s="89" t="str">
        <f>IFERROR(__xludf.DUMMYFUNCTION("""COMPUTED_VALUE"""),"R$ 3,00")</f>
        <v>R$ 3,00</v>
      </c>
      <c r="Q45" s="89" t="str">
        <f>IFERROR(__xludf.DUMMYFUNCTION("""COMPUTED_VALUE"""),"Consumo")</f>
        <v>Consumo</v>
      </c>
      <c r="R45" s="89" t="str">
        <f>IFERROR(__xludf.DUMMYFUNCTION("""COMPUTED_VALUE"""),"Gabriel Azevedo")</f>
        <v>Gabriel Azevedo</v>
      </c>
      <c r="S45" s="91"/>
      <c r="T45" s="89"/>
      <c r="U45" s="89"/>
      <c r="V45" s="89"/>
      <c r="W45" s="90"/>
    </row>
    <row r="46" ht="18.75" customHeight="1">
      <c r="A46" s="178"/>
      <c r="B46" s="12">
        <v>2094942.0</v>
      </c>
      <c r="C46" s="13">
        <v>46110.95482638889</v>
      </c>
      <c r="D46" s="179" t="s">
        <v>81</v>
      </c>
      <c r="E46" s="180" t="s">
        <v>7201</v>
      </c>
      <c r="F46" s="181"/>
      <c r="G46" s="179" t="s">
        <v>7202</v>
      </c>
      <c r="H46" s="190"/>
      <c r="I46" s="190"/>
      <c r="J46" s="187" t="s">
        <v>1782</v>
      </c>
      <c r="K46" s="187"/>
      <c r="L46" s="270" t="str">
        <f>IFERROR(__xludf.DUMMYFUNCTION("IF(
  AND(D46=""Saída"", J46=""Sangria""),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2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85">
        <f>IFERROR(__xludf.DUMMYFUNCTION("ifna(VALUE(REGEXEXTRACT(E46,""[0-9.]+[,]+[0-9]+"")))"),264.0)</f>
        <v>264</v>
      </c>
      <c r="O46" s="318">
        <f>IFERROR(__xludf.DUMMYFUNCTION("""COMPUTED_VALUE"""),46130.91341435185)</f>
        <v>46130.91341</v>
      </c>
      <c r="P46" s="89" t="str">
        <f>IFERROR(__xludf.DUMMYFUNCTION("""COMPUTED_VALUE"""),"R$ 28,68")</f>
        <v>R$ 28,68</v>
      </c>
      <c r="Q46" s="89" t="str">
        <f>IFERROR(__xludf.DUMMYFUNCTION("""COMPUTED_VALUE"""),"Consumo")</f>
        <v>Consumo</v>
      </c>
      <c r="R46" s="89" t="str">
        <f>IFERROR(__xludf.DUMMYFUNCTION("""COMPUTED_VALUE"""),"Gabriel Azevedo")</f>
        <v>Gabriel Azevedo</v>
      </c>
      <c r="S46" s="91"/>
      <c r="T46" s="89"/>
      <c r="U46" s="89"/>
      <c r="V46" s="89"/>
      <c r="W46" s="90"/>
    </row>
    <row r="47" ht="14.25" customHeight="1">
      <c r="A47" s="178"/>
      <c r="B47" s="12">
        <v>2096202.0</v>
      </c>
      <c r="C47" s="13">
        <v>46111.74230324074</v>
      </c>
      <c r="D47" s="179" t="s">
        <v>152</v>
      </c>
      <c r="E47" s="180" t="s">
        <v>7203</v>
      </c>
      <c r="F47" s="181"/>
      <c r="G47" s="179" t="s">
        <v>158</v>
      </c>
      <c r="H47" s="190"/>
      <c r="I47" s="190"/>
      <c r="J47" s="187" t="s">
        <v>5195</v>
      </c>
      <c r="K47" s="187"/>
      <c r="L47" s="270" t="str">
        <f>IFERROR(__xludf.DUMMYFUNCTION("IF(
  AND(D47=""Saída"", J47=""Sangria""),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74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IFERROR(__xludf.DUMMYFUNCTION("ifna(VALUE(REGEXEXTRACT(E47,""[0-9.]+[,]+[0-9]+"")))"),54.0)</f>
        <v>54</v>
      </c>
      <c r="O47" s="318">
        <f>IFERROR(__xludf.DUMMYFUNCTION("""COMPUTED_VALUE"""),46132.776597222226)</f>
        <v>46132.7766</v>
      </c>
      <c r="P47" s="89" t="str">
        <f>IFERROR(__xludf.DUMMYFUNCTION("""COMPUTED_VALUE"""),"R$ 3,00")</f>
        <v>R$ 3,00</v>
      </c>
      <c r="Q47" s="89" t="str">
        <f>IFERROR(__xludf.DUMMYFUNCTION("""COMPUTED_VALUE"""),"Consumo")</f>
        <v>Consumo</v>
      </c>
      <c r="R47" s="89" t="str">
        <f>IFERROR(__xludf.DUMMYFUNCTION("""COMPUTED_VALUE"""),"Gabriel Azevedo")</f>
        <v>Gabriel Azevedo</v>
      </c>
      <c r="S47" s="91"/>
      <c r="T47" s="89"/>
      <c r="U47" s="89"/>
      <c r="V47" s="89"/>
      <c r="W47" s="90"/>
    </row>
    <row r="48">
      <c r="A48" s="178"/>
      <c r="B48" s="12">
        <v>2096212.0</v>
      </c>
      <c r="C48" s="13">
        <v>46111.744525462964</v>
      </c>
      <c r="D48" s="179" t="s">
        <v>152</v>
      </c>
      <c r="E48" s="180" t="s">
        <v>5368</v>
      </c>
      <c r="F48" s="181"/>
      <c r="G48" s="179" t="s">
        <v>158</v>
      </c>
      <c r="H48" s="190"/>
      <c r="I48" s="190"/>
      <c r="J48" s="187" t="s">
        <v>5195</v>
      </c>
      <c r="K48" s="187"/>
      <c r="L48" s="270" t="str">
        <f>IFERROR(__xludf.DUMMYFUNCTION("IF(
  AND(D48=""Saída"", J48=""Sangria""),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2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IFERROR(__xludf.DUMMYFUNCTION("ifna(VALUE(REGEXEXTRACT(E48,""[0-9.]+[,]+[0-9]+"")))"),23.0)</f>
        <v>23</v>
      </c>
      <c r="O48" s="318">
        <f>IFERROR(__xludf.DUMMYFUNCTION("""COMPUTED_VALUE"""),46133.85116898148)</f>
        <v>46133.85117</v>
      </c>
      <c r="P48" s="89" t="str">
        <f>IFERROR(__xludf.DUMMYFUNCTION("""COMPUTED_VALUE"""),"R$ 5,00")</f>
        <v>R$ 5,00</v>
      </c>
      <c r="Q48" s="89" t="str">
        <f>IFERROR(__xludf.DUMMYFUNCTION("""COMPUTED_VALUE"""),"Consumo")</f>
        <v>Consumo</v>
      </c>
      <c r="R48" s="89" t="str">
        <f>IFERROR(__xludf.DUMMYFUNCTION("""COMPUTED_VALUE"""),"Gabriel Azevedo")</f>
        <v>Gabriel Azevedo</v>
      </c>
      <c r="S48" s="91"/>
      <c r="T48" s="89"/>
      <c r="U48" s="89"/>
      <c r="V48" s="89"/>
      <c r="W48" s="90"/>
    </row>
    <row r="49" ht="14.25" customHeight="1">
      <c r="A49" s="178"/>
      <c r="B49" s="12">
        <v>2096352.0</v>
      </c>
      <c r="C49" s="13">
        <v>46111.77667824074</v>
      </c>
      <c r="D49" s="179" t="s">
        <v>81</v>
      </c>
      <c r="E49" s="180" t="s">
        <v>979</v>
      </c>
      <c r="F49" s="181"/>
      <c r="G49" s="179" t="s">
        <v>568</v>
      </c>
      <c r="H49" s="190"/>
      <c r="I49" s="190"/>
      <c r="J49" s="187" t="s">
        <v>2019</v>
      </c>
      <c r="K49" s="187" t="s">
        <v>2078</v>
      </c>
      <c r="L49" s="270" t="str">
        <f>IFERROR(__xludf.DUMMYFUNCTION("IF(
  AND(D49=""Saída"", J49=""Sangria""),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74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IFERROR(__xludf.DUMMYFUNCTION("ifna(VALUE(REGEXEXTRACT(E49,""[0-9.]+[,]+[0-9]+"")))"),3.0)</f>
        <v>3</v>
      </c>
      <c r="O49" s="319">
        <f>IFERROR(__xludf.DUMMYFUNCTION("""COMPUTED_VALUE"""),46135.85418981481)</f>
        <v>46135.85419</v>
      </c>
      <c r="P49" s="195" t="str">
        <f>IFERROR(__xludf.DUMMYFUNCTION("""COMPUTED_VALUE"""),"R$ 13,08")</f>
        <v>R$ 13,08</v>
      </c>
      <c r="Q49" s="196" t="str">
        <f>IFERROR(__xludf.DUMMYFUNCTION("""COMPUTED_VALUE"""),"Consumo")</f>
        <v>Consumo</v>
      </c>
      <c r="R49" s="197" t="str">
        <f>IFERROR(__xludf.DUMMYFUNCTION("""COMPUTED_VALUE"""),"Gabriel Azevedo")</f>
        <v>Gabriel Azevedo</v>
      </c>
      <c r="S49" s="91"/>
      <c r="T49" s="89"/>
      <c r="U49" s="89"/>
      <c r="V49" s="89"/>
      <c r="W49" s="90"/>
    </row>
    <row r="50" ht="14.25" customHeight="1">
      <c r="A50" s="178"/>
      <c r="B50" s="12">
        <v>2096925.0</v>
      </c>
      <c r="C50" s="13">
        <v>46111.92482638889</v>
      </c>
      <c r="D50" s="179" t="s">
        <v>81</v>
      </c>
      <c r="E50" s="180" t="s">
        <v>7204</v>
      </c>
      <c r="F50" s="181"/>
      <c r="G50" s="179" t="s">
        <v>7200</v>
      </c>
      <c r="H50" s="190"/>
      <c r="I50" s="190"/>
      <c r="J50" s="187" t="s">
        <v>1782</v>
      </c>
      <c r="K50" s="187"/>
      <c r="L50" s="270" t="str">
        <f>IFERROR(__xludf.DUMMYFUNCTION("IF(
  AND(D50=""Saída"", J50=""Sangria""),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2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IFERROR(__xludf.DUMMYFUNCTION("ifna(VALUE(REGEXEXTRACT(E50,""[0-9.]+[,]+[0-9]+"")))"),106.0)</f>
        <v>106</v>
      </c>
      <c r="O50" s="318">
        <f>IFERROR(__xludf.DUMMYFUNCTION("""COMPUTED_VALUE"""),46136.76775462963)</f>
        <v>46136.76775</v>
      </c>
      <c r="P50" s="89" t="str">
        <f>IFERROR(__xludf.DUMMYFUNCTION("""COMPUTED_VALUE"""),"R$ 17,96")</f>
        <v>R$ 17,96</v>
      </c>
      <c r="Q50" s="89" t="str">
        <f>IFERROR(__xludf.DUMMYFUNCTION("""COMPUTED_VALUE"""),"Consumo")</f>
        <v>Consumo</v>
      </c>
      <c r="R50" s="89" t="str">
        <f>IFERROR(__xludf.DUMMYFUNCTION("""COMPUTED_VALUE"""),"Gabriel Azevedo")</f>
        <v>Gabriel Azevedo</v>
      </c>
      <c r="S50" s="91"/>
      <c r="T50" s="89"/>
      <c r="U50" s="89"/>
      <c r="V50" s="89"/>
      <c r="W50" s="90"/>
    </row>
    <row r="51" ht="19.5" customHeight="1">
      <c r="A51" s="178"/>
      <c r="B51" s="12">
        <v>2097026.0</v>
      </c>
      <c r="C51" s="13">
        <v>46111.93446759259</v>
      </c>
      <c r="D51" s="179" t="s">
        <v>81</v>
      </c>
      <c r="E51" s="180" t="s">
        <v>7204</v>
      </c>
      <c r="F51" s="181"/>
      <c r="G51" s="179" t="s">
        <v>506</v>
      </c>
      <c r="H51" s="190"/>
      <c r="I51" s="190"/>
      <c r="J51" s="187" t="s">
        <v>1782</v>
      </c>
      <c r="K51" s="187"/>
      <c r="L51" s="270" t="str">
        <f>IFERROR(__xludf.DUMMYFUNCTION("IF(
  AND(D51=""Saída"", J51=""Sangria""),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76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IFERROR(__xludf.DUMMYFUNCTION("ifna(VALUE(REGEXEXTRACT(E51,""[0-9.]+[,]+[0-9]+"")))"),106.0)</f>
        <v>106</v>
      </c>
      <c r="O51" s="88"/>
      <c r="P51" s="89"/>
      <c r="Q51" s="89"/>
      <c r="R51" s="89"/>
      <c r="S51" s="91"/>
      <c r="T51" s="89"/>
      <c r="U51" s="89"/>
      <c r="V51" s="89"/>
      <c r="W51" s="90"/>
    </row>
    <row r="52" ht="14.25" customHeight="1">
      <c r="A52" s="178"/>
      <c r="B52" s="12">
        <v>2097031.0</v>
      </c>
      <c r="C52" s="13">
        <v>46111.93479166667</v>
      </c>
      <c r="D52" s="179" t="s">
        <v>81</v>
      </c>
      <c r="E52" s="180" t="s">
        <v>6645</v>
      </c>
      <c r="F52" s="181"/>
      <c r="G52" s="179" t="s">
        <v>7202</v>
      </c>
      <c r="H52" s="190"/>
      <c r="I52" s="190"/>
      <c r="J52" s="187" t="s">
        <v>1782</v>
      </c>
      <c r="K52" s="187"/>
      <c r="L52" s="270" t="str">
        <f>IFERROR(__xludf.DUMMYFUNCTION("IF(
  AND(D52=""Saída"", J52=""Sangria""),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3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IFERROR(__xludf.DUMMYFUNCTION("ifna(VALUE(REGEXEXTRACT(E52,""[0-9.]+[,]+[0-9]+"")))"),108.0)</f>
        <v>108</v>
      </c>
      <c r="O52" s="108"/>
      <c r="P52" s="109"/>
      <c r="Q52" s="109"/>
      <c r="R52" s="109"/>
      <c r="S52" s="110"/>
      <c r="T52" s="109"/>
      <c r="U52" s="109"/>
      <c r="V52" s="109"/>
      <c r="W52" s="111"/>
    </row>
    <row r="53" ht="14.25" customHeight="1">
      <c r="A53" s="178"/>
      <c r="B53" s="12">
        <v>2097044.0</v>
      </c>
      <c r="C53" s="13">
        <v>46111.93613425926</v>
      </c>
      <c r="D53" s="179" t="s">
        <v>81</v>
      </c>
      <c r="E53" s="180" t="s">
        <v>7205</v>
      </c>
      <c r="F53" s="181"/>
      <c r="G53" s="179" t="s">
        <v>313</v>
      </c>
      <c r="H53" s="190"/>
      <c r="I53" s="190"/>
      <c r="J53" s="187" t="s">
        <v>3151</v>
      </c>
      <c r="K53" s="187"/>
      <c r="L53" s="270" t="str">
        <f>IFERROR(__xludf.DUMMYFUNCTION("IF(
  AND(D53=""Saída"", J53=""Sangria""),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74" t="str">
        <f>IFERROR(__xludf.DUMMYFUNCTION("IF(J53=""Compra de Mercadorias"",
   IF(
      COUNTIF(ARRAYFORMULA(TRIM(CLEAN(TO_TEXT(Notas!BS:BS)))), TRIM(CLEAN(TO_TEXT(B53)))) &gt; 0,
      ""Encontrada"",
      ""Não Encontrada""
   ),
"""")"),"Não Encontrada")</f>
        <v>Não Encontrada</v>
      </c>
      <c r="N53" s="185">
        <f>IFERROR(__xludf.DUMMYFUNCTION("ifna(VALUE(REGEXEXTRACT(E53,""[0-9.]+[,]+[0-9]+"")))"),255.65)</f>
        <v>255.65</v>
      </c>
      <c r="S53" s="25"/>
    </row>
    <row r="54" ht="14.25" customHeight="1">
      <c r="A54" s="178"/>
      <c r="B54" s="12">
        <v>2097052.0</v>
      </c>
      <c r="C54" s="13">
        <v>46111.93655092592</v>
      </c>
      <c r="D54" s="179" t="s">
        <v>81</v>
      </c>
      <c r="E54" s="180" t="s">
        <v>7206</v>
      </c>
      <c r="F54" s="181"/>
      <c r="G54" s="179" t="s">
        <v>313</v>
      </c>
      <c r="H54" s="190"/>
      <c r="I54" s="190"/>
      <c r="J54" s="187" t="s">
        <v>3151</v>
      </c>
      <c r="K54" s="187"/>
      <c r="L54" s="270" t="str">
        <f>IFERROR(__xludf.DUMMYFUNCTION("IF(
  AND(D54=""Saída"", J54=""Sangria""),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2" t="str">
        <f>IFERROR(__xludf.DUMMYFUNCTION("IF(J54=""Compra de Mercadorias"",
   IF(
      COUNTIF(ARRAYFORMULA(TRIM(CLEAN(TO_TEXT(Notas!BS:BS)))), TRIM(CLEAN(TO_TEXT(B54)))) &gt; 0,
      ""Encontrada"",
      ""Não Encontrada""
   ),
"""")"),"Não Encontrada")</f>
        <v>Não Encontrada</v>
      </c>
      <c r="N54" s="185">
        <f>IFERROR(__xludf.DUMMYFUNCTION("ifna(VALUE(REGEXEXTRACT(E54,""[0-9.]+[,]+[0-9]+"")))"),160.01)</f>
        <v>160.01</v>
      </c>
      <c r="S54" s="25"/>
    </row>
    <row r="55" ht="14.25" customHeight="1">
      <c r="A55" s="178"/>
      <c r="B55" s="12">
        <v>2097088.0</v>
      </c>
      <c r="C55" s="13">
        <v>46111.942662037036</v>
      </c>
      <c r="D55" s="179" t="s">
        <v>81</v>
      </c>
      <c r="E55" s="180" t="s">
        <v>7207</v>
      </c>
      <c r="F55" s="188"/>
      <c r="G55" s="179" t="s">
        <v>381</v>
      </c>
      <c r="H55" s="190"/>
      <c r="I55" s="190"/>
      <c r="J55" s="187" t="s">
        <v>2735</v>
      </c>
      <c r="K55" s="187" t="s">
        <v>6576</v>
      </c>
      <c r="L55" s="270" t="str">
        <f>IFERROR(__xludf.DUMMYFUNCTION("IF(
  AND(D55=""Saída"", J55=""Sangria""),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"),"Confirmada")</f>
        <v>Confirmada</v>
      </c>
      <c r="M55" s="273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IFERROR(__xludf.DUMMYFUNCTION("ifna(VALUE(REGEXEXTRACT(E55,""[0-9.]+[,]+[0-9]+"")))"),1270.0)</f>
        <v>1270</v>
      </c>
      <c r="S55" s="25"/>
    </row>
    <row r="56" ht="14.25" customHeight="1">
      <c r="A56" s="178"/>
      <c r="B56" s="12">
        <v>2098958.0</v>
      </c>
      <c r="C56" s="13">
        <v>46112.94341435185</v>
      </c>
      <c r="D56" s="179" t="s">
        <v>81</v>
      </c>
      <c r="E56" s="180" t="s">
        <v>7208</v>
      </c>
      <c r="F56" s="181"/>
      <c r="G56" s="179" t="s">
        <v>759</v>
      </c>
      <c r="H56" s="190"/>
      <c r="I56" s="190"/>
      <c r="J56" s="187" t="s">
        <v>2019</v>
      </c>
      <c r="K56" s="187" t="s">
        <v>2078</v>
      </c>
      <c r="L56" s="270" t="str">
        <f>IFERROR(__xludf.DUMMYFUNCTION("IF(
  AND(D56=""Saída"", J56=""Sangria""),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2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IFERROR(__xludf.DUMMYFUNCTION("ifna(VALUE(REGEXEXTRACT(E56,""[0-9.]+[,]+[0-9]+"")))"),11.42)</f>
        <v>11.42</v>
      </c>
      <c r="S56" s="25"/>
    </row>
    <row r="57" ht="17.25" customHeight="1">
      <c r="A57" s="178"/>
      <c r="B57" s="12">
        <v>2098996.0</v>
      </c>
      <c r="C57" s="13">
        <v>46112.95143518518</v>
      </c>
      <c r="D57" s="179" t="s">
        <v>81</v>
      </c>
      <c r="E57" s="180" t="s">
        <v>7209</v>
      </c>
      <c r="F57" s="181"/>
      <c r="G57" s="179" t="s">
        <v>193</v>
      </c>
      <c r="H57" s="190"/>
      <c r="I57" s="190"/>
      <c r="J57" s="187" t="s">
        <v>3151</v>
      </c>
      <c r="K57" s="187"/>
      <c r="L57" s="270" t="str">
        <f>IFERROR(__xludf.DUMMYFUNCTION("IF(
  AND(D57=""Saída"", J57=""Sangria""),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74" t="str">
        <f>IFERROR(__xludf.DUMMYFUNCTION("IF(J57=""Compra de Mercadorias"",
   IF(
      COUNTIF(ARRAYFORMULA(TRIM(CLEAN(TO_TEXT(Notas!BS:BS)))), TRIM(CLEAN(TO_TEXT(B57)))) &gt; 0,
      ""Encontrada"",
      ""Não Encontrada""
   ),
"""")"),"Não Encontrada")</f>
        <v>Não Encontrada</v>
      </c>
      <c r="N57" s="185">
        <f>IFERROR(__xludf.DUMMYFUNCTION("ifna(VALUE(REGEXEXTRACT(E57,""[0-9.]+[,]+[0-9]+"")))"),3.8)</f>
        <v>3.8</v>
      </c>
      <c r="O57" s="25"/>
      <c r="P57" s="25"/>
      <c r="Q57" s="25"/>
      <c r="R57" s="25"/>
      <c r="S57" s="25"/>
      <c r="T57" s="25"/>
      <c r="U57" s="122"/>
      <c r="V57" s="122"/>
      <c r="W57" s="277"/>
    </row>
    <row r="58" ht="14.25" customHeight="1">
      <c r="A58" s="178"/>
      <c r="B58" s="12">
        <v>2099001.0</v>
      </c>
      <c r="C58" s="13">
        <v>46112.9522337963</v>
      </c>
      <c r="D58" s="179" t="s">
        <v>81</v>
      </c>
      <c r="E58" s="180" t="s">
        <v>713</v>
      </c>
      <c r="F58" s="181"/>
      <c r="G58" s="179" t="s">
        <v>7210</v>
      </c>
      <c r="H58" s="190"/>
      <c r="I58" s="190"/>
      <c r="J58" s="187" t="s">
        <v>1782</v>
      </c>
      <c r="K58" s="187"/>
      <c r="L58" s="270" t="str">
        <f>IFERROR(__xludf.DUMMYFUNCTION("IF(
  AND(D58=""Saída"", J58=""Sangria""),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2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IFERROR(__xludf.DUMMYFUNCTION("ifna(VALUE(REGEXEXTRACT(E58,""[0-9.]+[,]+[0-9]+"")))"),50.0)</f>
        <v>50</v>
      </c>
      <c r="O58" s="25"/>
      <c r="P58" s="25"/>
      <c r="Q58" s="25"/>
      <c r="R58" s="25"/>
      <c r="S58" s="25"/>
      <c r="T58" s="25"/>
      <c r="U58" s="278"/>
      <c r="V58" s="278"/>
      <c r="W58" s="279"/>
    </row>
    <row r="59" ht="14.25" customHeight="1">
      <c r="A59" s="178"/>
      <c r="B59" s="12">
        <v>2099039.0</v>
      </c>
      <c r="C59" s="13">
        <v>46112.96050925926</v>
      </c>
      <c r="D59" s="179" t="s">
        <v>81</v>
      </c>
      <c r="E59" s="180" t="s">
        <v>7211</v>
      </c>
      <c r="F59" s="181"/>
      <c r="G59" s="179" t="s">
        <v>128</v>
      </c>
      <c r="H59" s="190"/>
      <c r="I59" s="190"/>
      <c r="J59" s="187" t="s">
        <v>2735</v>
      </c>
      <c r="K59" s="187" t="s">
        <v>6576</v>
      </c>
      <c r="L59" s="270" t="str">
        <f>IFERROR(__xludf.DUMMYFUNCTION("IF(
  AND(D59=""Saída"", J59=""Sangria""),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"),"Confirmada")</f>
        <v>Confirmada</v>
      </c>
      <c r="M59" s="273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IFERROR(__xludf.DUMMYFUNCTION("ifna(VALUE(REGEXEXTRACT(E59,""[0-9.]+[,]+[0-9]+"")))"),870.0)</f>
        <v>870</v>
      </c>
      <c r="O59" s="209" t="s">
        <v>3799</v>
      </c>
      <c r="P59" s="210"/>
      <c r="Q59" s="210"/>
      <c r="R59" s="210"/>
      <c r="S59" s="210"/>
      <c r="T59" s="59"/>
      <c r="U59" s="280"/>
      <c r="V59" s="280"/>
      <c r="W59" s="281"/>
    </row>
    <row r="60" ht="14.25" customHeight="1">
      <c r="A60" s="178"/>
      <c r="B60" s="12">
        <v>2099272.0</v>
      </c>
      <c r="C60" s="13">
        <v>46113.53212962963</v>
      </c>
      <c r="D60" s="179" t="s">
        <v>152</v>
      </c>
      <c r="E60" s="180" t="s">
        <v>5108</v>
      </c>
      <c r="F60" s="181"/>
      <c r="G60" s="179" t="s">
        <v>158</v>
      </c>
      <c r="H60" s="190"/>
      <c r="I60" s="190"/>
      <c r="J60" s="187" t="s">
        <v>5195</v>
      </c>
      <c r="K60" s="187"/>
      <c r="L60" s="270" t="str">
        <f>IFERROR(__xludf.DUMMYFUNCTION("IF(
  AND(D60=""Saída"", J60=""Sangria""),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3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IFERROR(__xludf.DUMMYFUNCTION("ifna(VALUE(REGEXEXTRACT(E60,""[0-9.]+[,]+[0-9]+"")))"),23.4)</f>
        <v>23.4</v>
      </c>
      <c r="O60" s="211"/>
      <c r="T60" s="212"/>
      <c r="U60" s="280"/>
      <c r="V60" s="280"/>
      <c r="W60" s="281"/>
    </row>
    <row r="61" ht="14.25" customHeight="1">
      <c r="A61" s="178"/>
      <c r="B61" s="12">
        <v>2100882.0</v>
      </c>
      <c r="C61" s="13">
        <v>46113.97394675926</v>
      </c>
      <c r="D61" s="179" t="s">
        <v>81</v>
      </c>
      <c r="E61" s="180" t="s">
        <v>7212</v>
      </c>
      <c r="F61" s="181"/>
      <c r="G61" s="179" t="s">
        <v>6838</v>
      </c>
      <c r="H61" s="190"/>
      <c r="I61" s="190"/>
      <c r="J61" s="187" t="s">
        <v>2019</v>
      </c>
      <c r="K61" s="187" t="s">
        <v>6745</v>
      </c>
      <c r="L61" s="270" t="str">
        <f>IFERROR(__xludf.DUMMYFUNCTION("IF(
  AND(D61=""Saída"", J61=""Sangria""),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74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IFERROR(__xludf.DUMMYFUNCTION("ifna(VALUE(REGEXEXTRACT(E61,""[0-9.]+[,]+[0-9]+"")))"),40.03)</f>
        <v>40.03</v>
      </c>
      <c r="O61" s="213" t="s">
        <v>1</v>
      </c>
      <c r="P61" s="214" t="s">
        <v>2</v>
      </c>
      <c r="Q61" s="214" t="s">
        <v>3830</v>
      </c>
      <c r="R61" s="214" t="s">
        <v>46</v>
      </c>
      <c r="S61" s="215" t="s">
        <v>33</v>
      </c>
      <c r="T61" s="212"/>
      <c r="U61" s="280"/>
      <c r="V61" s="280"/>
      <c r="W61" s="281"/>
    </row>
    <row r="62" ht="14.25" customHeight="1">
      <c r="A62" s="178"/>
      <c r="B62" s="12">
        <v>2100884.0</v>
      </c>
      <c r="C62" s="13">
        <v>46113.97418981481</v>
      </c>
      <c r="D62" s="179" t="s">
        <v>81</v>
      </c>
      <c r="E62" s="180" t="s">
        <v>7213</v>
      </c>
      <c r="F62" s="188"/>
      <c r="G62" s="179" t="s">
        <v>759</v>
      </c>
      <c r="H62" s="190"/>
      <c r="I62" s="190"/>
      <c r="J62" s="187" t="s">
        <v>2019</v>
      </c>
      <c r="K62" s="187" t="s">
        <v>2078</v>
      </c>
      <c r="L62" s="270" t="str">
        <f>IFERROR(__xludf.DUMMYFUNCTION("IF(
  AND(D62=""Saída"", J62=""Sangria""),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2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IFERROR(__xludf.DUMMYFUNCTION("ifna(VALUE(REGEXEXTRACT(E62,""[0-9.]+[,]+[0-9]+"")))"),16.21)</f>
        <v>16.21</v>
      </c>
      <c r="O62" s="216"/>
      <c r="P62" s="195">
        <v>46126.0</v>
      </c>
      <c r="Q62" s="196" t="s">
        <v>6077</v>
      </c>
      <c r="R62" s="196">
        <v>100.0</v>
      </c>
      <c r="S62" s="217"/>
      <c r="T62" s="218" t="s">
        <v>6745</v>
      </c>
      <c r="U62" s="280"/>
      <c r="V62" s="280"/>
      <c r="W62" s="281"/>
    </row>
    <row r="63" ht="14.25" customHeight="1">
      <c r="A63" s="178"/>
      <c r="B63" s="12">
        <v>2100903.0</v>
      </c>
      <c r="C63" s="13">
        <v>46113.9787037037</v>
      </c>
      <c r="D63" s="179" t="s">
        <v>81</v>
      </c>
      <c r="E63" s="180" t="s">
        <v>7214</v>
      </c>
      <c r="F63" s="181"/>
      <c r="G63" s="179" t="s">
        <v>193</v>
      </c>
      <c r="H63" s="190"/>
      <c r="I63" s="190"/>
      <c r="J63" s="187" t="s">
        <v>3151</v>
      </c>
      <c r="K63" s="187"/>
      <c r="L63" s="270" t="str">
        <f>IFERROR(__xludf.DUMMYFUNCTION("IF(
  AND(D63=""Saída"", J63=""Sangria""),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74" t="str">
        <f>IFERROR(__xludf.DUMMYFUNCTION("IF(J63=""Compra de Mercadorias"",
   IF(
      COUNTIF(ARRAYFORMULA(TRIM(CLEAN(TO_TEXT(Notas!BS:BS)))), TRIM(CLEAN(TO_TEXT(B63)))) &gt; 0,
      ""Encontrada"",
      ""Não Encontrada""
   ),
"""")"),"Não Encontrada")</f>
        <v>Não Encontrada</v>
      </c>
      <c r="N63" s="185">
        <f>IFERROR(__xludf.DUMMYFUNCTION("ifna(VALUE(REGEXEXTRACT(E63,""[0-9.]+[,]+[0-9]+"")))"),15.37)</f>
        <v>15.37</v>
      </c>
      <c r="O63" s="216"/>
      <c r="P63" s="195"/>
      <c r="Q63" s="196"/>
      <c r="R63" s="197"/>
      <c r="S63" s="219"/>
      <c r="T63" s="218" t="str">
        <f t="shared" ref="T63:T82" si="1">IFERROR(VLOOKUP(Q63, $A$4:$B$11, 2, FALSE), "")</f>
        <v/>
      </c>
      <c r="U63" s="280"/>
      <c r="V63" s="280"/>
      <c r="W63" s="281"/>
    </row>
    <row r="64" ht="14.25" customHeight="1">
      <c r="A64" s="178"/>
      <c r="B64" s="12">
        <v>2100907.0</v>
      </c>
      <c r="C64" s="13">
        <v>46113.97924768519</v>
      </c>
      <c r="D64" s="179" t="s">
        <v>81</v>
      </c>
      <c r="E64" s="180" t="s">
        <v>5437</v>
      </c>
      <c r="F64" s="181"/>
      <c r="G64" s="179" t="s">
        <v>128</v>
      </c>
      <c r="H64" s="190"/>
      <c r="I64" s="190"/>
      <c r="J64" s="187" t="s">
        <v>2735</v>
      </c>
      <c r="K64" s="187" t="s">
        <v>6576</v>
      </c>
      <c r="L64" s="270" t="str">
        <f>IFERROR(__xludf.DUMMYFUNCTION("IF(
  AND(D64=""Saída"", J64=""Sangria""),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"),"Confirmada")</f>
        <v>Confirmada</v>
      </c>
      <c r="M64" s="272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IFERROR(__xludf.DUMMYFUNCTION("ifna(VALUE(REGEXEXTRACT(E64,""[0-9.]+[,]+[0-9]+"")))"),600.0)</f>
        <v>600</v>
      </c>
      <c r="O64" s="216"/>
      <c r="P64" s="195"/>
      <c r="Q64" s="196"/>
      <c r="R64" s="197"/>
      <c r="S64" s="220"/>
      <c r="T64" s="218" t="str">
        <f t="shared" si="1"/>
        <v/>
      </c>
      <c r="U64" s="282"/>
      <c r="V64" s="282"/>
      <c r="W64" s="283"/>
    </row>
    <row r="65" ht="14.25" customHeight="1">
      <c r="A65" s="178"/>
      <c r="B65" s="12">
        <v>2100913.0</v>
      </c>
      <c r="C65" s="13">
        <v>46113.98166666667</v>
      </c>
      <c r="D65" s="179" t="s">
        <v>81</v>
      </c>
      <c r="E65" s="180" t="s">
        <v>457</v>
      </c>
      <c r="F65" s="181"/>
      <c r="G65" s="179" t="s">
        <v>158</v>
      </c>
      <c r="H65" s="190"/>
      <c r="I65" s="190"/>
      <c r="J65" s="187" t="s">
        <v>5195</v>
      </c>
      <c r="K65" s="187"/>
      <c r="L65" s="270" t="str">
        <f>IFERROR(__xludf.DUMMYFUNCTION("IF(
  AND(D65=""Saída"", J65=""Sangria""),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74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IFERROR(__xludf.DUMMYFUNCTION("ifna(VALUE(REGEXEXTRACT(E65,""[0-9.]+[,]+[0-9]+"")))"),200.0)</f>
        <v>200</v>
      </c>
      <c r="O65" s="216"/>
      <c r="P65" s="195"/>
      <c r="Q65" s="196"/>
      <c r="R65" s="197"/>
      <c r="S65" s="221"/>
      <c r="T65" s="218" t="str">
        <f t="shared" si="1"/>
        <v/>
      </c>
      <c r="U65" s="284"/>
      <c r="V65" s="284"/>
      <c r="W65" s="285"/>
    </row>
    <row r="66" ht="14.25" customHeight="1">
      <c r="A66" s="178"/>
      <c r="B66" s="12">
        <v>2102083.0</v>
      </c>
      <c r="C66" s="13">
        <v>46114.814247685186</v>
      </c>
      <c r="D66" s="179" t="s">
        <v>152</v>
      </c>
      <c r="E66" s="180" t="s">
        <v>6560</v>
      </c>
      <c r="F66" s="181"/>
      <c r="G66" s="179" t="s">
        <v>158</v>
      </c>
      <c r="H66" s="190"/>
      <c r="I66" s="190"/>
      <c r="J66" s="187" t="s">
        <v>5195</v>
      </c>
      <c r="K66" s="187"/>
      <c r="L66" s="270" t="str">
        <f>IFERROR(__xludf.DUMMYFUNCTION("IF(
  AND(D66=""Saída"", J66=""Sangria""),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2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IFERROR(__xludf.DUMMYFUNCTION("ifna(VALUE(REGEXEXTRACT(E66,""[0-9.]+[,]+[0-9]+"")))"),14.0)</f>
        <v>14</v>
      </c>
      <c r="O66" s="216"/>
      <c r="P66" s="195"/>
      <c r="Q66" s="196"/>
      <c r="R66" s="197"/>
      <c r="S66" s="220"/>
      <c r="T66" s="218" t="str">
        <f t="shared" si="1"/>
        <v/>
      </c>
      <c r="U66" s="284"/>
      <c r="V66" s="284"/>
      <c r="W66" s="285"/>
    </row>
    <row r="67" ht="14.25" customHeight="1">
      <c r="A67" s="178"/>
      <c r="B67" s="12">
        <v>2102110.0</v>
      </c>
      <c r="C67" s="13">
        <v>46114.820810185185</v>
      </c>
      <c r="D67" s="179" t="s">
        <v>81</v>
      </c>
      <c r="E67" s="180" t="s">
        <v>7215</v>
      </c>
      <c r="F67" s="181"/>
      <c r="G67" s="179" t="s">
        <v>585</v>
      </c>
      <c r="H67" s="190"/>
      <c r="I67" s="190"/>
      <c r="J67" s="187" t="s">
        <v>2019</v>
      </c>
      <c r="K67" s="187" t="s">
        <v>2078</v>
      </c>
      <c r="L67" s="270" t="str">
        <f>IFERROR(__xludf.DUMMYFUNCTION("IF(
  AND(D67=""Saída"", J67=""Sangria""),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73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IFERROR(__xludf.DUMMYFUNCTION("ifna(VALUE(REGEXEXTRACT(E67,""[0-9.]+[,]+[0-9]+"")))"),10.17)</f>
        <v>10.17</v>
      </c>
      <c r="O67" s="222"/>
      <c r="P67" s="223"/>
      <c r="Q67" s="224"/>
      <c r="R67" s="225"/>
      <c r="S67" s="221"/>
      <c r="T67" s="218" t="str">
        <f t="shared" si="1"/>
        <v/>
      </c>
      <c r="U67" s="284"/>
      <c r="V67" s="284"/>
      <c r="W67" s="285"/>
    </row>
    <row r="68">
      <c r="A68" s="178"/>
      <c r="B68" s="12">
        <v>2102115.0</v>
      </c>
      <c r="C68" s="13">
        <v>46114.82133101852</v>
      </c>
      <c r="D68" s="179" t="s">
        <v>81</v>
      </c>
      <c r="E68" s="180" t="s">
        <v>7216</v>
      </c>
      <c r="F68" s="181"/>
      <c r="G68" s="179" t="s">
        <v>671</v>
      </c>
      <c r="H68" s="190"/>
      <c r="I68" s="190"/>
      <c r="J68" s="187" t="s">
        <v>3151</v>
      </c>
      <c r="K68" s="187"/>
      <c r="L68" s="270" t="str">
        <f>IFERROR(__xludf.DUMMYFUNCTION("IF(
  AND(D68=""Saída"", J68=""Sangria""),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2" t="str">
        <f>IFERROR(__xludf.DUMMYFUNCTION("IF(J68=""Compra de Mercadorias"",
   IF(
      COUNTIF(ARRAYFORMULA(TRIM(CLEAN(TO_TEXT(Notas!BS:BS)))), TRIM(CLEAN(TO_TEXT(B68)))) &gt; 0,
      ""Encontrada"",
      ""Não Encontrada""
   ),
"""")"),"Não Encontrada")</f>
        <v>Não Encontrada</v>
      </c>
      <c r="N68" s="185">
        <f>IFERROR(__xludf.DUMMYFUNCTION("ifna(VALUE(REGEXEXTRACT(E68,""[0-9.]+[,]+[0-9]+"")))"),77.91)</f>
        <v>77.91</v>
      </c>
      <c r="O68" s="226"/>
      <c r="P68" s="227"/>
      <c r="Q68" s="220"/>
      <c r="R68" s="228" t="str">
        <f t="shared" ref="R68:R104" si="2">IFERROR(VLOOKUP(Q68, $B$4:$C$18, 2, FALSE), "")</f>
        <v/>
      </c>
      <c r="S68" s="220" t="str">
        <f t="shared" ref="S68:S104" si="3">IFERROR(VLOOKUP(Q68, $A$4:$B$18, 2, FALSE), "")</f>
        <v/>
      </c>
      <c r="T68" s="218" t="str">
        <f t="shared" si="1"/>
        <v/>
      </c>
      <c r="U68" s="284"/>
      <c r="V68" s="284"/>
      <c r="W68" s="285"/>
    </row>
    <row r="69" ht="14.25" customHeight="1">
      <c r="A69" s="178"/>
      <c r="B69" s="12">
        <v>2102121.0</v>
      </c>
      <c r="C69" s="13">
        <v>46114.823425925926</v>
      </c>
      <c r="D69" s="179" t="s">
        <v>81</v>
      </c>
      <c r="E69" s="180" t="s">
        <v>7217</v>
      </c>
      <c r="F69" s="181"/>
      <c r="G69" s="179" t="s">
        <v>7218</v>
      </c>
      <c r="H69" s="190"/>
      <c r="I69" s="190"/>
      <c r="J69" s="187" t="s">
        <v>3151</v>
      </c>
      <c r="K69" s="187"/>
      <c r="L69" s="270" t="str">
        <f>IFERROR(__xludf.DUMMYFUNCTION("IF(
  AND(D69=""Saída"", J69=""Sangria""),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74" t="str">
        <f>IFERROR(__xludf.DUMMYFUNCTION("IF(J69=""Compra de Mercadorias"",
   IF(
      COUNTIF(ARRAYFORMULA(TRIM(CLEAN(TO_TEXT(Notas!BS:BS)))), TRIM(CLEAN(TO_TEXT(B69)))) &gt; 0,
      ""Encontrada"",
      ""Não Encontrada""
   ),
"""")"),"Não Encontrada")</f>
        <v>Não Encontrada</v>
      </c>
      <c r="N69" s="185">
        <f>IFERROR(__xludf.DUMMYFUNCTION("ifna(VALUE(REGEXEXTRACT(E69,""[0-9.]+[,]+[0-9]+"")))"),19.95)</f>
        <v>19.95</v>
      </c>
      <c r="O69" s="229"/>
      <c r="P69" s="230"/>
      <c r="Q69" s="221"/>
      <c r="R69" s="231" t="str">
        <f t="shared" si="2"/>
        <v/>
      </c>
      <c r="S69" s="221" t="str">
        <f t="shared" si="3"/>
        <v/>
      </c>
      <c r="T69" s="218" t="str">
        <f t="shared" si="1"/>
        <v/>
      </c>
      <c r="U69" s="284"/>
      <c r="V69" s="284"/>
      <c r="W69" s="285"/>
    </row>
    <row r="70" ht="14.25" customHeight="1">
      <c r="A70" s="178"/>
      <c r="B70" s="12">
        <v>2102962.0</v>
      </c>
      <c r="C70" s="13">
        <v>46114.979363425926</v>
      </c>
      <c r="D70" s="179" t="s">
        <v>81</v>
      </c>
      <c r="E70" s="180" t="s">
        <v>7219</v>
      </c>
      <c r="F70" s="181"/>
      <c r="G70" s="179" t="s">
        <v>6838</v>
      </c>
      <c r="H70" s="190"/>
      <c r="I70" s="190"/>
      <c r="J70" s="187" t="s">
        <v>2019</v>
      </c>
      <c r="K70" s="187" t="s">
        <v>6745</v>
      </c>
      <c r="L70" s="270" t="str">
        <f>IFERROR(__xludf.DUMMYFUNCTION("IF(
  AND(D70=""Saída"", J70=""Sangria""),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2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IFERROR(__xludf.DUMMYFUNCTION("ifna(VALUE(REGEXEXTRACT(E70,""[0-9.]+[,]+[0-9]+"")))"),8.43)</f>
        <v>8.43</v>
      </c>
      <c r="O70" s="226"/>
      <c r="P70" s="227"/>
      <c r="Q70" s="220"/>
      <c r="R70" s="228" t="str">
        <f t="shared" si="2"/>
        <v/>
      </c>
      <c r="S70" s="220" t="str">
        <f t="shared" si="3"/>
        <v/>
      </c>
      <c r="T70" s="218" t="str">
        <f t="shared" si="1"/>
        <v/>
      </c>
      <c r="U70" s="284"/>
      <c r="V70" s="284"/>
      <c r="W70" s="285"/>
    </row>
    <row r="71" ht="14.25" customHeight="1">
      <c r="A71" s="178"/>
      <c r="B71" s="12">
        <v>2102972.0</v>
      </c>
      <c r="C71" s="13">
        <v>46114.98174768518</v>
      </c>
      <c r="D71" s="179" t="s">
        <v>81</v>
      </c>
      <c r="E71" s="180" t="s">
        <v>343</v>
      </c>
      <c r="F71" s="181"/>
      <c r="G71" s="179" t="s">
        <v>128</v>
      </c>
      <c r="H71" s="190"/>
      <c r="I71" s="190"/>
      <c r="J71" s="187" t="s">
        <v>2735</v>
      </c>
      <c r="K71" s="187" t="s">
        <v>6576</v>
      </c>
      <c r="L71" s="270" t="str">
        <f>IFERROR(__xludf.DUMMYFUNCTION("IF(
  AND(D71=""Saída"", J71=""Sangria""),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"),"Confirmada")</f>
        <v>Confirmada</v>
      </c>
      <c r="M71" s="274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IFERROR(__xludf.DUMMYFUNCTION("ifna(VALUE(REGEXEXTRACT(E71,""[0-9.]+[,]+[0-9]+"")))"),550.0)</f>
        <v>550</v>
      </c>
      <c r="O71" s="229"/>
      <c r="P71" s="230"/>
      <c r="Q71" s="221"/>
      <c r="R71" s="231" t="str">
        <f t="shared" si="2"/>
        <v/>
      </c>
      <c r="S71" s="221" t="str">
        <f t="shared" si="3"/>
        <v/>
      </c>
      <c r="T71" s="218" t="str">
        <f t="shared" si="1"/>
        <v/>
      </c>
      <c r="U71" s="284"/>
      <c r="V71" s="284"/>
      <c r="W71" s="285"/>
    </row>
    <row r="72" ht="14.25" customHeight="1">
      <c r="A72" s="178"/>
      <c r="B72" s="12">
        <v>2103193.0</v>
      </c>
      <c r="C72" s="13">
        <v>46115.56364583333</v>
      </c>
      <c r="D72" s="179" t="s">
        <v>81</v>
      </c>
      <c r="E72" s="180" t="s">
        <v>7220</v>
      </c>
      <c r="F72" s="181"/>
      <c r="G72" s="179" t="s">
        <v>7221</v>
      </c>
      <c r="H72" s="190"/>
      <c r="I72" s="190"/>
      <c r="J72" s="187" t="s">
        <v>3151</v>
      </c>
      <c r="K72" s="187"/>
      <c r="L72" s="270" t="str">
        <f>IFERROR(__xludf.DUMMYFUNCTION("IF(
  AND(D72=""Saída"", J72=""Sangria""),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6" t="str">
        <f>IFERROR(__xludf.DUMMYFUNCTION("IF(J72=""Compra de Mercadorias"",
   IF(
      COUNTIF(ARRAYFORMULA(TRIM(CLEAN(TO_TEXT(Notas!BS:BS)))), TRIM(CLEAN(TO_TEXT(B72)))) &gt; 0,
      ""Encontrada"",
      ""Não Encontrada""
   ),
"""")"),"Não Encontrada")</f>
        <v>Não Encontrada</v>
      </c>
      <c r="N72" s="185">
        <f>IFERROR(__xludf.DUMMYFUNCTION("ifna(VALUE(REGEXEXTRACT(E72,""[0-9.]+[,]+[0-9]+"")))"),44.61)</f>
        <v>44.61</v>
      </c>
      <c r="O72" s="226"/>
      <c r="P72" s="227"/>
      <c r="Q72" s="220"/>
      <c r="R72" s="228" t="str">
        <f t="shared" si="2"/>
        <v/>
      </c>
      <c r="S72" s="220" t="str">
        <f t="shared" si="3"/>
        <v/>
      </c>
      <c r="T72" s="218" t="str">
        <f t="shared" si="1"/>
        <v/>
      </c>
      <c r="U72" s="275"/>
      <c r="V72" s="275"/>
      <c r="W72" s="286"/>
    </row>
    <row r="73" ht="14.25" customHeight="1">
      <c r="A73" s="178"/>
      <c r="B73" s="12">
        <v>2103582.0</v>
      </c>
      <c r="C73" s="13">
        <v>46115.70458333333</v>
      </c>
      <c r="D73" s="179" t="s">
        <v>152</v>
      </c>
      <c r="E73" s="180" t="s">
        <v>7222</v>
      </c>
      <c r="F73" s="181"/>
      <c r="G73" s="179" t="s">
        <v>158</v>
      </c>
      <c r="H73" s="190"/>
      <c r="I73" s="190"/>
      <c r="J73" s="187" t="s">
        <v>5195</v>
      </c>
      <c r="K73" s="187"/>
      <c r="L73" s="270" t="str">
        <f>IFERROR(__xludf.DUMMYFUNCTION("IF(
  AND(D73=""Saída"", J73=""Sangria""),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76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IFERROR(__xludf.DUMMYFUNCTION("ifna(VALUE(REGEXEXTRACT(E73,""[0-9.]+[,]+[0-9]+"")))"),17.6)</f>
        <v>17.6</v>
      </c>
      <c r="O73" s="229"/>
      <c r="P73" s="221"/>
      <c r="Q73" s="221"/>
      <c r="R73" s="231" t="str">
        <f t="shared" si="2"/>
        <v/>
      </c>
      <c r="S73" s="221" t="str">
        <f t="shared" si="3"/>
        <v/>
      </c>
      <c r="T73" s="218" t="str">
        <f t="shared" si="1"/>
        <v/>
      </c>
      <c r="U73" s="25"/>
      <c r="V73" s="25"/>
      <c r="W73" s="287"/>
    </row>
    <row r="74" ht="14.25" customHeight="1">
      <c r="A74" s="178"/>
      <c r="B74" s="12">
        <v>2103645.0</v>
      </c>
      <c r="C74" s="13">
        <v>46115.71622685185</v>
      </c>
      <c r="D74" s="179" t="s">
        <v>152</v>
      </c>
      <c r="E74" s="180" t="s">
        <v>536</v>
      </c>
      <c r="F74" s="181"/>
      <c r="G74" s="179" t="s">
        <v>7223</v>
      </c>
      <c r="H74" s="190"/>
      <c r="I74" s="190"/>
      <c r="J74" s="187" t="s">
        <v>5195</v>
      </c>
      <c r="K74" s="187"/>
      <c r="L74" s="270" t="str">
        <f>IFERROR(__xludf.DUMMYFUNCTION("IF(
  AND(D74=""Saída"", J74=""Sangria""),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2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IFERROR(__xludf.DUMMYFUNCTION("ifna(VALUE(REGEXEXTRACT(E74,""[0-9.]+[,]+[0-9]+"")))"),80.0)</f>
        <v>80</v>
      </c>
      <c r="O74" s="226"/>
      <c r="P74" s="220"/>
      <c r="Q74" s="220"/>
      <c r="R74" s="228" t="str">
        <f t="shared" si="2"/>
        <v/>
      </c>
      <c r="S74" s="220" t="str">
        <f t="shared" si="3"/>
        <v/>
      </c>
      <c r="T74" s="218" t="str">
        <f t="shared" si="1"/>
        <v/>
      </c>
      <c r="U74" s="25"/>
      <c r="V74" s="25"/>
      <c r="W74" s="287"/>
    </row>
    <row r="75" ht="14.25" customHeight="1">
      <c r="A75" s="178"/>
      <c r="B75" s="12">
        <v>2103654.0</v>
      </c>
      <c r="C75" s="13">
        <v>46115.71876157408</v>
      </c>
      <c r="D75" s="179" t="s">
        <v>81</v>
      </c>
      <c r="E75" s="180" t="s">
        <v>5289</v>
      </c>
      <c r="F75" s="181"/>
      <c r="G75" s="322" t="s">
        <v>7224</v>
      </c>
      <c r="H75" s="190"/>
      <c r="I75" s="190"/>
      <c r="J75" s="187"/>
      <c r="K75" s="187"/>
      <c r="L75" s="270" t="str">
        <f>IFERROR(__xludf.DUMMYFUNCTION("IF(
  AND(D75=""Saída"", J75=""Sangria""),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74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85">
        <f>IFERROR(__xludf.DUMMYFUNCTION("ifna(VALUE(REGEXEXTRACT(E75,""[0-9.]+[,]+[0-9]+"")))"),0.01)</f>
        <v>0.01</v>
      </c>
      <c r="O75" s="229"/>
      <c r="P75" s="221"/>
      <c r="Q75" s="221"/>
      <c r="R75" s="231" t="str">
        <f t="shared" si="2"/>
        <v/>
      </c>
      <c r="S75" s="221" t="str">
        <f t="shared" si="3"/>
        <v/>
      </c>
      <c r="T75" s="218" t="str">
        <f t="shared" si="1"/>
        <v/>
      </c>
      <c r="U75" s="25"/>
      <c r="V75" s="25"/>
      <c r="W75" s="287"/>
    </row>
    <row r="76" ht="14.25" customHeight="1">
      <c r="A76" s="178"/>
      <c r="B76" s="12">
        <v>2103934.0</v>
      </c>
      <c r="C76" s="13">
        <v>46115.769583333335</v>
      </c>
      <c r="D76" s="179" t="s">
        <v>81</v>
      </c>
      <c r="E76" s="180" t="s">
        <v>1212</v>
      </c>
      <c r="F76" s="181"/>
      <c r="G76" s="179" t="s">
        <v>3587</v>
      </c>
      <c r="H76" s="190"/>
      <c r="I76" s="190"/>
      <c r="J76" s="187" t="s">
        <v>2735</v>
      </c>
      <c r="K76" s="187" t="s">
        <v>2018</v>
      </c>
      <c r="L76" s="270" t="str">
        <f>IFERROR(__xludf.DUMMYFUNCTION("IF(
  AND(D76=""Saída"", J76=""Sangria""),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"),"Confirmada")</f>
        <v>Confirmada</v>
      </c>
      <c r="M76" s="272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IFERROR(__xludf.DUMMYFUNCTION("ifna(VALUE(REGEXEXTRACT(E76,""[0-9.]+[,]+[0-9]+"")))"),1300.0)</f>
        <v>1300</v>
      </c>
      <c r="O76" s="226"/>
      <c r="P76" s="220"/>
      <c r="Q76" s="220"/>
      <c r="R76" s="228" t="str">
        <f t="shared" si="2"/>
        <v/>
      </c>
      <c r="S76" s="220" t="str">
        <f t="shared" si="3"/>
        <v/>
      </c>
      <c r="T76" s="288" t="str">
        <f t="shared" si="1"/>
        <v/>
      </c>
      <c r="U76" s="25"/>
      <c r="V76" s="25"/>
      <c r="W76" s="25"/>
    </row>
    <row r="77" ht="14.25" customHeight="1">
      <c r="A77" s="178"/>
      <c r="B77" s="12">
        <v>2104820.0</v>
      </c>
      <c r="C77" s="13">
        <v>46115.91478009259</v>
      </c>
      <c r="D77" s="179" t="s">
        <v>81</v>
      </c>
      <c r="E77" s="180" t="s">
        <v>979</v>
      </c>
      <c r="F77" s="181"/>
      <c r="G77" s="179" t="s">
        <v>568</v>
      </c>
      <c r="H77" s="190"/>
      <c r="I77" s="190"/>
      <c r="J77" s="187" t="s">
        <v>2019</v>
      </c>
      <c r="K77" s="187" t="s">
        <v>2078</v>
      </c>
      <c r="L77" s="270" t="str">
        <f>IFERROR(__xludf.DUMMYFUNCTION("IF(
  AND(D77=""Saída"", J77=""Sangria""),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74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IFERROR(__xludf.DUMMYFUNCTION("ifna(VALUE(REGEXEXTRACT(E77,""[0-9.]+[,]+[0-9]+"")))"),3.0)</f>
        <v>3</v>
      </c>
      <c r="O77" s="229"/>
      <c r="P77" s="221"/>
      <c r="Q77" s="221"/>
      <c r="R77" s="231" t="str">
        <f t="shared" si="2"/>
        <v/>
      </c>
      <c r="S77" s="221" t="str">
        <f t="shared" si="3"/>
        <v/>
      </c>
      <c r="T77" s="288" t="str">
        <f t="shared" si="1"/>
        <v/>
      </c>
      <c r="U77" s="25"/>
      <c r="V77" s="25"/>
      <c r="W77" s="25"/>
    </row>
    <row r="78" ht="14.25" customHeight="1">
      <c r="A78" s="178"/>
      <c r="B78" s="12">
        <v>2104908.0</v>
      </c>
      <c r="C78" s="13">
        <v>46115.921423611115</v>
      </c>
      <c r="D78" s="179" t="s">
        <v>81</v>
      </c>
      <c r="E78" s="180" t="s">
        <v>1248</v>
      </c>
      <c r="F78" s="181"/>
      <c r="G78" s="179" t="s">
        <v>3587</v>
      </c>
      <c r="H78" s="190"/>
      <c r="I78" s="190"/>
      <c r="J78" s="187" t="s">
        <v>2735</v>
      </c>
      <c r="K78" s="187" t="s">
        <v>2018</v>
      </c>
      <c r="L78" s="270" t="str">
        <f>IFERROR(__xludf.DUMMYFUNCTION("IF(
  AND(D78=""Saída"", J78=""Sangria""),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"),"Confirmada")</f>
        <v>Confirmada</v>
      </c>
      <c r="M78" s="272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IFERROR(__xludf.DUMMYFUNCTION("ifna(VALUE(REGEXEXTRACT(E78,""[0-9.]+[,]+[0-9]+"")))"),850.0)</f>
        <v>850</v>
      </c>
      <c r="O78" s="226"/>
      <c r="P78" s="220"/>
      <c r="Q78" s="220"/>
      <c r="R78" s="228" t="str">
        <f t="shared" si="2"/>
        <v/>
      </c>
      <c r="S78" s="220" t="str">
        <f t="shared" si="3"/>
        <v/>
      </c>
      <c r="T78" s="288" t="str">
        <f t="shared" si="1"/>
        <v/>
      </c>
      <c r="U78" s="25"/>
      <c r="V78" s="25"/>
      <c r="W78" s="25"/>
    </row>
    <row r="79" ht="14.25" customHeight="1">
      <c r="A79" s="178"/>
      <c r="B79" s="12">
        <v>2107516.0</v>
      </c>
      <c r="C79" s="13">
        <v>46116.910844907405</v>
      </c>
      <c r="D79" s="179" t="s">
        <v>81</v>
      </c>
      <c r="E79" s="180" t="s">
        <v>7225</v>
      </c>
      <c r="F79" s="181"/>
      <c r="G79" s="179" t="s">
        <v>6779</v>
      </c>
      <c r="H79" s="190"/>
      <c r="I79" s="190"/>
      <c r="J79" s="187" t="s">
        <v>2019</v>
      </c>
      <c r="K79" s="187" t="s">
        <v>6745</v>
      </c>
      <c r="L79" s="270" t="str">
        <f>IFERROR(__xludf.DUMMYFUNCTION("IF(
  AND(D79=""Saída"", J79=""Sangria""),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74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IFERROR(__xludf.DUMMYFUNCTION("ifna(VALUE(REGEXEXTRACT(E79,""[0-9.]+[,]+[0-9]+"")))"),17.99)</f>
        <v>17.99</v>
      </c>
      <c r="O79" s="229"/>
      <c r="P79" s="221"/>
      <c r="Q79" s="221"/>
      <c r="R79" s="231" t="str">
        <f t="shared" si="2"/>
        <v/>
      </c>
      <c r="S79" s="221" t="str">
        <f t="shared" si="3"/>
        <v/>
      </c>
      <c r="T79" s="288" t="str">
        <f t="shared" si="1"/>
        <v/>
      </c>
      <c r="U79" s="25"/>
      <c r="V79" s="25"/>
      <c r="W79" s="25"/>
    </row>
    <row r="80" ht="14.25" customHeight="1">
      <c r="A80" s="178"/>
      <c r="B80" s="12">
        <v>2107723.0</v>
      </c>
      <c r="C80" s="13">
        <v>46116.92767361111</v>
      </c>
      <c r="D80" s="179" t="s">
        <v>81</v>
      </c>
      <c r="E80" s="180" t="s">
        <v>5410</v>
      </c>
      <c r="F80" s="181"/>
      <c r="G80" s="179" t="s">
        <v>381</v>
      </c>
      <c r="H80" s="190"/>
      <c r="I80" s="190"/>
      <c r="J80" s="187" t="s">
        <v>2735</v>
      </c>
      <c r="K80" s="187" t="s">
        <v>6576</v>
      </c>
      <c r="L80" s="270" t="str">
        <f>IFERROR(__xludf.DUMMYFUNCTION("IF(
  AND(D80=""Saída"", J80=""Sangria""),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"),"Confirmada")</f>
        <v>Confirmada</v>
      </c>
      <c r="M80" s="272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IFERROR(__xludf.DUMMYFUNCTION("ifna(VALUE(REGEXEXTRACT(E80,""[0-9.]+[,]+[0-9]+"")))"),1550.0)</f>
        <v>1550</v>
      </c>
      <c r="O80" s="226"/>
      <c r="P80" s="220"/>
      <c r="Q80" s="220"/>
      <c r="R80" s="228" t="str">
        <f t="shared" si="2"/>
        <v/>
      </c>
      <c r="S80" s="220" t="str">
        <f t="shared" si="3"/>
        <v/>
      </c>
      <c r="T80" s="218" t="str">
        <f t="shared" si="1"/>
        <v/>
      </c>
      <c r="U80" s="25"/>
      <c r="V80" s="25"/>
      <c r="W80" s="25"/>
    </row>
    <row r="81" ht="14.25" customHeight="1">
      <c r="A81" s="178"/>
      <c r="B81" s="12">
        <v>2109441.0</v>
      </c>
      <c r="C81" s="13">
        <v>46117.842210648145</v>
      </c>
      <c r="D81" s="179" t="s">
        <v>81</v>
      </c>
      <c r="E81" s="180" t="s">
        <v>7226</v>
      </c>
      <c r="F81" s="181"/>
      <c r="G81" s="179" t="s">
        <v>568</v>
      </c>
      <c r="H81" s="190"/>
      <c r="I81" s="190"/>
      <c r="J81" s="187"/>
      <c r="K81" s="187" t="s">
        <v>6576</v>
      </c>
      <c r="L81" s="270" t="str">
        <f>IFERROR(__xludf.DUMMYFUNCTION("IF(
  AND(D81=""Saída"", J81=""Sangria""),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74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IFERROR(__xludf.DUMMYFUNCTION("ifna(VALUE(REGEXEXTRACT(E81,""[0-9.]+[,]+[0-9]+"")))"),42.8)</f>
        <v>42.8</v>
      </c>
      <c r="O81" s="229"/>
      <c r="P81" s="221"/>
      <c r="Q81" s="221"/>
      <c r="R81" s="231" t="str">
        <f t="shared" si="2"/>
        <v/>
      </c>
      <c r="S81" s="221" t="str">
        <f t="shared" si="3"/>
        <v/>
      </c>
      <c r="T81" s="218" t="str">
        <f t="shared" si="1"/>
        <v/>
      </c>
      <c r="U81" s="185"/>
      <c r="V81" s="185"/>
      <c r="W81" s="185"/>
    </row>
    <row r="82" ht="14.25" customHeight="1">
      <c r="A82" s="178"/>
      <c r="B82" s="12">
        <v>2109783.0</v>
      </c>
      <c r="C82" s="13">
        <v>46117.90032407407</v>
      </c>
      <c r="D82" s="179" t="s">
        <v>81</v>
      </c>
      <c r="E82" s="180" t="s">
        <v>6645</v>
      </c>
      <c r="F82" s="181"/>
      <c r="G82" s="179" t="s">
        <v>7227</v>
      </c>
      <c r="H82" s="190"/>
      <c r="I82" s="190"/>
      <c r="J82" s="187" t="s">
        <v>1782</v>
      </c>
      <c r="K82" s="187"/>
      <c r="L82" s="270" t="str">
        <f>IFERROR(__xludf.DUMMYFUNCTION("IF(
  AND(D82=""Saída"", J82=""Sangria""),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2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IFERROR(__xludf.DUMMYFUNCTION("ifna(VALUE(REGEXEXTRACT(E82,""[0-9.]+[,]+[0-9]+"")))"),108.0)</f>
        <v>108</v>
      </c>
      <c r="O82" s="226"/>
      <c r="P82" s="220"/>
      <c r="Q82" s="220"/>
      <c r="R82" s="228" t="str">
        <f t="shared" si="2"/>
        <v/>
      </c>
      <c r="S82" s="220" t="str">
        <f t="shared" si="3"/>
        <v/>
      </c>
      <c r="T82" s="218" t="str">
        <f t="shared" si="1"/>
        <v/>
      </c>
      <c r="U82" s="185"/>
      <c r="V82" s="185"/>
      <c r="W82" s="185"/>
    </row>
    <row r="83" ht="14.25" customHeight="1">
      <c r="A83" s="178"/>
      <c r="B83" s="12">
        <v>2109797.0</v>
      </c>
      <c r="C83" s="13">
        <v>46117.901400462964</v>
      </c>
      <c r="D83" s="179" t="s">
        <v>81</v>
      </c>
      <c r="E83" s="180" t="s">
        <v>7228</v>
      </c>
      <c r="F83" s="181"/>
      <c r="G83" s="179" t="s">
        <v>7227</v>
      </c>
      <c r="H83" s="190"/>
      <c r="I83" s="190"/>
      <c r="J83" s="187" t="s">
        <v>1782</v>
      </c>
      <c r="K83" s="187"/>
      <c r="L83" s="270" t="str">
        <f>IFERROR(__xludf.DUMMYFUNCTION("IF(
  AND(D83=""Saída"", J83=""Sangria""),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74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IFERROR(__xludf.DUMMYFUNCTION("ifna(VALUE(REGEXEXTRACT(E83,""[0-9.]+[,]+[0-9]+"")))"),411.0)</f>
        <v>411</v>
      </c>
      <c r="O83" s="229"/>
      <c r="P83" s="221"/>
      <c r="Q83" s="221"/>
      <c r="R83" s="231" t="str">
        <f t="shared" si="2"/>
        <v/>
      </c>
      <c r="S83" s="221" t="str">
        <f t="shared" si="3"/>
        <v/>
      </c>
      <c r="T83" s="232" t="str">
        <f t="shared" ref="T83:T104" si="4">IFERROR(VLOOKUP(Q83, $A$4:$B$18, 2, FALSE), "")</f>
        <v/>
      </c>
      <c r="U83" s="185"/>
      <c r="V83" s="185"/>
      <c r="W83" s="185"/>
    </row>
    <row r="84" ht="14.25" customHeight="1">
      <c r="A84" s="178"/>
      <c r="B84" s="12">
        <v>2109806.0</v>
      </c>
      <c r="C84" s="13">
        <v>46117.90210648148</v>
      </c>
      <c r="D84" s="179" t="s">
        <v>81</v>
      </c>
      <c r="E84" s="180" t="s">
        <v>6551</v>
      </c>
      <c r="F84" s="181"/>
      <c r="G84" s="179" t="s">
        <v>7229</v>
      </c>
      <c r="H84" s="190"/>
      <c r="I84" s="190"/>
      <c r="J84" s="187" t="s">
        <v>1782</v>
      </c>
      <c r="K84" s="187"/>
      <c r="L84" s="270" t="str">
        <f>IFERROR(__xludf.DUMMYFUNCTION("IF(
  AND(D84=""Saída"", J84=""Sangria""),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2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IFERROR(__xludf.DUMMYFUNCTION("ifna(VALUE(REGEXEXTRACT(E84,""[0-9.]+[,]+[0-9]+"")))"),246.0)</f>
        <v>246</v>
      </c>
      <c r="O84" s="226"/>
      <c r="P84" s="220"/>
      <c r="Q84" s="220"/>
      <c r="R84" s="228" t="str">
        <f t="shared" si="2"/>
        <v/>
      </c>
      <c r="S84" s="220" t="str">
        <f t="shared" si="3"/>
        <v/>
      </c>
      <c r="T84" s="232" t="str">
        <f t="shared" si="4"/>
        <v/>
      </c>
      <c r="U84" s="185"/>
      <c r="V84" s="185"/>
      <c r="W84" s="185"/>
    </row>
    <row r="85" ht="14.25" customHeight="1">
      <c r="A85" s="178"/>
      <c r="B85" s="12">
        <v>2109815.0</v>
      </c>
      <c r="C85" s="13">
        <v>46117.902592592596</v>
      </c>
      <c r="D85" s="179" t="s">
        <v>81</v>
      </c>
      <c r="E85" s="180" t="s">
        <v>7230</v>
      </c>
      <c r="F85" s="181"/>
      <c r="G85" s="179" t="s">
        <v>7210</v>
      </c>
      <c r="H85" s="190"/>
      <c r="I85" s="190"/>
      <c r="J85" s="187" t="s">
        <v>1782</v>
      </c>
      <c r="K85" s="187"/>
      <c r="L85" s="270" t="str">
        <f>IFERROR(__xludf.DUMMYFUNCTION("IF(
  AND(D85=""Saída"", J85=""Sangria""),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74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85">
        <f>IFERROR(__xludf.DUMMYFUNCTION("ifna(VALUE(REGEXEXTRACT(E85,""[0-9.]+[,]+[0-9]+"")))"),313.0)</f>
        <v>313</v>
      </c>
      <c r="O85" s="229"/>
      <c r="P85" s="221"/>
      <c r="Q85" s="221"/>
      <c r="R85" s="231" t="str">
        <f t="shared" si="2"/>
        <v/>
      </c>
      <c r="S85" s="221" t="str">
        <f t="shared" si="3"/>
        <v/>
      </c>
      <c r="T85" s="232" t="str">
        <f t="shared" si="4"/>
        <v/>
      </c>
      <c r="U85" s="185"/>
      <c r="V85" s="185"/>
      <c r="W85" s="185"/>
    </row>
    <row r="86" ht="14.25" customHeight="1">
      <c r="A86" s="178"/>
      <c r="B86" s="12">
        <v>2109819.0</v>
      </c>
      <c r="C86" s="13">
        <v>46117.90283564815</v>
      </c>
      <c r="D86" s="179" t="s">
        <v>81</v>
      </c>
      <c r="E86" s="180" t="s">
        <v>7231</v>
      </c>
      <c r="F86" s="181"/>
      <c r="G86" s="179" t="s">
        <v>7232</v>
      </c>
      <c r="H86" s="190"/>
      <c r="I86" s="190"/>
      <c r="J86" s="187" t="s">
        <v>1782</v>
      </c>
      <c r="K86" s="187"/>
      <c r="L86" s="270" t="str">
        <f>IFERROR(__xludf.DUMMYFUNCTION("IF(
  AND(D86=""Saída"", J86=""Sangria""),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2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IFERROR(__xludf.DUMMYFUNCTION("ifna(VALUE(REGEXEXTRACT(E86,""[0-9.]+[,]+[0-9]+"")))"),103.0)</f>
        <v>103</v>
      </c>
      <c r="O86" s="226"/>
      <c r="P86" s="220"/>
      <c r="Q86" s="220"/>
      <c r="R86" s="228" t="str">
        <f t="shared" si="2"/>
        <v/>
      </c>
      <c r="S86" s="220" t="str">
        <f t="shared" si="3"/>
        <v/>
      </c>
      <c r="T86" s="232" t="str">
        <f t="shared" si="4"/>
        <v/>
      </c>
      <c r="U86" s="185"/>
      <c r="V86" s="185"/>
      <c r="W86" s="185"/>
    </row>
    <row r="87" ht="14.25" customHeight="1">
      <c r="A87" s="178"/>
      <c r="B87" s="12">
        <v>2109857.0</v>
      </c>
      <c r="C87" s="13">
        <v>46117.90630787037</v>
      </c>
      <c r="D87" s="179" t="s">
        <v>81</v>
      </c>
      <c r="E87" s="180" t="s">
        <v>220</v>
      </c>
      <c r="F87" s="188"/>
      <c r="G87" s="179" t="s">
        <v>128</v>
      </c>
      <c r="H87" s="190"/>
      <c r="I87" s="190"/>
      <c r="J87" s="187" t="s">
        <v>2735</v>
      </c>
      <c r="K87" s="187" t="s">
        <v>6576</v>
      </c>
      <c r="L87" s="270" t="str">
        <f>IFERROR(__xludf.DUMMYFUNCTION("IF(
  AND(D87=""Saída"", J87=""Sangria""),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"),"Confirmada")</f>
        <v>Confirmada</v>
      </c>
      <c r="M87" s="274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IFERROR(__xludf.DUMMYFUNCTION("ifna(VALUE(REGEXEXTRACT(E87,""[0-9.]+[,]+[0-9]+"")))"),1400.0)</f>
        <v>1400</v>
      </c>
      <c r="O87" s="229"/>
      <c r="P87" s="221"/>
      <c r="Q87" s="221"/>
      <c r="R87" s="231" t="str">
        <f t="shared" si="2"/>
        <v/>
      </c>
      <c r="S87" s="221" t="str">
        <f t="shared" si="3"/>
        <v/>
      </c>
      <c r="T87" s="232" t="str">
        <f t="shared" si="4"/>
        <v/>
      </c>
      <c r="U87" s="185"/>
      <c r="V87" s="185"/>
      <c r="W87" s="185"/>
    </row>
    <row r="88" ht="14.25" customHeight="1">
      <c r="A88" s="178"/>
      <c r="B88" s="12">
        <v>2113586.0</v>
      </c>
      <c r="C88" s="13">
        <v>46119.97243055556</v>
      </c>
      <c r="D88" s="179" t="s">
        <v>81</v>
      </c>
      <c r="E88" s="180" t="s">
        <v>296</v>
      </c>
      <c r="F88" s="181"/>
      <c r="G88" s="179" t="s">
        <v>128</v>
      </c>
      <c r="H88" s="190"/>
      <c r="I88" s="190"/>
      <c r="J88" s="187" t="s">
        <v>2735</v>
      </c>
      <c r="K88" s="187" t="s">
        <v>6576</v>
      </c>
      <c r="L88" s="270" t="str">
        <f>IFERROR(__xludf.DUMMYFUNCTION("IF(
  AND(D88=""Saída"", J88=""Sangria""),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"),"Confirmada")</f>
        <v>Confirmada</v>
      </c>
      <c r="M88" s="272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85">
        <f>IFERROR(__xludf.DUMMYFUNCTION("ifna(VALUE(REGEXEXTRACT(E88,""[0-9.]+[,]+[0-9]+"")))"),650.0)</f>
        <v>650</v>
      </c>
      <c r="O88" s="226"/>
      <c r="P88" s="220"/>
      <c r="Q88" s="220"/>
      <c r="R88" s="228" t="str">
        <f t="shared" si="2"/>
        <v/>
      </c>
      <c r="S88" s="220" t="str">
        <f t="shared" si="3"/>
        <v/>
      </c>
      <c r="T88" s="232" t="str">
        <f t="shared" si="4"/>
        <v/>
      </c>
      <c r="U88" s="185"/>
      <c r="V88" s="185"/>
      <c r="W88" s="185"/>
    </row>
    <row r="89" ht="14.25" customHeight="1">
      <c r="A89" s="178"/>
      <c r="B89" s="12">
        <v>2114493.0</v>
      </c>
      <c r="C89" s="13">
        <v>46120.86267361111</v>
      </c>
      <c r="D89" s="179" t="s">
        <v>81</v>
      </c>
      <c r="E89" s="180" t="s">
        <v>7233</v>
      </c>
      <c r="F89" s="181"/>
      <c r="G89" s="179" t="s">
        <v>7234</v>
      </c>
      <c r="H89" s="190"/>
      <c r="I89" s="190"/>
      <c r="J89" s="187" t="s">
        <v>3151</v>
      </c>
      <c r="K89" s="187"/>
      <c r="L89" s="270" t="str">
        <f>IFERROR(__xludf.DUMMYFUNCTION("IF(
  AND(D89=""Saída"", J89=""Sangria""),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74" t="str">
        <f>IFERROR(__xludf.DUMMYFUNCTION("IF(J89=""Compra de Mercadorias"",
   IF(
      COUNTIF(ARRAYFORMULA(TRIM(CLEAN(TO_TEXT(Notas!BS:BS)))), TRIM(CLEAN(TO_TEXT(B89)))) &gt; 0,
      ""Encontrada"",
      ""Não Encontrada""
   ),
"""")"),"Não Encontrada")</f>
        <v>Não Encontrada</v>
      </c>
      <c r="N89" s="185">
        <f>IFERROR(__xludf.DUMMYFUNCTION("ifna(VALUE(REGEXEXTRACT(E89,""[0-9.]+[,]+[0-9]+"")))"),79.99)</f>
        <v>79.99</v>
      </c>
      <c r="O89" s="229"/>
      <c r="P89" s="221"/>
      <c r="Q89" s="221"/>
      <c r="R89" s="231" t="str">
        <f t="shared" si="2"/>
        <v/>
      </c>
      <c r="S89" s="221" t="str">
        <f t="shared" si="3"/>
        <v/>
      </c>
      <c r="T89" s="232" t="str">
        <f t="shared" si="4"/>
        <v/>
      </c>
      <c r="U89" s="185"/>
      <c r="V89" s="185"/>
      <c r="W89" s="185"/>
    </row>
    <row r="90" ht="14.25" customHeight="1">
      <c r="A90" s="178"/>
      <c r="B90" s="12">
        <v>2114496.0</v>
      </c>
      <c r="C90" s="13">
        <v>46120.86326388889</v>
      </c>
      <c r="D90" s="179" t="s">
        <v>81</v>
      </c>
      <c r="E90" s="180" t="s">
        <v>7235</v>
      </c>
      <c r="F90" s="181"/>
      <c r="G90" s="179" t="s">
        <v>211</v>
      </c>
      <c r="H90" s="190"/>
      <c r="I90" s="190"/>
      <c r="J90" s="187" t="s">
        <v>3151</v>
      </c>
      <c r="K90" s="187"/>
      <c r="L90" s="270" t="str">
        <f>IFERROR(__xludf.DUMMYFUNCTION("IF(
  AND(D90=""Saída"", J90=""Sangria""),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2" t="str">
        <f>IFERROR(__xludf.DUMMYFUNCTION("IF(J90=""Compra de Mercadorias"",
   IF(
      COUNTIF(ARRAYFORMULA(TRIM(CLEAN(TO_TEXT(Notas!BS:BS)))), TRIM(CLEAN(TO_TEXT(B90)))) &gt; 0,
      ""Encontrada"",
      ""Não Encontrada""
   ),
"""")"),"Não Encontrada")</f>
        <v>Não Encontrada</v>
      </c>
      <c r="N90" s="185">
        <f>IFERROR(__xludf.DUMMYFUNCTION("ifna(VALUE(REGEXEXTRACT(E90,""[0-9.]+[,]+[0-9]+"")))"),33.74)</f>
        <v>33.74</v>
      </c>
      <c r="O90" s="226"/>
      <c r="P90" s="220"/>
      <c r="Q90" s="220"/>
      <c r="R90" s="228" t="str">
        <f t="shared" si="2"/>
        <v/>
      </c>
      <c r="S90" s="220" t="str">
        <f t="shared" si="3"/>
        <v/>
      </c>
      <c r="T90" s="232" t="str">
        <f t="shared" si="4"/>
        <v/>
      </c>
      <c r="U90" s="185"/>
      <c r="V90" s="185"/>
      <c r="W90" s="185"/>
    </row>
    <row r="91" ht="14.25" customHeight="1">
      <c r="A91" s="178"/>
      <c r="B91" s="12">
        <v>2114857.0</v>
      </c>
      <c r="C91" s="13">
        <v>46120.93766203704</v>
      </c>
      <c r="D91" s="179" t="s">
        <v>81</v>
      </c>
      <c r="E91" s="180" t="s">
        <v>343</v>
      </c>
      <c r="F91" s="188"/>
      <c r="G91" s="179" t="s">
        <v>128</v>
      </c>
      <c r="H91" s="190"/>
      <c r="I91" s="190"/>
      <c r="J91" s="187" t="s">
        <v>2735</v>
      </c>
      <c r="K91" s="187" t="s">
        <v>6576</v>
      </c>
      <c r="L91" s="270" t="str">
        <f>IFERROR(__xludf.DUMMYFUNCTION("IF(
  AND(D91=""Saída"", J91=""Sangria""),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"),"Confirmada")</f>
        <v>Confirmada</v>
      </c>
      <c r="M91" s="274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IFERROR(__xludf.DUMMYFUNCTION("ifna(VALUE(REGEXEXTRACT(E91,""[0-9.]+[,]+[0-9]+"")))"),550.0)</f>
        <v>550</v>
      </c>
      <c r="O91" s="229"/>
      <c r="P91" s="221"/>
      <c r="Q91" s="221"/>
      <c r="R91" s="231" t="str">
        <f t="shared" si="2"/>
        <v/>
      </c>
      <c r="S91" s="221" t="str">
        <f t="shared" si="3"/>
        <v/>
      </c>
      <c r="T91" s="232" t="str">
        <f t="shared" si="4"/>
        <v/>
      </c>
      <c r="U91" s="185"/>
      <c r="V91" s="185"/>
      <c r="W91" s="185"/>
    </row>
    <row r="92" ht="14.25" customHeight="1">
      <c r="A92" s="178"/>
      <c r="B92" s="12">
        <v>2115236.0</v>
      </c>
      <c r="C92" s="13">
        <v>46121.566296296296</v>
      </c>
      <c r="D92" s="179" t="s">
        <v>81</v>
      </c>
      <c r="E92" s="180" t="s">
        <v>7236</v>
      </c>
      <c r="F92" s="181"/>
      <c r="G92" s="179" t="s">
        <v>6761</v>
      </c>
      <c r="H92" s="190"/>
      <c r="I92" s="190"/>
      <c r="J92" s="187" t="s">
        <v>2438</v>
      </c>
      <c r="K92" s="187"/>
      <c r="L92" s="270" t="str">
        <f>IFERROR(__xludf.DUMMYFUNCTION("IF(
  AND(D92=""Saída"", J92=""Sangria""),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2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IFERROR(__xludf.DUMMYFUNCTION("ifna(VALUE(REGEXEXTRACT(E92,""[0-9.]+[,]+[0-9]+"")))"),68.82)</f>
        <v>68.82</v>
      </c>
      <c r="O92" s="226"/>
      <c r="P92" s="220"/>
      <c r="Q92" s="220"/>
      <c r="R92" s="228" t="str">
        <f t="shared" si="2"/>
        <v/>
      </c>
      <c r="S92" s="220" t="str">
        <f t="shared" si="3"/>
        <v/>
      </c>
      <c r="T92" s="232" t="str">
        <f t="shared" si="4"/>
        <v/>
      </c>
      <c r="U92" s="185"/>
      <c r="V92" s="185"/>
      <c r="W92" s="185"/>
    </row>
    <row r="93" ht="14.25" customHeight="1">
      <c r="A93" s="178"/>
      <c r="B93" s="12">
        <v>2115599.0</v>
      </c>
      <c r="C93" s="13">
        <v>46121.68898148148</v>
      </c>
      <c r="D93" s="179" t="s">
        <v>81</v>
      </c>
      <c r="E93" s="180" t="s">
        <v>7237</v>
      </c>
      <c r="F93" s="181"/>
      <c r="G93" s="179" t="s">
        <v>6779</v>
      </c>
      <c r="H93" s="190"/>
      <c r="I93" s="190"/>
      <c r="J93" s="187" t="s">
        <v>2019</v>
      </c>
      <c r="K93" s="187" t="s">
        <v>6745</v>
      </c>
      <c r="L93" s="270" t="str">
        <f>IFERROR(__xludf.DUMMYFUNCTION("IF(
  AND(D93=""Saída"", J93=""Sangria""),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74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IFERROR(__xludf.DUMMYFUNCTION("ifna(VALUE(REGEXEXTRACT(E93,""[0-9.]+[,]+[0-9]+"")))"),18.87)</f>
        <v>18.87</v>
      </c>
      <c r="O93" s="229"/>
      <c r="P93" s="221"/>
      <c r="Q93" s="221"/>
      <c r="R93" s="231" t="str">
        <f t="shared" si="2"/>
        <v/>
      </c>
      <c r="S93" s="221" t="str">
        <f t="shared" si="3"/>
        <v/>
      </c>
      <c r="T93" s="232" t="str">
        <f t="shared" si="4"/>
        <v/>
      </c>
      <c r="U93" s="185"/>
      <c r="V93" s="185"/>
      <c r="W93" s="185"/>
    </row>
    <row r="94" ht="14.25" customHeight="1">
      <c r="A94" s="178"/>
      <c r="B94" s="12">
        <v>2116490.0</v>
      </c>
      <c r="C94" s="13">
        <v>46121.93362268519</v>
      </c>
      <c r="D94" s="179" t="s">
        <v>81</v>
      </c>
      <c r="E94" s="180" t="s">
        <v>979</v>
      </c>
      <c r="F94" s="181"/>
      <c r="G94" s="179" t="s">
        <v>544</v>
      </c>
      <c r="H94" s="190"/>
      <c r="I94" s="190"/>
      <c r="J94" s="187" t="s">
        <v>2019</v>
      </c>
      <c r="K94" s="187" t="s">
        <v>2078</v>
      </c>
      <c r="L94" s="270" t="str">
        <f>IFERROR(__xludf.DUMMYFUNCTION("IF(
  AND(D94=""Saída"", J94=""Sangria""),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6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IFERROR(__xludf.DUMMYFUNCTION("ifna(VALUE(REGEXEXTRACT(E94,""[0-9.]+[,]+[0-9]+"")))"),3.0)</f>
        <v>3</v>
      </c>
      <c r="O94" s="226"/>
      <c r="P94" s="220"/>
      <c r="Q94" s="220"/>
      <c r="R94" s="228" t="str">
        <f t="shared" si="2"/>
        <v/>
      </c>
      <c r="S94" s="220" t="str">
        <f t="shared" si="3"/>
        <v/>
      </c>
      <c r="T94" s="232" t="str">
        <f t="shared" si="4"/>
        <v/>
      </c>
      <c r="U94" s="185"/>
      <c r="V94" s="185"/>
      <c r="W94" s="185"/>
    </row>
    <row r="95" ht="14.25" customHeight="1">
      <c r="A95" s="178"/>
      <c r="B95" s="12">
        <v>2116492.0</v>
      </c>
      <c r="C95" s="13">
        <v>46121.93393518519</v>
      </c>
      <c r="D95" s="179" t="s">
        <v>81</v>
      </c>
      <c r="E95" s="180" t="s">
        <v>3486</v>
      </c>
      <c r="F95" s="181"/>
      <c r="G95" s="179" t="s">
        <v>381</v>
      </c>
      <c r="H95" s="190"/>
      <c r="I95" s="190"/>
      <c r="J95" s="187" t="s">
        <v>2735</v>
      </c>
      <c r="K95" s="187" t="s">
        <v>6576</v>
      </c>
      <c r="L95" s="270" t="str">
        <f>IFERROR(__xludf.DUMMYFUNCTION("IF(
  AND(D95=""Saída"", J95=""Sangria""),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"),"Confirmada")</f>
        <v>Confirmada</v>
      </c>
      <c r="M95" s="274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IFERROR(__xludf.DUMMYFUNCTION("ifna(VALUE(REGEXEXTRACT(E95,""[0-9.]+[,]+[0-9]+"")))"),500.0)</f>
        <v>500</v>
      </c>
      <c r="O95" s="229"/>
      <c r="P95" s="221"/>
      <c r="Q95" s="221"/>
      <c r="R95" s="231" t="str">
        <f t="shared" si="2"/>
        <v/>
      </c>
      <c r="S95" s="221" t="str">
        <f t="shared" si="3"/>
        <v/>
      </c>
      <c r="T95" s="232" t="str">
        <f t="shared" si="4"/>
        <v/>
      </c>
      <c r="U95" s="185"/>
      <c r="V95" s="185"/>
      <c r="W95" s="185"/>
    </row>
    <row r="96" ht="14.25" customHeight="1">
      <c r="A96" s="178"/>
      <c r="B96" s="12">
        <v>2118298.0</v>
      </c>
      <c r="C96" s="13">
        <v>46122.93827546296</v>
      </c>
      <c r="D96" s="179" t="s">
        <v>81</v>
      </c>
      <c r="E96" s="180" t="s">
        <v>7238</v>
      </c>
      <c r="F96" s="181"/>
      <c r="G96" s="179" t="s">
        <v>460</v>
      </c>
      <c r="H96" s="190"/>
      <c r="I96" s="190"/>
      <c r="J96" s="187" t="s">
        <v>3151</v>
      </c>
      <c r="K96" s="187"/>
      <c r="L96" s="270" t="str">
        <f>IFERROR(__xludf.DUMMYFUNCTION("IF(
  AND(D96=""Saída"", J96=""Sangria""),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2" t="str">
        <f>IFERROR(__xludf.DUMMYFUNCTION("IF(J96=""Compra de Mercadorias"",
   IF(
      COUNTIF(ARRAYFORMULA(TRIM(CLEAN(TO_TEXT(Notas!BS:BS)))), TRIM(CLEAN(TO_TEXT(B96)))) &gt; 0,
      ""Encontrada"",
      ""Não Encontrada""
   ),
"""")"),"Não Encontrada")</f>
        <v>Não Encontrada</v>
      </c>
      <c r="N96" s="185">
        <f>IFERROR(__xludf.DUMMYFUNCTION("ifna(VALUE(REGEXEXTRACT(E96,""[0-9.]+[,]+[0-9]+"")))"),340.92)</f>
        <v>340.92</v>
      </c>
      <c r="O96" s="226"/>
      <c r="P96" s="220"/>
      <c r="Q96" s="220"/>
      <c r="R96" s="228" t="str">
        <f t="shared" si="2"/>
        <v/>
      </c>
      <c r="S96" s="220" t="str">
        <f t="shared" si="3"/>
        <v/>
      </c>
      <c r="T96" s="232" t="str">
        <f t="shared" si="4"/>
        <v/>
      </c>
      <c r="U96" s="185"/>
      <c r="V96" s="185"/>
      <c r="W96" s="185"/>
    </row>
    <row r="97" ht="14.25" customHeight="1">
      <c r="A97" s="178"/>
      <c r="B97" s="12">
        <v>2118299.0</v>
      </c>
      <c r="C97" s="13">
        <v>46122.93880787037</v>
      </c>
      <c r="D97" s="179" t="s">
        <v>81</v>
      </c>
      <c r="E97" s="180" t="s">
        <v>7239</v>
      </c>
      <c r="F97" s="181"/>
      <c r="G97" s="179" t="s">
        <v>6764</v>
      </c>
      <c r="H97" s="190"/>
      <c r="I97" s="190"/>
      <c r="J97" s="187" t="s">
        <v>2438</v>
      </c>
      <c r="K97" s="187"/>
      <c r="L97" s="270" t="str">
        <f>IFERROR(__xludf.DUMMYFUNCTION("IF(
  AND(D97=""Saída"", J97=""Sangria""),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74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IFERROR(__xludf.DUMMYFUNCTION("ifna(VALUE(REGEXEXTRACT(E97,""[0-9.]+[,]+[0-9]+"")))"),59.13)</f>
        <v>59.13</v>
      </c>
      <c r="O97" s="229"/>
      <c r="P97" s="221"/>
      <c r="Q97" s="221"/>
      <c r="R97" s="231" t="str">
        <f t="shared" si="2"/>
        <v/>
      </c>
      <c r="S97" s="221" t="str">
        <f t="shared" si="3"/>
        <v/>
      </c>
      <c r="T97" s="232" t="str">
        <f t="shared" si="4"/>
        <v/>
      </c>
      <c r="U97" s="185"/>
      <c r="V97" s="185"/>
      <c r="W97" s="185"/>
    </row>
    <row r="98" ht="14.25" customHeight="1">
      <c r="A98" s="178"/>
      <c r="B98" s="12">
        <v>2118310.0</v>
      </c>
      <c r="C98" s="13">
        <v>46122.93984953704</v>
      </c>
      <c r="D98" s="179" t="s">
        <v>81</v>
      </c>
      <c r="E98" s="180" t="s">
        <v>127</v>
      </c>
      <c r="F98" s="181"/>
      <c r="G98" s="179" t="s">
        <v>381</v>
      </c>
      <c r="H98" s="190"/>
      <c r="I98" s="190"/>
      <c r="J98" s="187" t="s">
        <v>2735</v>
      </c>
      <c r="K98" s="187" t="s">
        <v>6576</v>
      </c>
      <c r="L98" s="270" t="str">
        <f>IFERROR(__xludf.DUMMYFUNCTION("IF(
  AND(D98=""Saída"", J98=""Sangria""),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"),"Confirmada")</f>
        <v>Confirmada</v>
      </c>
      <c r="M98" s="272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IFERROR(__xludf.DUMMYFUNCTION("ifna(VALUE(REGEXEXTRACT(E98,""[0-9.]+[,]+[0-9]+"")))"),250.0)</f>
        <v>250</v>
      </c>
      <c r="O98" s="226"/>
      <c r="P98" s="220"/>
      <c r="Q98" s="220"/>
      <c r="R98" s="228" t="str">
        <f t="shared" si="2"/>
        <v/>
      </c>
      <c r="S98" s="220" t="str">
        <f t="shared" si="3"/>
        <v/>
      </c>
      <c r="T98" s="232" t="str">
        <f t="shared" si="4"/>
        <v/>
      </c>
      <c r="U98" s="185"/>
      <c r="V98" s="185"/>
      <c r="W98" s="185"/>
    </row>
    <row r="99" ht="14.25" customHeight="1">
      <c r="A99" s="178"/>
      <c r="B99" s="12">
        <v>2120405.0</v>
      </c>
      <c r="C99" s="13">
        <v>46123.93111111111</v>
      </c>
      <c r="D99" s="179" t="s">
        <v>81</v>
      </c>
      <c r="E99" s="180" t="s">
        <v>910</v>
      </c>
      <c r="F99" s="181"/>
      <c r="G99" s="179" t="s">
        <v>3587</v>
      </c>
      <c r="H99" s="190"/>
      <c r="I99" s="190"/>
      <c r="J99" s="187" t="s">
        <v>2735</v>
      </c>
      <c r="K99" s="187" t="s">
        <v>2018</v>
      </c>
      <c r="L99" s="270" t="str">
        <f>IFERROR(__xludf.DUMMYFUNCTION("IF(
  AND(D99=""Saída"", J99=""Sangria""),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"),"Confirmada")</f>
        <v>Confirmada</v>
      </c>
      <c r="M99" s="274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IFERROR(__xludf.DUMMYFUNCTION("ifna(VALUE(REGEXEXTRACT(E99,""[0-9.]+[,]+[0-9]+"")))"),1000.0)</f>
        <v>1000</v>
      </c>
      <c r="O99" s="235"/>
      <c r="P99" s="236"/>
      <c r="Q99" s="236"/>
      <c r="R99" s="237" t="str">
        <f t="shared" si="2"/>
        <v/>
      </c>
      <c r="S99" s="236" t="str">
        <f t="shared" si="3"/>
        <v/>
      </c>
      <c r="T99" s="232" t="str">
        <f t="shared" si="4"/>
        <v/>
      </c>
      <c r="U99" s="185"/>
      <c r="V99" s="185"/>
      <c r="W99" s="185"/>
    </row>
    <row r="100" ht="14.25" customHeight="1">
      <c r="A100" s="178"/>
      <c r="B100" s="12">
        <v>2120431.0</v>
      </c>
      <c r="C100" s="13">
        <v>46123.933171296296</v>
      </c>
      <c r="D100" s="179" t="s">
        <v>81</v>
      </c>
      <c r="E100" s="180" t="s">
        <v>2818</v>
      </c>
      <c r="F100" s="181"/>
      <c r="G100" s="179" t="s">
        <v>7240</v>
      </c>
      <c r="H100" s="190"/>
      <c r="I100" s="190"/>
      <c r="J100" s="187" t="s">
        <v>1782</v>
      </c>
      <c r="K100" s="187"/>
      <c r="L100" s="270" t="str">
        <f>IFERROR(__xludf.DUMMYFUNCTION("IF(
  AND(D100=""Saída"", J100=""Sangria""),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2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IFERROR(__xludf.DUMMYFUNCTION("ifna(VALUE(REGEXEXTRACT(E100,""[0-9.]+[,]+[0-9]+"")))"),111.0)</f>
        <v>111</v>
      </c>
      <c r="O100" s="235"/>
      <c r="P100" s="236"/>
      <c r="Q100" s="236"/>
      <c r="R100" s="237" t="str">
        <f t="shared" si="2"/>
        <v/>
      </c>
      <c r="S100" s="236" t="str">
        <f t="shared" si="3"/>
        <v/>
      </c>
      <c r="T100" s="232" t="str">
        <f t="shared" si="4"/>
        <v/>
      </c>
      <c r="U100" s="185"/>
      <c r="V100" s="185"/>
      <c r="W100" s="185"/>
    </row>
    <row r="101" ht="14.25" customHeight="1">
      <c r="A101" s="178"/>
      <c r="B101" s="12">
        <v>2121460.0</v>
      </c>
      <c r="C101" s="13">
        <v>46124.71326388889</v>
      </c>
      <c r="D101" s="179" t="s">
        <v>81</v>
      </c>
      <c r="E101" s="180" t="s">
        <v>7241</v>
      </c>
      <c r="F101" s="181"/>
      <c r="G101" s="179" t="s">
        <v>7202</v>
      </c>
      <c r="H101" s="190"/>
      <c r="I101" s="190"/>
      <c r="J101" s="187" t="s">
        <v>1782</v>
      </c>
      <c r="K101" s="187"/>
      <c r="L101" s="270" t="str">
        <f>IFERROR(__xludf.DUMMYFUNCTION("IF(
  AND(D101=""Saída"", J101=""Sangria""),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76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IFERROR(__xludf.DUMMYFUNCTION("ifna(VALUE(REGEXEXTRACT(E101,""[0-9.]+[,]+[0-9]+"")))"),267.0)</f>
        <v>267</v>
      </c>
      <c r="O101" s="235"/>
      <c r="P101" s="236"/>
      <c r="Q101" s="236"/>
      <c r="R101" s="237" t="str">
        <f t="shared" si="2"/>
        <v/>
      </c>
      <c r="S101" s="236" t="str">
        <f t="shared" si="3"/>
        <v/>
      </c>
      <c r="T101" s="232" t="str">
        <f t="shared" si="4"/>
        <v/>
      </c>
      <c r="U101" s="185"/>
      <c r="V101" s="185"/>
      <c r="W101" s="185"/>
    </row>
    <row r="102" ht="14.25" customHeight="1">
      <c r="A102" s="178"/>
      <c r="B102" s="12">
        <v>2121484.0</v>
      </c>
      <c r="C102" s="13">
        <v>46124.719305555554</v>
      </c>
      <c r="D102" s="179" t="s">
        <v>81</v>
      </c>
      <c r="E102" s="180" t="s">
        <v>517</v>
      </c>
      <c r="F102" s="181"/>
      <c r="G102" s="179" t="s">
        <v>7242</v>
      </c>
      <c r="H102" s="190"/>
      <c r="I102" s="190"/>
      <c r="J102" s="187" t="s">
        <v>1782</v>
      </c>
      <c r="K102" s="187"/>
      <c r="L102" s="270" t="str">
        <f>IFERROR(__xludf.DUMMYFUNCTION("IF(
  AND(D102=""Saída"", J102=""Sangria""),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2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IFERROR(__xludf.DUMMYFUNCTION("ifna(VALUE(REGEXEXTRACT(E102,""[0-9.]+[,]+[0-9]+"")))"),40.0)</f>
        <v>40</v>
      </c>
      <c r="O102" s="235"/>
      <c r="P102" s="236"/>
      <c r="Q102" s="236"/>
      <c r="R102" s="237" t="str">
        <f t="shared" si="2"/>
        <v/>
      </c>
      <c r="S102" s="236" t="str">
        <f t="shared" si="3"/>
        <v/>
      </c>
      <c r="T102" s="232" t="str">
        <f t="shared" si="4"/>
        <v/>
      </c>
      <c r="U102" s="185"/>
      <c r="V102" s="185"/>
      <c r="W102" s="185"/>
    </row>
    <row r="103" ht="14.25" customHeight="1">
      <c r="A103" s="178"/>
      <c r="B103" s="12">
        <v>2122800.0</v>
      </c>
      <c r="C103" s="13">
        <v>46124.92568287037</v>
      </c>
      <c r="D103" s="179" t="s">
        <v>81</v>
      </c>
      <c r="E103" s="180" t="s">
        <v>7243</v>
      </c>
      <c r="F103" s="188"/>
      <c r="G103" s="179" t="s">
        <v>427</v>
      </c>
      <c r="H103" s="190"/>
      <c r="I103" s="190"/>
      <c r="J103" s="187" t="s">
        <v>1782</v>
      </c>
      <c r="K103" s="187"/>
      <c r="L103" s="270" t="str">
        <f>IFERROR(__xludf.DUMMYFUNCTION("IF(
  AND(D103=""Saída"", J103=""Sangria""),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74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85">
        <f>IFERROR(__xludf.DUMMYFUNCTION("ifna(VALUE(REGEXEXTRACT(E103,""[0-9.]+[,]+[0-9]+"")))"),227.0)</f>
        <v>227</v>
      </c>
      <c r="O103" s="235"/>
      <c r="P103" s="236"/>
      <c r="Q103" s="236"/>
      <c r="R103" s="237" t="str">
        <f t="shared" si="2"/>
        <v/>
      </c>
      <c r="S103" s="236" t="str">
        <f t="shared" si="3"/>
        <v/>
      </c>
      <c r="T103" s="232" t="str">
        <f t="shared" si="4"/>
        <v/>
      </c>
      <c r="U103" s="185"/>
      <c r="V103" s="185"/>
      <c r="W103" s="185"/>
    </row>
    <row r="104" ht="14.25" customHeight="1">
      <c r="A104" s="178"/>
      <c r="B104" s="12">
        <v>2124454.0</v>
      </c>
      <c r="C104" s="13">
        <v>46125.90553240741</v>
      </c>
      <c r="D104" s="179" t="s">
        <v>81</v>
      </c>
      <c r="E104" s="180" t="s">
        <v>590</v>
      </c>
      <c r="F104" s="181"/>
      <c r="G104" s="179" t="s">
        <v>381</v>
      </c>
      <c r="H104" s="190"/>
      <c r="I104" s="190"/>
      <c r="J104" s="187" t="s">
        <v>2735</v>
      </c>
      <c r="K104" s="187" t="s">
        <v>6576</v>
      </c>
      <c r="L104" s="270" t="str">
        <f>IFERROR(__xludf.DUMMYFUNCTION("IF(
  AND(D104=""Saída"", J104=""Sangria""),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"),"Confirmada")</f>
        <v>Confirmada</v>
      </c>
      <c r="M104" s="272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85">
        <f>IFERROR(__xludf.DUMMYFUNCTION("ifna(VALUE(REGEXEXTRACT(E104,""[0-9.]+[,]+[0-9]+"")))"),350.0)</f>
        <v>350</v>
      </c>
      <c r="O104" s="239"/>
      <c r="P104" s="240"/>
      <c r="Q104" s="240"/>
      <c r="R104" s="241" t="str">
        <f t="shared" si="2"/>
        <v/>
      </c>
      <c r="S104" s="240" t="str">
        <f t="shared" si="3"/>
        <v/>
      </c>
      <c r="T104" s="242" t="str">
        <f t="shared" si="4"/>
        <v/>
      </c>
      <c r="U104" s="185"/>
      <c r="V104" s="185"/>
      <c r="W104" s="185"/>
    </row>
    <row r="105" ht="14.25" customHeight="1">
      <c r="A105" s="178"/>
      <c r="B105" s="12">
        <v>2124458.0</v>
      </c>
      <c r="C105" s="13">
        <v>46125.90694444445</v>
      </c>
      <c r="D105" s="179" t="s">
        <v>81</v>
      </c>
      <c r="E105" s="180" t="s">
        <v>485</v>
      </c>
      <c r="F105" s="181"/>
      <c r="G105" s="179" t="s">
        <v>506</v>
      </c>
      <c r="H105" s="190"/>
      <c r="I105" s="190"/>
      <c r="J105" s="187" t="s">
        <v>1782</v>
      </c>
      <c r="K105" s="187"/>
      <c r="L105" s="270" t="str">
        <f>IFERROR(__xludf.DUMMYFUNCTION("IF(
  AND(D105=""Saída"", J105=""Sangria""),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73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IFERROR(__xludf.DUMMYFUNCTION("ifna(VALUE(REGEXEXTRACT(E105,""[0-9.]+[,]+[0-9]+"")))"),60.0)</f>
        <v>60</v>
      </c>
      <c r="O105" s="25"/>
      <c r="P105" s="25"/>
      <c r="Q105" s="25"/>
      <c r="R105" s="25"/>
      <c r="S105" s="25"/>
      <c r="T105" s="25"/>
      <c r="U105" s="185"/>
      <c r="V105" s="185"/>
      <c r="W105" s="185"/>
    </row>
    <row r="106" ht="14.25" customHeight="1">
      <c r="A106" s="178"/>
      <c r="B106" s="12">
        <v>2125687.0</v>
      </c>
      <c r="C106" s="13">
        <v>46126.75884259259</v>
      </c>
      <c r="D106" s="179" t="s">
        <v>81</v>
      </c>
      <c r="E106" s="180" t="s">
        <v>7244</v>
      </c>
      <c r="F106" s="181"/>
      <c r="G106" s="179" t="s">
        <v>7245</v>
      </c>
      <c r="H106" s="190"/>
      <c r="I106" s="190"/>
      <c r="J106" s="187" t="s">
        <v>1782</v>
      </c>
      <c r="K106" s="187"/>
      <c r="L106" s="270" t="str">
        <f>IFERROR(__xludf.DUMMYFUNCTION("IF(
  AND(D106=""Saída"", J106=""Sangria""),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72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IFERROR(__xludf.DUMMYFUNCTION("ifna(VALUE(REGEXEXTRACT(E106,""[0-9.]+[,]+[0-9]+"")))"),324.0)</f>
        <v>324</v>
      </c>
      <c r="O106" s="289" t="s">
        <v>6698</v>
      </c>
      <c r="W106" s="185"/>
    </row>
    <row r="107" ht="14.25" customHeight="1">
      <c r="A107" s="178"/>
      <c r="B107" s="12">
        <v>2125715.0</v>
      </c>
      <c r="C107" s="13">
        <v>46126.76998842593</v>
      </c>
      <c r="D107" s="179" t="s">
        <v>81</v>
      </c>
      <c r="E107" s="180" t="s">
        <v>7246</v>
      </c>
      <c r="F107" s="181"/>
      <c r="G107" s="179" t="s">
        <v>313</v>
      </c>
      <c r="H107" s="190"/>
      <c r="I107" s="190"/>
      <c r="J107" s="187" t="s">
        <v>3151</v>
      </c>
      <c r="K107" s="187"/>
      <c r="L107" s="270" t="str">
        <f>IFERROR(__xludf.DUMMYFUNCTION("IF(
  AND(D107=""Saída"", J107=""Sangria""),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74" t="str">
        <f>IFERROR(__xludf.DUMMYFUNCTION("IF(J107=""Compra de Mercadorias"",
   IF(
      COUNTIF(ARRAYFORMULA(TRIM(CLEAN(TO_TEXT(Notas!BS:BS)))), TRIM(CLEAN(TO_TEXT(B107)))) &gt; 0,
      ""Encontrada"",
      ""Não Encontrada""
   ),
"""")"),"Não Encontrada")</f>
        <v>Não Encontrada</v>
      </c>
      <c r="N107" s="185">
        <f>IFERROR(__xludf.DUMMYFUNCTION("ifna(VALUE(REGEXEXTRACT(E107,""[0-9.]+[,]+[0-9]+"")))"),35.34)</f>
        <v>35.34</v>
      </c>
      <c r="O107" s="290" t="str">
        <f>IFERROR(__xludf.DUMMYFUNCTION("QUERY(B28:M507,""Select B,C,D,E,G,H,I,M where M = 'Não Encontrada'"",1)"),"ID")</f>
        <v>ID</v>
      </c>
      <c r="P107" s="290" t="str">
        <f>IFERROR(__xludf.DUMMYFUNCTION("""COMPUTED_VALUE"""),"Data")</f>
        <v>Data</v>
      </c>
      <c r="Q107" s="290" t="str">
        <f>IFERROR(__xludf.DUMMYFUNCTION("""COMPUTED_VALUE"""),"Entrada/Saída")</f>
        <v>Entrada/Saída</v>
      </c>
      <c r="R107" s="291" t="str">
        <f>IFERROR(__xludf.DUMMYFUNCTION("""COMPUTED_VALUE"""),"Valor ")</f>
        <v>Valor </v>
      </c>
      <c r="S107" s="290" t="str">
        <f>IFERROR(__xludf.DUMMYFUNCTION("""COMPUTED_VALUE"""),"Descrição")</f>
        <v>Descrição</v>
      </c>
      <c r="V107" s="292" t="str">
        <f>IFERROR(__xludf.DUMMYFUNCTION("""COMPUTED_VALUE"""),"Nota")</f>
        <v>Nota</v>
      </c>
      <c r="W107" s="185"/>
    </row>
    <row r="108" ht="14.25" customHeight="1">
      <c r="A108" s="178"/>
      <c r="B108" s="12">
        <v>2125735.0</v>
      </c>
      <c r="C108" s="13">
        <v>46126.77489583333</v>
      </c>
      <c r="D108" s="179" t="s">
        <v>81</v>
      </c>
      <c r="E108" s="180" t="s">
        <v>7002</v>
      </c>
      <c r="F108" s="181"/>
      <c r="G108" s="179" t="s">
        <v>6779</v>
      </c>
      <c r="H108" s="190"/>
      <c r="I108" s="190"/>
      <c r="J108" s="187" t="s">
        <v>2019</v>
      </c>
      <c r="K108" s="187" t="s">
        <v>6745</v>
      </c>
      <c r="L108" s="270" t="str">
        <f>IFERROR(__xludf.DUMMYFUNCTION("IF(
  AND(D108=""Saída"", J108=""Sangria""),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2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85">
        <f>IFERROR(__xludf.DUMMYFUNCTION("ifna(VALUE(REGEXEXTRACT(E108,""[0-9.]+[,]+[0-9]+"")))"),21.61)</f>
        <v>21.61</v>
      </c>
      <c r="O108" s="293">
        <f>IFERROR(__xludf.DUMMYFUNCTION("""COMPUTED_VALUE"""),2086937.0)</f>
        <v>2086937</v>
      </c>
      <c r="P108" s="294">
        <f>IFERROR(__xludf.DUMMYFUNCTION("""COMPUTED_VALUE"""),46108.536620370374)</f>
        <v>46108.53662</v>
      </c>
      <c r="Q108" s="293" t="str">
        <f>IFERROR(__xludf.DUMMYFUNCTION("""COMPUTED_VALUE"""),"Saída")</f>
        <v>Saída</v>
      </c>
      <c r="R108" s="295" t="str">
        <f>IFERROR(__xludf.DUMMYFUNCTION("""COMPUTED_VALUE"""),"R$ 83,87")</f>
        <v>R$ 83,87</v>
      </c>
      <c r="S108" s="293" t="str">
        <f>IFERROR(__xludf.DUMMYFUNCTION("""COMPUTED_VALUE"""),"FRUTAS E CAFE FUNCIONARIOS REF 26/03/26")</f>
        <v>FRUTAS E CAFE FUNCIONARIOS REF 26/03/26</v>
      </c>
      <c r="V108" s="296" t="str">
        <f>IFERROR(__xludf.DUMMYFUNCTION("""COMPUTED_VALUE"""),"Não Encontrada")</f>
        <v>Não Encontrada</v>
      </c>
      <c r="W108" s="185"/>
    </row>
    <row r="109" ht="14.25" customHeight="1">
      <c r="A109" s="178"/>
      <c r="B109" s="12">
        <v>2125759.0</v>
      </c>
      <c r="C109" s="13">
        <v>46126.78194444445</v>
      </c>
      <c r="D109" s="179" t="s">
        <v>81</v>
      </c>
      <c r="E109" s="180" t="s">
        <v>7247</v>
      </c>
      <c r="F109" s="181"/>
      <c r="G109" s="179" t="s">
        <v>656</v>
      </c>
      <c r="H109" s="190"/>
      <c r="I109" s="190"/>
      <c r="J109" s="187" t="s">
        <v>2019</v>
      </c>
      <c r="K109" s="187" t="s">
        <v>2078</v>
      </c>
      <c r="L109" s="270" t="str">
        <f>IFERROR(__xludf.DUMMYFUNCTION("IF(
  AND(D109=""Saída"", J109=""Sangria""),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74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85">
        <f>IFERROR(__xludf.DUMMYFUNCTION("ifna(VALUE(REGEXEXTRACT(E109,""[0-9.]+[,]+[0-9]+"")))"),21.18)</f>
        <v>21.18</v>
      </c>
      <c r="O109" s="297">
        <f>IFERROR(__xludf.DUMMYFUNCTION("""COMPUTED_VALUE"""),2087058.0)</f>
        <v>2087058</v>
      </c>
      <c r="P109" s="298">
        <f>IFERROR(__xludf.DUMMYFUNCTION("""COMPUTED_VALUE"""),46108.58273148148)</f>
        <v>46108.58273</v>
      </c>
      <c r="Q109" s="297" t="str">
        <f>IFERROR(__xludf.DUMMYFUNCTION("""COMPUTED_VALUE"""),"Saída")</f>
        <v>Saída</v>
      </c>
      <c r="R109" s="299" t="str">
        <f>IFERROR(__xludf.DUMMYFUNCTION("""COMPUTED_VALUE"""),"R$ 6,00")</f>
        <v>R$ 6,00</v>
      </c>
      <c r="S109" s="297" t="str">
        <f>IFERROR(__xludf.DUMMYFUNCTION("""COMPUTED_VALUE"""),"material escritorio")</f>
        <v>material escritorio</v>
      </c>
      <c r="V109" s="300" t="str">
        <f>IFERROR(__xludf.DUMMYFUNCTION("""COMPUTED_VALUE"""),"Não Encontrada")</f>
        <v>Não Encontrada</v>
      </c>
      <c r="W109" s="185"/>
    </row>
    <row r="110" ht="14.25" customHeight="1">
      <c r="A110" s="178"/>
      <c r="B110" s="12">
        <v>2126372.0</v>
      </c>
      <c r="C110" s="13">
        <v>46126.940671296295</v>
      </c>
      <c r="D110" s="179" t="s">
        <v>81</v>
      </c>
      <c r="E110" s="180" t="s">
        <v>343</v>
      </c>
      <c r="F110" s="181"/>
      <c r="G110" s="179" t="s">
        <v>128</v>
      </c>
      <c r="H110" s="190"/>
      <c r="I110" s="190"/>
      <c r="J110" s="187" t="s">
        <v>2735</v>
      </c>
      <c r="K110" s="187" t="s">
        <v>6576</v>
      </c>
      <c r="L110" s="270" t="str">
        <f>IFERROR(__xludf.DUMMYFUNCTION("IF(
  AND(D110=""Saída"", J110=""Sangria""),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"),"Confirmada")</f>
        <v>Confirmada</v>
      </c>
      <c r="M110" s="272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85">
        <f>IFERROR(__xludf.DUMMYFUNCTION("ifna(VALUE(REGEXEXTRACT(E110,""[0-9.]+[,]+[0-9]+"")))"),550.0)</f>
        <v>550</v>
      </c>
      <c r="O110" s="293">
        <f>IFERROR(__xludf.DUMMYFUNCTION("""COMPUTED_VALUE"""),2088039.0)</f>
        <v>2088039</v>
      </c>
      <c r="P110" s="294">
        <f>IFERROR(__xludf.DUMMYFUNCTION("""COMPUTED_VALUE"""),46108.82570601851)</f>
        <v>46108.82571</v>
      </c>
      <c r="Q110" s="293" t="str">
        <f>IFERROR(__xludf.DUMMYFUNCTION("""COMPUTED_VALUE"""),"Saída")</f>
        <v>Saída</v>
      </c>
      <c r="R110" s="295" t="str">
        <f>IFERROR(__xludf.DUMMYFUNCTION("""COMPUTED_VALUE"""),"R$ 66,12")</f>
        <v>R$ 66,12</v>
      </c>
      <c r="S110" s="293" t="str">
        <f>IFERROR(__xludf.DUMMYFUNCTION("""COMPUTED_VALUE"""),"cafe funcionarios")</f>
        <v>cafe funcionarios</v>
      </c>
      <c r="V110" s="296" t="str">
        <f>IFERROR(__xludf.DUMMYFUNCTION("""COMPUTED_VALUE"""),"Não Encontrada")</f>
        <v>Não Encontrada</v>
      </c>
      <c r="W110" s="185"/>
    </row>
    <row r="111" ht="14.25" customHeight="1">
      <c r="A111" s="178"/>
      <c r="B111" s="12">
        <v>2127441.0</v>
      </c>
      <c r="C111" s="13">
        <v>46127.8275462963</v>
      </c>
      <c r="D111" s="179" t="s">
        <v>81</v>
      </c>
      <c r="E111" s="180" t="s">
        <v>7248</v>
      </c>
      <c r="F111" s="181"/>
      <c r="G111" s="179" t="s">
        <v>544</v>
      </c>
      <c r="H111" s="190"/>
      <c r="I111" s="190"/>
      <c r="J111" s="187" t="s">
        <v>2019</v>
      </c>
      <c r="K111" s="187" t="s">
        <v>2078</v>
      </c>
      <c r="L111" s="270" t="str">
        <f>IFERROR(__xludf.DUMMYFUNCTION("IF(
  AND(D111=""Saída"", J111=""Sangria""),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74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IFERROR(__xludf.DUMMYFUNCTION("ifna(VALUE(REGEXEXTRACT(E111,""[0-9.]+[,]+[0-9]+"")))"),25.11)</f>
        <v>25.11</v>
      </c>
      <c r="O111" s="297">
        <f>IFERROR(__xludf.DUMMYFUNCTION("""COMPUTED_VALUE"""),2088043.0)</f>
        <v>2088043</v>
      </c>
      <c r="P111" s="298">
        <f>IFERROR(__xludf.DUMMYFUNCTION("""COMPUTED_VALUE"""),46108.82607638889)</f>
        <v>46108.82608</v>
      </c>
      <c r="Q111" s="297" t="str">
        <f>IFERROR(__xludf.DUMMYFUNCTION("""COMPUTED_VALUE"""),"Saída")</f>
        <v>Saída</v>
      </c>
      <c r="R111" s="299" t="str">
        <f>IFERROR(__xludf.DUMMYFUNCTION("""COMPUTED_VALUE"""),"R$ 40,46")</f>
        <v>R$ 40,46</v>
      </c>
      <c r="S111" s="297" t="str">
        <f>IFERROR(__xludf.DUMMYFUNCTION("""COMPUTED_VALUE"""),"materiais de cozinha")</f>
        <v>materiais de cozinha</v>
      </c>
      <c r="V111" s="300" t="str">
        <f>IFERROR(__xludf.DUMMYFUNCTION("""COMPUTED_VALUE"""),"Não Encontrada")</f>
        <v>Não Encontrada</v>
      </c>
      <c r="W111" s="185"/>
    </row>
    <row r="112" ht="14.25" customHeight="1">
      <c r="A112" s="178"/>
      <c r="B112" s="12">
        <v>2127569.0</v>
      </c>
      <c r="C112" s="13">
        <v>46127.87908564815</v>
      </c>
      <c r="D112" s="179" t="s">
        <v>81</v>
      </c>
      <c r="E112" s="180" t="s">
        <v>943</v>
      </c>
      <c r="F112" s="181"/>
      <c r="G112" s="179" t="s">
        <v>381</v>
      </c>
      <c r="H112" s="190"/>
      <c r="I112" s="190"/>
      <c r="J112" s="187" t="s">
        <v>2735</v>
      </c>
      <c r="K112" s="187" t="s">
        <v>6576</v>
      </c>
      <c r="L112" s="270" t="str">
        <f>IFERROR(__xludf.DUMMYFUNCTION("IF(
  AND(D112=""Saída"", J112=""Sangria""),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"),"Confirmada")</f>
        <v>Confirmada</v>
      </c>
      <c r="M112" s="276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IFERROR(__xludf.DUMMYFUNCTION("ifna(VALUE(REGEXEXTRACT(E112,""[0-9.]+[,]+[0-9]+"")))"),800.0)</f>
        <v>800</v>
      </c>
      <c r="O112" s="293">
        <f>IFERROR(__xludf.DUMMYFUNCTION("""COMPUTED_VALUE"""),2091806.0)</f>
        <v>2091806</v>
      </c>
      <c r="P112" s="294">
        <f>IFERROR(__xludf.DUMMYFUNCTION("""COMPUTED_VALUE"""),46109.98881944444)</f>
        <v>46109.98882</v>
      </c>
      <c r="Q112" s="293" t="str">
        <f>IFERROR(__xludf.DUMMYFUNCTION("""COMPUTED_VALUE"""),"Saída")</f>
        <v>Saída</v>
      </c>
      <c r="R112" s="295" t="str">
        <f>IFERROR(__xludf.DUMMYFUNCTION("""COMPUTED_VALUE"""),"R$ 168,04")</f>
        <v>R$ 168,04</v>
      </c>
      <c r="S112" s="293" t="str">
        <f>IFERROR(__xludf.DUMMYFUNCTION("""COMPUTED_VALUE"""),"frutas")</f>
        <v>frutas</v>
      </c>
      <c r="V112" s="296" t="str">
        <f>IFERROR(__xludf.DUMMYFUNCTION("""COMPUTED_VALUE"""),"Não Encontrada")</f>
        <v>Não Encontrada</v>
      </c>
      <c r="W112" s="185"/>
    </row>
    <row r="113" ht="14.25" customHeight="1">
      <c r="A113" s="178"/>
      <c r="B113" s="12">
        <v>2128744.0</v>
      </c>
      <c r="C113" s="13">
        <v>46128.74681712963</v>
      </c>
      <c r="D113" s="179" t="s">
        <v>152</v>
      </c>
      <c r="E113" s="180" t="s">
        <v>7249</v>
      </c>
      <c r="F113" s="181"/>
      <c r="G113" s="179" t="s">
        <v>158</v>
      </c>
      <c r="H113" s="190"/>
      <c r="I113" s="190"/>
      <c r="J113" s="187" t="s">
        <v>2669</v>
      </c>
      <c r="K113" s="187"/>
      <c r="L113" s="270" t="str">
        <f>IFERROR(__xludf.DUMMYFUNCTION("IF(
  AND(D113=""Saída"", J113=""Sangria""),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74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IFERROR(__xludf.DUMMYFUNCTION("ifna(VALUE(REGEXEXTRACT(E113,""[0-9.]+[,]+[0-9]+"")))"),49.7)</f>
        <v>49.7</v>
      </c>
      <c r="O113" s="297">
        <f>IFERROR(__xludf.DUMMYFUNCTION("""COMPUTED_VALUE"""),2091809.0)</f>
        <v>2091809</v>
      </c>
      <c r="P113" s="298">
        <f>IFERROR(__xludf.DUMMYFUNCTION("""COMPUTED_VALUE"""),46109.98913194444)</f>
        <v>46109.98913</v>
      </c>
      <c r="Q113" s="297" t="str">
        <f>IFERROR(__xludf.DUMMYFUNCTION("""COMPUTED_VALUE"""),"Saída")</f>
        <v>Saída</v>
      </c>
      <c r="R113" s="299" t="str">
        <f>IFERROR(__xludf.DUMMYFUNCTION("""COMPUTED_VALUE"""),"R$ 82,00")</f>
        <v>R$ 82,00</v>
      </c>
      <c r="S113" s="297" t="str">
        <f>IFERROR(__xludf.DUMMYFUNCTION("""COMPUTED_VALUE"""),"frutas")</f>
        <v>frutas</v>
      </c>
      <c r="V113" s="300" t="str">
        <f>IFERROR(__xludf.DUMMYFUNCTION("""COMPUTED_VALUE"""),"Não Encontrada")</f>
        <v>Não Encontrada</v>
      </c>
      <c r="W113" s="185"/>
    </row>
    <row r="114" ht="14.25" customHeight="1">
      <c r="A114" s="178"/>
      <c r="B114" s="12">
        <v>2129527.0</v>
      </c>
      <c r="C114" s="13">
        <v>46128.93997685185</v>
      </c>
      <c r="D114" s="179" t="s">
        <v>81</v>
      </c>
      <c r="E114" s="180" t="s">
        <v>659</v>
      </c>
      <c r="F114" s="181"/>
      <c r="G114" s="179" t="s">
        <v>656</v>
      </c>
      <c r="H114" s="190"/>
      <c r="I114" s="190"/>
      <c r="J114" s="187" t="s">
        <v>2019</v>
      </c>
      <c r="K114" s="187" t="s">
        <v>2078</v>
      </c>
      <c r="L114" s="270" t="str">
        <f>IFERROR(__xludf.DUMMYFUNCTION("IF(
  AND(D114=""Saída"", J114=""Sangria""),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2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>
        <f>IFERROR(__xludf.DUMMYFUNCTION("ifna(VALUE(REGEXEXTRACT(E114,""[0-9.]+[,]+[0-9]+"")))"),5.0)</f>
        <v>5</v>
      </c>
      <c r="O114" s="293">
        <f>IFERROR(__xludf.DUMMYFUNCTION("""COMPUTED_VALUE"""),2091812.0)</f>
        <v>2091812</v>
      </c>
      <c r="P114" s="294">
        <f>IFERROR(__xludf.DUMMYFUNCTION("""COMPUTED_VALUE"""),46109.989386574074)</f>
        <v>46109.98939</v>
      </c>
      <c r="Q114" s="293" t="str">
        <f>IFERROR(__xludf.DUMMYFUNCTION("""COMPUTED_VALUE"""),"Saída")</f>
        <v>Saída</v>
      </c>
      <c r="R114" s="295" t="str">
        <f>IFERROR(__xludf.DUMMYFUNCTION("""COMPUTED_VALUE"""),"R$ 8,99")</f>
        <v>R$ 8,99</v>
      </c>
      <c r="S114" s="293" t="str">
        <f>IFERROR(__xludf.DUMMYFUNCTION("""COMPUTED_VALUE"""),"frutas")</f>
        <v>frutas</v>
      </c>
      <c r="V114" s="296" t="str">
        <f>IFERROR(__xludf.DUMMYFUNCTION("""COMPUTED_VALUE"""),"Não Encontrada")</f>
        <v>Não Encontrada</v>
      </c>
      <c r="W114" s="185"/>
    </row>
    <row r="115" ht="14.25" customHeight="1">
      <c r="A115" s="178"/>
      <c r="B115" s="12">
        <v>2129532.0</v>
      </c>
      <c r="C115" s="13">
        <v>46128.94027777778</v>
      </c>
      <c r="D115" s="179" t="s">
        <v>81</v>
      </c>
      <c r="E115" s="180" t="s">
        <v>1370</v>
      </c>
      <c r="F115" s="181"/>
      <c r="G115" s="179" t="s">
        <v>7250</v>
      </c>
      <c r="H115" s="190"/>
      <c r="I115" s="190"/>
      <c r="J115" s="187" t="s">
        <v>3151</v>
      </c>
      <c r="K115" s="187"/>
      <c r="L115" s="270" t="str">
        <f>IFERROR(__xludf.DUMMYFUNCTION("IF(
  AND(D115=""Saída"", J115=""Sangria""),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74" t="str">
        <f>IFERROR(__xludf.DUMMYFUNCTION("IF(J115=""Compra de Mercadorias"",
   IF(
      COUNTIF(ARRAYFORMULA(TRIM(CLEAN(TO_TEXT(Notas!BS:BS)))), TRIM(CLEAN(TO_TEXT(B115)))) &gt; 0,
      ""Encontrada"",
      ""Não Encontrada""
   ),
"""")"),"Não Encontrada")</f>
        <v>Não Encontrada</v>
      </c>
      <c r="N115" s="185">
        <f>IFERROR(__xludf.DUMMYFUNCTION("ifna(VALUE(REGEXEXTRACT(E115,""[0-9.]+[,]+[0-9]+"")))"),4.0)</f>
        <v>4</v>
      </c>
      <c r="O115" s="301">
        <f>IFERROR(__xludf.DUMMYFUNCTION("""COMPUTED_VALUE"""),2097044.0)</f>
        <v>2097044</v>
      </c>
      <c r="P115" s="302">
        <f>IFERROR(__xludf.DUMMYFUNCTION("""COMPUTED_VALUE"""),46111.93613425926)</f>
        <v>46111.93613</v>
      </c>
      <c r="Q115" s="301" t="str">
        <f>IFERROR(__xludf.DUMMYFUNCTION("""COMPUTED_VALUE"""),"Saída")</f>
        <v>Saída</v>
      </c>
      <c r="R115" s="303" t="str">
        <f>IFERROR(__xludf.DUMMYFUNCTION("""COMPUTED_VALUE"""),"R$ 255,65")</f>
        <v>R$ 255,65</v>
      </c>
      <c r="S115" s="301" t="str">
        <f>IFERROR(__xludf.DUMMYFUNCTION("""COMPUTED_VALUE"""),"FRUTAS E CAFE FUNCIONARIOS")</f>
        <v>FRUTAS E CAFE FUNCIONARIOS</v>
      </c>
      <c r="V115" s="304" t="str">
        <f>IFERROR(__xludf.DUMMYFUNCTION("""COMPUTED_VALUE"""),"Não Encontrada")</f>
        <v>Não Encontrada</v>
      </c>
      <c r="W115" s="185"/>
    </row>
    <row r="116" ht="14.25" customHeight="1">
      <c r="A116" s="178"/>
      <c r="B116" s="12">
        <v>2129551.0</v>
      </c>
      <c r="C116" s="13">
        <v>46128.9453587963</v>
      </c>
      <c r="D116" s="179" t="s">
        <v>81</v>
      </c>
      <c r="E116" s="180" t="s">
        <v>343</v>
      </c>
      <c r="F116" s="181"/>
      <c r="G116" s="179" t="s">
        <v>381</v>
      </c>
      <c r="H116" s="190"/>
      <c r="I116" s="190"/>
      <c r="J116" s="187" t="s">
        <v>2735</v>
      </c>
      <c r="K116" s="187" t="s">
        <v>6576</v>
      </c>
      <c r="L116" s="270" t="str">
        <f>IFERROR(__xludf.DUMMYFUNCTION("IF(
  AND(D116=""Saída"", J116=""Sangria""),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"),"Confirmada")</f>
        <v>Confirmada</v>
      </c>
      <c r="M116" s="272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>
        <f>IFERROR(__xludf.DUMMYFUNCTION("ifna(VALUE(REGEXEXTRACT(E116,""[0-9.]+[,]+[0-9]+"")))"),550.0)</f>
        <v>550</v>
      </c>
      <c r="O116" s="305">
        <f>IFERROR(__xludf.DUMMYFUNCTION("""COMPUTED_VALUE"""),2097052.0)</f>
        <v>2097052</v>
      </c>
      <c r="P116" s="306">
        <f>IFERROR(__xludf.DUMMYFUNCTION("""COMPUTED_VALUE"""),46111.93655092592)</f>
        <v>46111.93655</v>
      </c>
      <c r="Q116" s="305" t="str">
        <f>IFERROR(__xludf.DUMMYFUNCTION("""COMPUTED_VALUE"""),"Saída")</f>
        <v>Saída</v>
      </c>
      <c r="R116" s="307" t="str">
        <f>IFERROR(__xludf.DUMMYFUNCTION("""COMPUTED_VALUE"""),"R$ 160,01")</f>
        <v>R$ 160,01</v>
      </c>
      <c r="S116" s="305" t="str">
        <f>IFERROR(__xludf.DUMMYFUNCTION("""COMPUTED_VALUE"""),"FRUTAS E CAFE FUNCIONARIOS")</f>
        <v>FRUTAS E CAFE FUNCIONARIOS</v>
      </c>
      <c r="V116" s="308" t="str">
        <f>IFERROR(__xludf.DUMMYFUNCTION("""COMPUTED_VALUE"""),"Não Encontrada")</f>
        <v>Não Encontrada</v>
      </c>
      <c r="W116" s="185"/>
    </row>
    <row r="117" ht="14.25" customHeight="1">
      <c r="A117" s="178"/>
      <c r="B117" s="12">
        <v>2130356.0</v>
      </c>
      <c r="C117" s="13">
        <v>46129.70056712963</v>
      </c>
      <c r="D117" s="179" t="s">
        <v>81</v>
      </c>
      <c r="E117" s="180" t="s">
        <v>583</v>
      </c>
      <c r="F117" s="181"/>
      <c r="G117" s="179" t="s">
        <v>544</v>
      </c>
      <c r="H117" s="190"/>
      <c r="I117" s="190"/>
      <c r="J117" s="187" t="s">
        <v>2019</v>
      </c>
      <c r="K117" s="187" t="s">
        <v>2078</v>
      </c>
      <c r="L117" s="270" t="str">
        <f>IFERROR(__xludf.DUMMYFUNCTION("IF(
  AND(D117=""Saída"", J117=""Sangria""),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74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85">
        <f>IFERROR(__xludf.DUMMYFUNCTION("ifna(VALUE(REGEXEXTRACT(E117,""[0-9.]+[,]+[0-9]+"")))"),11.57)</f>
        <v>11.57</v>
      </c>
      <c r="O117" s="301">
        <f>IFERROR(__xludf.DUMMYFUNCTION("""COMPUTED_VALUE"""),2098996.0)</f>
        <v>2098996</v>
      </c>
      <c r="P117" s="302">
        <f>IFERROR(__xludf.DUMMYFUNCTION("""COMPUTED_VALUE"""),46112.95143518518)</f>
        <v>46112.95144</v>
      </c>
      <c r="Q117" s="301" t="str">
        <f>IFERROR(__xludf.DUMMYFUNCTION("""COMPUTED_VALUE"""),"Saída")</f>
        <v>Saída</v>
      </c>
      <c r="R117" s="303" t="str">
        <f>IFERROR(__xludf.DUMMYFUNCTION("""COMPUTED_VALUE"""),"R$ 3,80")</f>
        <v>R$ 3,80</v>
      </c>
      <c r="S117" s="301" t="str">
        <f>IFERROR(__xludf.DUMMYFUNCTION("""COMPUTED_VALUE"""),"cafe funcionarios")</f>
        <v>cafe funcionarios</v>
      </c>
      <c r="V117" s="304" t="str">
        <f>IFERROR(__xludf.DUMMYFUNCTION("""COMPUTED_VALUE"""),"Não Encontrada")</f>
        <v>Não Encontrada</v>
      </c>
      <c r="W117" s="185"/>
    </row>
    <row r="118" ht="14.25" customHeight="1">
      <c r="A118" s="178"/>
      <c r="B118" s="12">
        <v>2130377.0</v>
      </c>
      <c r="C118" s="13">
        <v>46129.70337962963</v>
      </c>
      <c r="D118" s="179" t="s">
        <v>81</v>
      </c>
      <c r="E118" s="180" t="s">
        <v>659</v>
      </c>
      <c r="F118" s="181"/>
      <c r="G118" s="179" t="s">
        <v>656</v>
      </c>
      <c r="H118" s="190"/>
      <c r="I118" s="190"/>
      <c r="J118" s="187" t="s">
        <v>2019</v>
      </c>
      <c r="K118" s="187" t="s">
        <v>2078</v>
      </c>
      <c r="L118" s="270" t="str">
        <f>IFERROR(__xludf.DUMMYFUNCTION("IF(
  AND(D118=""Saída"", J118=""Sangria""),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72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IFERROR(__xludf.DUMMYFUNCTION("ifna(VALUE(REGEXEXTRACT(E118,""[0-9.]+[,]+[0-9]+"")))"),5.0)</f>
        <v>5</v>
      </c>
      <c r="O118" s="305">
        <f>IFERROR(__xludf.DUMMYFUNCTION("""COMPUTED_VALUE"""),2100903.0)</f>
        <v>2100903</v>
      </c>
      <c r="P118" s="306">
        <f>IFERROR(__xludf.DUMMYFUNCTION("""COMPUTED_VALUE"""),46113.9787037037)</f>
        <v>46113.9787</v>
      </c>
      <c r="Q118" s="305" t="str">
        <f>IFERROR(__xludf.DUMMYFUNCTION("""COMPUTED_VALUE"""),"Saída")</f>
        <v>Saída</v>
      </c>
      <c r="R118" s="307" t="str">
        <f>IFERROR(__xludf.DUMMYFUNCTION("""COMPUTED_VALUE"""),"R$ 15,37")</f>
        <v>R$ 15,37</v>
      </c>
      <c r="S118" s="305" t="str">
        <f>IFERROR(__xludf.DUMMYFUNCTION("""COMPUTED_VALUE"""),"cafe funcionarios")</f>
        <v>cafe funcionarios</v>
      </c>
      <c r="V118" s="308" t="str">
        <f>IFERROR(__xludf.DUMMYFUNCTION("""COMPUTED_VALUE"""),"Não Encontrada")</f>
        <v>Não Encontrada</v>
      </c>
      <c r="W118" s="185"/>
    </row>
    <row r="119" ht="14.25" customHeight="1">
      <c r="A119" s="178"/>
      <c r="B119" s="12">
        <v>2130446.0</v>
      </c>
      <c r="C119" s="13">
        <v>46129.71954861111</v>
      </c>
      <c r="D119" s="179" t="s">
        <v>81</v>
      </c>
      <c r="E119" s="180" t="s">
        <v>7251</v>
      </c>
      <c r="F119" s="181"/>
      <c r="G119" s="179" t="s">
        <v>6779</v>
      </c>
      <c r="H119" s="190"/>
      <c r="I119" s="190"/>
      <c r="J119" s="187" t="s">
        <v>2019</v>
      </c>
      <c r="K119" s="187" t="s">
        <v>6745</v>
      </c>
      <c r="L119" s="270" t="str">
        <f>IFERROR(__xludf.DUMMYFUNCTION("IF(
  AND(D119=""Saída"", J119=""Sangria""),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74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IFERROR(__xludf.DUMMYFUNCTION("ifna(VALUE(REGEXEXTRACT(E119,""[0-9.]+[,]+[0-9]+"")))"),16.78)</f>
        <v>16.78</v>
      </c>
      <c r="O119" s="301">
        <f>IFERROR(__xludf.DUMMYFUNCTION("""COMPUTED_VALUE"""),2102115.0)</f>
        <v>2102115</v>
      </c>
      <c r="P119" s="302">
        <f>IFERROR(__xludf.DUMMYFUNCTION("""COMPUTED_VALUE"""),46114.821331018524)</f>
        <v>46114.82133</v>
      </c>
      <c r="Q119" s="301" t="str">
        <f>IFERROR(__xludf.DUMMYFUNCTION("""COMPUTED_VALUE"""),"Saída")</f>
        <v>Saída</v>
      </c>
      <c r="R119" s="303" t="str">
        <f>IFERROR(__xludf.DUMMYFUNCTION("""COMPUTED_VALUE"""),"R$ 77,91")</f>
        <v>R$ 77,91</v>
      </c>
      <c r="S119" s="301" t="str">
        <f>IFERROR(__xludf.DUMMYFUNCTION("""COMPUTED_VALUE"""),"materiais cozinha")</f>
        <v>materiais cozinha</v>
      </c>
      <c r="V119" s="304" t="str">
        <f>IFERROR(__xludf.DUMMYFUNCTION("""COMPUTED_VALUE"""),"Não Encontrada")</f>
        <v>Não Encontrada</v>
      </c>
      <c r="W119" s="185"/>
    </row>
    <row r="120" ht="14.25" customHeight="1">
      <c r="A120" s="178"/>
      <c r="B120" s="12">
        <v>2130571.0</v>
      </c>
      <c r="C120" s="13">
        <v>46129.74407407407</v>
      </c>
      <c r="D120" s="179" t="s">
        <v>152</v>
      </c>
      <c r="E120" s="180" t="s">
        <v>485</v>
      </c>
      <c r="F120" s="181"/>
      <c r="G120" s="179" t="s">
        <v>7252</v>
      </c>
      <c r="H120" s="190"/>
      <c r="I120" s="190"/>
      <c r="J120" s="187" t="s">
        <v>5195</v>
      </c>
      <c r="K120" s="187"/>
      <c r="L120" s="270" t="str">
        <f>IFERROR(__xludf.DUMMYFUNCTION("IF(
  AND(D120=""Saída"", J120=""Sangria""),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2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IFERROR(__xludf.DUMMYFUNCTION("ifna(VALUE(REGEXEXTRACT(E120,""[0-9.]+[,]+[0-9]+"")))"),60.0)</f>
        <v>60</v>
      </c>
      <c r="O120" s="305">
        <f>IFERROR(__xludf.DUMMYFUNCTION("""COMPUTED_VALUE"""),2102121.0)</f>
        <v>2102121</v>
      </c>
      <c r="P120" s="306">
        <f>IFERROR(__xludf.DUMMYFUNCTION("""COMPUTED_VALUE"""),46114.823425925926)</f>
        <v>46114.82343</v>
      </c>
      <c r="Q120" s="305" t="str">
        <f>IFERROR(__xludf.DUMMYFUNCTION("""COMPUTED_VALUE"""),"Saída")</f>
        <v>Saída</v>
      </c>
      <c r="R120" s="307" t="str">
        <f>IFERROR(__xludf.DUMMYFUNCTION("""COMPUTED_VALUE"""),"R$ 19,95")</f>
        <v>R$ 19,95</v>
      </c>
      <c r="S120" s="305" t="str">
        <f>IFERROR(__xludf.DUMMYFUNCTION("""COMPUTED_VALUE"""),"presente de pascoa equipe")</f>
        <v>presente de pascoa equipe</v>
      </c>
      <c r="V120" s="308" t="str">
        <f>IFERROR(__xludf.DUMMYFUNCTION("""COMPUTED_VALUE"""),"Não Encontrada")</f>
        <v>Não Encontrada</v>
      </c>
      <c r="W120" s="185"/>
    </row>
    <row r="121" ht="14.25" customHeight="1">
      <c r="A121" s="178"/>
      <c r="B121" s="12">
        <v>2130988.0</v>
      </c>
      <c r="C121" s="13">
        <v>46129.87149305556</v>
      </c>
      <c r="D121" s="179" t="s">
        <v>81</v>
      </c>
      <c r="E121" s="180" t="s">
        <v>7253</v>
      </c>
      <c r="F121" s="181"/>
      <c r="G121" s="179" t="s">
        <v>7254</v>
      </c>
      <c r="H121" s="190"/>
      <c r="I121" s="190"/>
      <c r="J121" s="187" t="s">
        <v>3151</v>
      </c>
      <c r="K121" s="187"/>
      <c r="L121" s="270" t="str">
        <f>IFERROR(__xludf.DUMMYFUNCTION("IF(
  AND(D121=""Saída"", J121=""Sangria""),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74" t="str">
        <f>IFERROR(__xludf.DUMMYFUNCTION("IF(J121=""Compra de Mercadorias"",
   IF(
      COUNTIF(ARRAYFORMULA(TRIM(CLEAN(TO_TEXT(Notas!BS:BS)))), TRIM(CLEAN(TO_TEXT(B121)))) &gt; 0,
      ""Encontrada"",
      ""Não Encontrada""
   ),
"""")"),"Não Encontrada")</f>
        <v>Não Encontrada</v>
      </c>
      <c r="N121" s="185">
        <f>IFERROR(__xludf.DUMMYFUNCTION("ifna(VALUE(REGEXEXTRACT(E121,""[0-9.]+[,]+[0-9]+"")))"),186.39)</f>
        <v>186.39</v>
      </c>
      <c r="O121" s="301">
        <f>IFERROR(__xludf.DUMMYFUNCTION("""COMPUTED_VALUE"""),2103193.0)</f>
        <v>2103193</v>
      </c>
      <c r="P121" s="302">
        <f>IFERROR(__xludf.DUMMYFUNCTION("""COMPUTED_VALUE"""),46115.56364583333)</f>
        <v>46115.56365</v>
      </c>
      <c r="Q121" s="301" t="str">
        <f>IFERROR(__xludf.DUMMYFUNCTION("""COMPUTED_VALUE"""),"Saída")</f>
        <v>Saída</v>
      </c>
      <c r="R121" s="303" t="str">
        <f>IFERROR(__xludf.DUMMYFUNCTION("""COMPUTED_VALUE"""),"R$ 44,61")</f>
        <v>R$ 44,61</v>
      </c>
      <c r="S121" s="301" t="str">
        <f>IFERROR(__xludf.DUMMYFUNCTION("""COMPUTED_VALUE"""),"mimo funcionarios pascoa")</f>
        <v>mimo funcionarios pascoa</v>
      </c>
      <c r="V121" s="304" t="str">
        <f>IFERROR(__xludf.DUMMYFUNCTION("""COMPUTED_VALUE"""),"Não Encontrada")</f>
        <v>Não Encontrada</v>
      </c>
      <c r="W121" s="185"/>
    </row>
    <row r="122" ht="14.25" customHeight="1">
      <c r="A122" s="178"/>
      <c r="B122" s="12">
        <v>2130989.0</v>
      </c>
      <c r="C122" s="13">
        <v>46129.87167824074</v>
      </c>
      <c r="D122" s="179" t="s">
        <v>81</v>
      </c>
      <c r="E122" s="180" t="s">
        <v>7255</v>
      </c>
      <c r="F122" s="181"/>
      <c r="G122" s="179" t="s">
        <v>114</v>
      </c>
      <c r="H122" s="190"/>
      <c r="I122" s="190"/>
      <c r="J122" s="187" t="s">
        <v>3151</v>
      </c>
      <c r="K122" s="187"/>
      <c r="L122" s="270" t="str">
        <f>IFERROR(__xludf.DUMMYFUNCTION("IF(
  AND(D122=""Saída"", J122=""Sangria""),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2" t="str">
        <f>IFERROR(__xludf.DUMMYFUNCTION("IF(J122=""Compra de Mercadorias"",
   IF(
      COUNTIF(ARRAYFORMULA(TRIM(CLEAN(TO_TEXT(Notas!BS:BS)))), TRIM(CLEAN(TO_TEXT(B122)))) &gt; 0,
      ""Encontrada"",
      ""Não Encontrada""
   ),
"""")"),"Não Encontrada")</f>
        <v>Não Encontrada</v>
      </c>
      <c r="N122" s="185">
        <f>IFERROR(__xludf.DUMMYFUNCTION("ifna(VALUE(REGEXEXTRACT(E122,""[0-9.]+[,]+[0-9]+"")))"),116.91)</f>
        <v>116.91</v>
      </c>
      <c r="O122" s="305">
        <f>IFERROR(__xludf.DUMMYFUNCTION("""COMPUTED_VALUE"""),2114493.0)</f>
        <v>2114493</v>
      </c>
      <c r="P122" s="306">
        <f>IFERROR(__xludf.DUMMYFUNCTION("""COMPUTED_VALUE"""),46120.86267361111)</f>
        <v>46120.86267</v>
      </c>
      <c r="Q122" s="305" t="str">
        <f>IFERROR(__xludf.DUMMYFUNCTION("""COMPUTED_VALUE"""),"Saída")</f>
        <v>Saída</v>
      </c>
      <c r="R122" s="307" t="str">
        <f>IFERROR(__xludf.DUMMYFUNCTION("""COMPUTED_VALUE"""),"R$ 79,99")</f>
        <v>R$ 79,99</v>
      </c>
      <c r="S122" s="305" t="str">
        <f>IFERROR(__xludf.DUMMYFUNCTION("""COMPUTED_VALUE"""),"materiais banheiro")</f>
        <v>materiais banheiro</v>
      </c>
      <c r="V122" s="308" t="str">
        <f>IFERROR(__xludf.DUMMYFUNCTION("""COMPUTED_VALUE"""),"Não Encontrada")</f>
        <v>Não Encontrada</v>
      </c>
      <c r="W122" s="185"/>
    </row>
    <row r="123" ht="14.25" customHeight="1">
      <c r="A123" s="178"/>
      <c r="B123" s="12">
        <v>2131266.0</v>
      </c>
      <c r="C123" s="13">
        <v>46129.92028935185</v>
      </c>
      <c r="D123" s="179" t="s">
        <v>81</v>
      </c>
      <c r="E123" s="180" t="s">
        <v>5399</v>
      </c>
      <c r="F123" s="188"/>
      <c r="G123" s="179" t="s">
        <v>7200</v>
      </c>
      <c r="H123" s="190"/>
      <c r="I123" s="190"/>
      <c r="J123" s="187" t="s">
        <v>1782</v>
      </c>
      <c r="K123" s="187"/>
      <c r="L123" s="270" t="str">
        <f>IFERROR(__xludf.DUMMYFUNCTION("IF(
  AND(D123=""Saída"", J123=""Sangria""),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74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>
        <f>IFERROR(__xludf.DUMMYFUNCTION("ifna(VALUE(REGEXEXTRACT(E123,""[0-9.]+[,]+[0-9]+"")))"),75.0)</f>
        <v>75</v>
      </c>
      <c r="O123" s="301">
        <f>IFERROR(__xludf.DUMMYFUNCTION("""COMPUTED_VALUE"""),2114496.0)</f>
        <v>2114496</v>
      </c>
      <c r="P123" s="302">
        <f>IFERROR(__xludf.DUMMYFUNCTION("""COMPUTED_VALUE"""),46120.86326388889)</f>
        <v>46120.86326</v>
      </c>
      <c r="Q123" s="301" t="str">
        <f>IFERROR(__xludf.DUMMYFUNCTION("""COMPUTED_VALUE"""),"Saída")</f>
        <v>Saída</v>
      </c>
      <c r="R123" s="303" t="str">
        <f>IFERROR(__xludf.DUMMYFUNCTION("""COMPUTED_VALUE"""),"R$ 33,74")</f>
        <v>R$ 33,74</v>
      </c>
      <c r="S123" s="301" t="str">
        <f>IFERROR(__xludf.DUMMYFUNCTION("""COMPUTED_VALUE"""),"frutas e cafe funcionarios")</f>
        <v>frutas e cafe funcionarios</v>
      </c>
      <c r="V123" s="304" t="str">
        <f>IFERROR(__xludf.DUMMYFUNCTION("""COMPUTED_VALUE"""),"Não Encontrada")</f>
        <v>Não Encontrada</v>
      </c>
      <c r="W123" s="185"/>
    </row>
    <row r="124" ht="14.25" customHeight="1">
      <c r="A124" s="178"/>
      <c r="B124" s="12">
        <v>2131332.0</v>
      </c>
      <c r="C124" s="13">
        <v>46129.9278587963</v>
      </c>
      <c r="D124" s="179" t="s">
        <v>81</v>
      </c>
      <c r="E124" s="180" t="s">
        <v>127</v>
      </c>
      <c r="F124" s="181"/>
      <c r="G124" s="179" t="s">
        <v>381</v>
      </c>
      <c r="H124" s="190"/>
      <c r="I124" s="190"/>
      <c r="J124" s="187" t="s">
        <v>2735</v>
      </c>
      <c r="K124" s="187" t="s">
        <v>6576</v>
      </c>
      <c r="L124" s="270" t="str">
        <f>IFERROR(__xludf.DUMMYFUNCTION("IF(
  AND(D124=""Saída"", J124=""Sangria""),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"),"Confirmada")</f>
        <v>Confirmada</v>
      </c>
      <c r="M124" s="272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>
        <f>IFERROR(__xludf.DUMMYFUNCTION("ifna(VALUE(REGEXEXTRACT(E124,""[0-9.]+[,]+[0-9]+"")))"),250.0)</f>
        <v>250</v>
      </c>
      <c r="O124" s="305">
        <f>IFERROR(__xludf.DUMMYFUNCTION("""COMPUTED_VALUE"""),2118298.0)</f>
        <v>2118298</v>
      </c>
      <c r="P124" s="306">
        <f>IFERROR(__xludf.DUMMYFUNCTION("""COMPUTED_VALUE"""),46122.93827546296)</f>
        <v>46122.93828</v>
      </c>
      <c r="Q124" s="305" t="str">
        <f>IFERROR(__xludf.DUMMYFUNCTION("""COMPUTED_VALUE"""),"Saída")</f>
        <v>Saída</v>
      </c>
      <c r="R124" s="307" t="str">
        <f>IFERROR(__xludf.DUMMYFUNCTION("""COMPUTED_VALUE"""),"R$ 340,92")</f>
        <v>R$ 340,92</v>
      </c>
      <c r="S124" s="305" t="str">
        <f>IFERROR(__xludf.DUMMYFUNCTION("""COMPUTED_VALUE"""),"FRUTAS")</f>
        <v>FRUTAS</v>
      </c>
      <c r="V124" s="308" t="str">
        <f>IFERROR(__xludf.DUMMYFUNCTION("""COMPUTED_VALUE"""),"Não Encontrada")</f>
        <v>Não Encontrada</v>
      </c>
      <c r="W124" s="185"/>
    </row>
    <row r="125" ht="14.25" customHeight="1">
      <c r="A125" s="178"/>
      <c r="B125" s="12">
        <v>2132428.0</v>
      </c>
      <c r="C125" s="13">
        <v>46130.725648148145</v>
      </c>
      <c r="D125" s="179" t="s">
        <v>81</v>
      </c>
      <c r="E125" s="180" t="s">
        <v>979</v>
      </c>
      <c r="F125" s="181"/>
      <c r="G125" s="179" t="s">
        <v>6779</v>
      </c>
      <c r="H125" s="190"/>
      <c r="I125" s="190"/>
      <c r="J125" s="187" t="s">
        <v>2019</v>
      </c>
      <c r="K125" s="187" t="s">
        <v>6745</v>
      </c>
      <c r="L125" s="270" t="str">
        <f>IFERROR(__xludf.DUMMYFUNCTION("IF(
  AND(D125=""Saída"", J125=""Sangria""),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74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>
        <f>IFERROR(__xludf.DUMMYFUNCTION("ifna(VALUE(REGEXEXTRACT(E125,""[0-9.]+[,]+[0-9]+"")))"),3.0)</f>
        <v>3</v>
      </c>
      <c r="O125" s="301">
        <f>IFERROR(__xludf.DUMMYFUNCTION("""COMPUTED_VALUE"""),2125715.0)</f>
        <v>2125715</v>
      </c>
      <c r="P125" s="302">
        <f>IFERROR(__xludf.DUMMYFUNCTION("""COMPUTED_VALUE"""),46126.76998842593)</f>
        <v>46126.76999</v>
      </c>
      <c r="Q125" s="301" t="str">
        <f>IFERROR(__xludf.DUMMYFUNCTION("""COMPUTED_VALUE"""),"Saída")</f>
        <v>Saída</v>
      </c>
      <c r="R125" s="303" t="str">
        <f>IFERROR(__xludf.DUMMYFUNCTION("""COMPUTED_VALUE"""),"R$ 35,34")</f>
        <v>R$ 35,34</v>
      </c>
      <c r="S125" s="301" t="str">
        <f>IFERROR(__xludf.DUMMYFUNCTION("""COMPUTED_VALUE"""),"FRUTAS E CAFE FUNCIONARIOS")</f>
        <v>FRUTAS E CAFE FUNCIONARIOS</v>
      </c>
      <c r="V125" s="304" t="str">
        <f>IFERROR(__xludf.DUMMYFUNCTION("""COMPUTED_VALUE"""),"Não Encontrada")</f>
        <v>Não Encontrada</v>
      </c>
      <c r="W125" s="185"/>
    </row>
    <row r="126" ht="14.25" customHeight="1">
      <c r="A126" s="178"/>
      <c r="B126" s="12">
        <v>2133388.0</v>
      </c>
      <c r="C126" s="13">
        <v>46130.91341435185</v>
      </c>
      <c r="D126" s="179" t="s">
        <v>81</v>
      </c>
      <c r="E126" s="180" t="s">
        <v>7256</v>
      </c>
      <c r="F126" s="181"/>
      <c r="G126" s="179" t="s">
        <v>6779</v>
      </c>
      <c r="H126" s="190"/>
      <c r="I126" s="190"/>
      <c r="J126" s="187" t="s">
        <v>2019</v>
      </c>
      <c r="K126" s="187" t="s">
        <v>6745</v>
      </c>
      <c r="L126" s="270" t="str">
        <f>IFERROR(__xludf.DUMMYFUNCTION("IF(
  AND(D126=""Saída"", J126=""Sangria""),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2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>
        <f>IFERROR(__xludf.DUMMYFUNCTION("ifna(VALUE(REGEXEXTRACT(E126,""[0-9.]+[,]+[0-9]+"")))"),28.68)</f>
        <v>28.68</v>
      </c>
      <c r="O126" s="305">
        <f>IFERROR(__xludf.DUMMYFUNCTION("""COMPUTED_VALUE"""),2129532.0)</f>
        <v>2129532</v>
      </c>
      <c r="P126" s="306">
        <f>IFERROR(__xludf.DUMMYFUNCTION("""COMPUTED_VALUE"""),46128.94027777778)</f>
        <v>46128.94028</v>
      </c>
      <c r="Q126" s="305" t="str">
        <f>IFERROR(__xludf.DUMMYFUNCTION("""COMPUTED_VALUE"""),"Saída")</f>
        <v>Saída</v>
      </c>
      <c r="R126" s="307" t="str">
        <f>IFERROR(__xludf.DUMMYFUNCTION("""COMPUTED_VALUE"""),"R$ 4,00")</f>
        <v>R$ 4,00</v>
      </c>
      <c r="S126" s="305" t="str">
        <f>IFERROR(__xludf.DUMMYFUNCTION("""COMPUTED_VALUE"""),"IMPRESSAO")</f>
        <v>IMPRESSAO</v>
      </c>
      <c r="V126" s="308" t="str">
        <f>IFERROR(__xludf.DUMMYFUNCTION("""COMPUTED_VALUE"""),"Não Encontrada")</f>
        <v>Não Encontrada</v>
      </c>
      <c r="W126" s="185"/>
    </row>
    <row r="127" ht="14.25" customHeight="1">
      <c r="A127" s="178"/>
      <c r="B127" s="12">
        <v>2133439.0</v>
      </c>
      <c r="C127" s="13">
        <v>46130.9178125</v>
      </c>
      <c r="D127" s="179" t="s">
        <v>81</v>
      </c>
      <c r="E127" s="180" t="s">
        <v>823</v>
      </c>
      <c r="F127" s="188"/>
      <c r="G127" s="179" t="s">
        <v>7200</v>
      </c>
      <c r="H127" s="190"/>
      <c r="I127" s="190"/>
      <c r="J127" s="187" t="s">
        <v>1782</v>
      </c>
      <c r="K127" s="187"/>
      <c r="L127" s="270" t="str">
        <f>IFERROR(__xludf.DUMMYFUNCTION("IF(
  AND(D127=""Saída"", J127=""Sangria""),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74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>
        <f>IFERROR(__xludf.DUMMYFUNCTION("ifna(VALUE(REGEXEXTRACT(E127,""[0-9.]+[,]+[0-9]+"")))"),120.0)</f>
        <v>120</v>
      </c>
      <c r="O127" s="301">
        <f>IFERROR(__xludf.DUMMYFUNCTION("""COMPUTED_VALUE"""),2130988.0)</f>
        <v>2130988</v>
      </c>
      <c r="P127" s="302">
        <f>IFERROR(__xludf.DUMMYFUNCTION("""COMPUTED_VALUE"""),46129.87149305556)</f>
        <v>46129.87149</v>
      </c>
      <c r="Q127" s="301" t="str">
        <f>IFERROR(__xludf.DUMMYFUNCTION("""COMPUTED_VALUE"""),"Saída")</f>
        <v>Saída</v>
      </c>
      <c r="R127" s="303" t="str">
        <f>IFERROR(__xludf.DUMMYFUNCTION("""COMPUTED_VALUE"""),"R$ 186,39")</f>
        <v>R$ 186,39</v>
      </c>
      <c r="S127" s="301" t="str">
        <f>IFERROR(__xludf.DUMMYFUNCTION("""COMPUTED_VALUE"""),"frutas e café funcionários")</f>
        <v>frutas e café funcionários</v>
      </c>
      <c r="V127" s="304" t="str">
        <f>IFERROR(__xludf.DUMMYFUNCTION("""COMPUTED_VALUE"""),"Não Encontrada")</f>
        <v>Não Encontrada</v>
      </c>
      <c r="W127" s="185"/>
    </row>
    <row r="128" ht="14.25" customHeight="1">
      <c r="A128" s="178"/>
      <c r="B128" s="12">
        <v>2133536.0</v>
      </c>
      <c r="C128" s="13">
        <v>46130.92381944445</v>
      </c>
      <c r="D128" s="179" t="s">
        <v>81</v>
      </c>
      <c r="E128" s="180" t="s">
        <v>943</v>
      </c>
      <c r="F128" s="181"/>
      <c r="G128" s="179" t="s">
        <v>381</v>
      </c>
      <c r="H128" s="190"/>
      <c r="I128" s="190"/>
      <c r="J128" s="187" t="s">
        <v>2735</v>
      </c>
      <c r="K128" s="187" t="s">
        <v>6576</v>
      </c>
      <c r="L128" s="270" t="str">
        <f>IFERROR(__xludf.DUMMYFUNCTION("IF(
  AND(D128=""Saída"", J128=""Sangria""),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"),"Confirmada")</f>
        <v>Confirmada</v>
      </c>
      <c r="M128" s="272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>
        <f>IFERROR(__xludf.DUMMYFUNCTION("ifna(VALUE(REGEXEXTRACT(E128,""[0-9.]+[,]+[0-9]+"")))"),800.0)</f>
        <v>800</v>
      </c>
      <c r="O128" s="308">
        <f>IFERROR(__xludf.DUMMYFUNCTION("""COMPUTED_VALUE"""),2130989.0)</f>
        <v>2130989</v>
      </c>
      <c r="P128" s="306">
        <f>IFERROR(__xludf.DUMMYFUNCTION("""COMPUTED_VALUE"""),46129.87167824074)</f>
        <v>46129.87168</v>
      </c>
      <c r="Q128" s="308" t="str">
        <f>IFERROR(__xludf.DUMMYFUNCTION("""COMPUTED_VALUE"""),"Saída")</f>
        <v>Saída</v>
      </c>
      <c r="R128" s="307" t="str">
        <f>IFERROR(__xludf.DUMMYFUNCTION("""COMPUTED_VALUE"""),"R$ 116,91")</f>
        <v>R$ 116,91</v>
      </c>
      <c r="S128" s="308" t="str">
        <f>IFERROR(__xludf.DUMMYFUNCTION("""COMPUTED_VALUE"""),"frutas")</f>
        <v>frutas</v>
      </c>
      <c r="V128" s="308" t="str">
        <f>IFERROR(__xludf.DUMMYFUNCTION("""COMPUTED_VALUE"""),"Não Encontrada")</f>
        <v>Não Encontrada</v>
      </c>
      <c r="W128" s="185"/>
    </row>
    <row r="129" ht="14.25" customHeight="1">
      <c r="A129" s="178"/>
      <c r="B129" s="12">
        <v>2136263.0</v>
      </c>
      <c r="C129" s="13">
        <v>46131.91893518518</v>
      </c>
      <c r="D129" s="179" t="s">
        <v>152</v>
      </c>
      <c r="E129" s="180" t="s">
        <v>6645</v>
      </c>
      <c r="F129" s="181"/>
      <c r="G129" s="179" t="s">
        <v>1126</v>
      </c>
      <c r="H129" s="190"/>
      <c r="I129" s="190"/>
      <c r="J129" s="187" t="s">
        <v>2669</v>
      </c>
      <c r="K129" s="187"/>
      <c r="L129" s="270" t="str">
        <f>IFERROR(__xludf.DUMMYFUNCTION("IF(
  AND(D129=""Saída"", J129=""Sangria""),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74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>
        <f>IFERROR(__xludf.DUMMYFUNCTION("ifna(VALUE(REGEXEXTRACT(E129,""[0-9.]+[,]+[0-9]+"")))"),108.0)</f>
        <v>108</v>
      </c>
      <c r="O129" s="304">
        <f>IFERROR(__xludf.DUMMYFUNCTION("""COMPUTED_VALUE"""),2137752.0)</f>
        <v>2137752</v>
      </c>
      <c r="P129" s="302">
        <f>IFERROR(__xludf.DUMMYFUNCTION("""COMPUTED_VALUE"""),46132.69850694445)</f>
        <v>46132.69851</v>
      </c>
      <c r="Q129" s="304" t="str">
        <f>IFERROR(__xludf.DUMMYFUNCTION("""COMPUTED_VALUE"""),"Saída")</f>
        <v>Saída</v>
      </c>
      <c r="R129" s="303" t="str">
        <f>IFERROR(__xludf.DUMMYFUNCTION("""COMPUTED_VALUE"""),"R$ 200,00")</f>
        <v>R$ 200,00</v>
      </c>
      <c r="S129" s="304" t="str">
        <f>IFERROR(__xludf.DUMMYFUNCTION("""COMPUTED_VALUE"""),"FRUTAS E CAFÉ FUNCIONÁRIOS")</f>
        <v>FRUTAS E CAFÉ FUNCIONÁRIOS</v>
      </c>
      <c r="V129" s="304" t="str">
        <f>IFERROR(__xludf.DUMMYFUNCTION("""COMPUTED_VALUE"""),"Não Encontrada")</f>
        <v>Não Encontrada</v>
      </c>
      <c r="W129" s="185"/>
    </row>
    <row r="130" ht="14.25" customHeight="1">
      <c r="A130" s="178"/>
      <c r="B130" s="12">
        <v>2137153.0</v>
      </c>
      <c r="C130" s="13">
        <v>46132.49329861111</v>
      </c>
      <c r="D130" s="179" t="s">
        <v>81</v>
      </c>
      <c r="E130" s="180" t="s">
        <v>7257</v>
      </c>
      <c r="F130" s="181"/>
      <c r="G130" s="179" t="s">
        <v>7258</v>
      </c>
      <c r="H130" s="190"/>
      <c r="I130" s="190"/>
      <c r="J130" s="187" t="s">
        <v>2438</v>
      </c>
      <c r="K130" s="187"/>
      <c r="L130" s="270" t="str">
        <f>IFERROR(__xludf.DUMMYFUNCTION("IF(
  AND(D130=""Saída"", J130=""Sangria""),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2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>
        <f>IFERROR(__xludf.DUMMYFUNCTION("ifna(VALUE(REGEXEXTRACT(E130,""[0-9.]+[,]+[0-9]+"")))"),56.49)</f>
        <v>56.49</v>
      </c>
      <c r="O130" s="305">
        <f>IFERROR(__xludf.DUMMYFUNCTION("""COMPUTED_VALUE"""),2138207.0)</f>
        <v>2138207</v>
      </c>
      <c r="P130" s="306">
        <f>IFERROR(__xludf.DUMMYFUNCTION("""COMPUTED_VALUE"""),46132.783541666664)</f>
        <v>46132.78354</v>
      </c>
      <c r="Q130" s="305" t="str">
        <f>IFERROR(__xludf.DUMMYFUNCTION("""COMPUTED_VALUE"""),"Saída")</f>
        <v>Saída</v>
      </c>
      <c r="R130" s="307" t="str">
        <f>IFERROR(__xludf.DUMMYFUNCTION("""COMPUTED_VALUE"""),"R$ 27,96")</f>
        <v>R$ 27,96</v>
      </c>
      <c r="S130" s="305" t="str">
        <f>IFERROR(__xludf.DUMMYFUNCTION("""COMPUTED_VALUE"""),"MATERIAIS DE ESCRITORIO")</f>
        <v>MATERIAIS DE ESCRITORIO</v>
      </c>
      <c r="V130" s="305" t="str">
        <f>IFERROR(__xludf.DUMMYFUNCTION("""COMPUTED_VALUE"""),"Não Encontrada")</f>
        <v>Não Encontrada</v>
      </c>
      <c r="W130" s="25"/>
    </row>
    <row r="131" ht="14.25" customHeight="1">
      <c r="A131" s="178"/>
      <c r="B131" s="12">
        <v>2137157.0</v>
      </c>
      <c r="C131" s="13">
        <v>46132.494421296295</v>
      </c>
      <c r="D131" s="179" t="s">
        <v>81</v>
      </c>
      <c r="E131" s="180" t="s">
        <v>7259</v>
      </c>
      <c r="F131" s="181"/>
      <c r="G131" s="179" t="s">
        <v>7260</v>
      </c>
      <c r="H131" s="190"/>
      <c r="I131" s="190"/>
      <c r="J131" s="187" t="s">
        <v>2019</v>
      </c>
      <c r="K131" s="187" t="s">
        <v>2078</v>
      </c>
      <c r="L131" s="270" t="str">
        <f>IFERROR(__xludf.DUMMYFUNCTION("IF(
  AND(D131=""Saída"", J131=""Sangria""),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76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>
        <f>IFERROR(__xludf.DUMMYFUNCTION("ifna(VALUE(REGEXEXTRACT(E131,""[0-9.]+[,]+[0-9]+"")))"),63.4)</f>
        <v>63.4</v>
      </c>
      <c r="O131" s="309">
        <f>IFERROR(__xludf.DUMMYFUNCTION("""COMPUTED_VALUE"""),2143214.0)</f>
        <v>2143214</v>
      </c>
      <c r="P131" s="302">
        <f>IFERROR(__xludf.DUMMYFUNCTION("""COMPUTED_VALUE"""),46134.92623842593)</f>
        <v>46134.92624</v>
      </c>
      <c r="Q131" s="301" t="str">
        <f>IFERROR(__xludf.DUMMYFUNCTION("""COMPUTED_VALUE"""),"Saída")</f>
        <v>Saída</v>
      </c>
      <c r="R131" s="303" t="str">
        <f>IFERROR(__xludf.DUMMYFUNCTION("""COMPUTED_VALUE"""),"R$ 200,00")</f>
        <v>R$ 200,00</v>
      </c>
      <c r="S131" s="301" t="str">
        <f>IFERROR(__xludf.DUMMYFUNCTION("""COMPUTED_VALUE"""),"varal")</f>
        <v>varal</v>
      </c>
      <c r="V131" s="301" t="str">
        <f>IFERROR(__xludf.DUMMYFUNCTION("""COMPUTED_VALUE"""),"Não Encontrada")</f>
        <v>Não Encontrada</v>
      </c>
      <c r="W131" s="25"/>
    </row>
    <row r="132" ht="14.25" customHeight="1">
      <c r="A132" s="178"/>
      <c r="B132" s="12">
        <v>2137166.0</v>
      </c>
      <c r="C132" s="13">
        <v>46132.50072916667</v>
      </c>
      <c r="D132" s="179" t="s">
        <v>81</v>
      </c>
      <c r="E132" s="180" t="s">
        <v>4010</v>
      </c>
      <c r="F132" s="181"/>
      <c r="G132" s="179" t="s">
        <v>7261</v>
      </c>
      <c r="H132" s="190"/>
      <c r="I132" s="190"/>
      <c r="J132" s="187" t="s">
        <v>2735</v>
      </c>
      <c r="K132" s="187" t="s">
        <v>2018</v>
      </c>
      <c r="L132" s="270" t="str">
        <f>IFERROR(__xludf.DUMMYFUNCTION("IF(
  AND(D132=""Saída"", J132=""Sangria""),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"),"Caixa Sangria")</f>
        <v>Caixa Sangria</v>
      </c>
      <c r="M132" s="272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85">
        <f>IFERROR(__xludf.DUMMYFUNCTION("ifna(VALUE(REGEXEXTRACT(E132,""[0-9.]+[,]+[0-9]+"")))"),2050.0)</f>
        <v>2050</v>
      </c>
      <c r="O132" s="305">
        <f>IFERROR(__xludf.DUMMYFUNCTION("""COMPUTED_VALUE"""),2143216.0)</f>
        <v>2143216</v>
      </c>
      <c r="P132" s="306">
        <f>IFERROR(__xludf.DUMMYFUNCTION("""COMPUTED_VALUE"""),46134.9265625)</f>
        <v>46134.92656</v>
      </c>
      <c r="Q132" s="305" t="str">
        <f>IFERROR(__xludf.DUMMYFUNCTION("""COMPUTED_VALUE"""),"Saída")</f>
        <v>Saída</v>
      </c>
      <c r="R132" s="307" t="str">
        <f>IFERROR(__xludf.DUMMYFUNCTION("""COMPUTED_VALUE"""),"R$ 69,41")</f>
        <v>R$ 69,41</v>
      </c>
      <c r="S132" s="305" t="str">
        <f>IFERROR(__xludf.DUMMYFUNCTION("""COMPUTED_VALUE"""),"frutas e cafe funcionarios")</f>
        <v>frutas e cafe funcionarios</v>
      </c>
      <c r="V132" s="305" t="str">
        <f>IFERROR(__xludf.DUMMYFUNCTION("""COMPUTED_VALUE"""),"Não Encontrada")</f>
        <v>Não Encontrada</v>
      </c>
      <c r="W132" s="25"/>
    </row>
    <row r="133" ht="14.25" customHeight="1">
      <c r="A133" s="178"/>
      <c r="B133" s="12">
        <v>2137752.0</v>
      </c>
      <c r="C133" s="13">
        <v>46132.69850694444</v>
      </c>
      <c r="D133" s="179" t="s">
        <v>81</v>
      </c>
      <c r="E133" s="180" t="s">
        <v>457</v>
      </c>
      <c r="F133" s="181"/>
      <c r="G133" s="179" t="s">
        <v>7262</v>
      </c>
      <c r="H133" s="190"/>
      <c r="I133" s="190"/>
      <c r="J133" s="187" t="s">
        <v>3151</v>
      </c>
      <c r="K133" s="187"/>
      <c r="L133" s="270" t="str">
        <f>IFERROR(__xludf.DUMMYFUNCTION("IF(
  AND(D133=""Saída"", J133=""Sangria""),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74" t="str">
        <f>IFERROR(__xludf.DUMMYFUNCTION("IF(J133=""Compra de Mercadorias"",
   IF(
      COUNTIF(ARRAYFORMULA(TRIM(CLEAN(TO_TEXT(Notas!BS:BS)))), TRIM(CLEAN(TO_TEXT(B133)))) &gt; 0,
      ""Encontrada"",
      ""Não Encontrada""
   ),
"""")"),"Não Encontrada")</f>
        <v>Não Encontrada</v>
      </c>
      <c r="N133" s="185">
        <f>IFERROR(__xludf.DUMMYFUNCTION("ifna(VALUE(REGEXEXTRACT(E133,""[0-9.]+[,]+[0-9]+"")))"),200.0)</f>
        <v>200</v>
      </c>
      <c r="O133" s="301">
        <f>IFERROR(__xludf.DUMMYFUNCTION("""COMPUTED_VALUE"""),2146499.0)</f>
        <v>2146499</v>
      </c>
      <c r="P133" s="302">
        <f>IFERROR(__xludf.DUMMYFUNCTION("""COMPUTED_VALUE"""),46136.905810185184)</f>
        <v>46136.90581</v>
      </c>
      <c r="Q133" s="301" t="str">
        <f>IFERROR(__xludf.DUMMYFUNCTION("""COMPUTED_VALUE"""),"Saída")</f>
        <v>Saída</v>
      </c>
      <c r="R133" s="303" t="str">
        <f>IFERROR(__xludf.DUMMYFUNCTION("""COMPUTED_VALUE"""),"R$ 318,63")</f>
        <v>R$ 318,63</v>
      </c>
      <c r="S133" s="301" t="str">
        <f>IFERROR(__xludf.DUMMYFUNCTION("""COMPUTED_VALUE"""),"FRUTAS E CAFE FUNCIONARIOS")</f>
        <v>FRUTAS E CAFE FUNCIONARIOS</v>
      </c>
      <c r="V133" s="301" t="str">
        <f>IFERROR(__xludf.DUMMYFUNCTION("""COMPUTED_VALUE"""),"Não Encontrada")</f>
        <v>Não Encontrada</v>
      </c>
      <c r="W133" s="25"/>
    </row>
    <row r="134" ht="14.25" customHeight="1">
      <c r="A134" s="178"/>
      <c r="B134" s="12">
        <v>2138187.0</v>
      </c>
      <c r="C134" s="13">
        <v>46132.77659722222</v>
      </c>
      <c r="D134" s="179" t="s">
        <v>81</v>
      </c>
      <c r="E134" s="180" t="s">
        <v>979</v>
      </c>
      <c r="F134" s="181"/>
      <c r="G134" s="179" t="s">
        <v>7049</v>
      </c>
      <c r="H134" s="190"/>
      <c r="I134" s="190"/>
      <c r="J134" s="187" t="s">
        <v>2019</v>
      </c>
      <c r="K134" s="187" t="s">
        <v>6745</v>
      </c>
      <c r="L134" s="270" t="str">
        <f>IFERROR(__xludf.DUMMYFUNCTION("IF(
  AND(D134=""Saída"", J134=""Sangria""),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2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>
        <f>IFERROR(__xludf.DUMMYFUNCTION("ifna(VALUE(REGEXEXTRACT(E134,""[0-9.]+[,]+[0-9]+"")))"),3.0)</f>
        <v>3</v>
      </c>
      <c r="O134" s="305"/>
      <c r="P134" s="311"/>
      <c r="Q134" s="305"/>
      <c r="R134" s="307"/>
      <c r="S134" s="305"/>
      <c r="V134" s="305"/>
      <c r="W134" s="25"/>
    </row>
    <row r="135" ht="14.25" customHeight="1">
      <c r="A135" s="178"/>
      <c r="B135" s="12">
        <v>2138194.0</v>
      </c>
      <c r="C135" s="13">
        <v>46132.777916666666</v>
      </c>
      <c r="D135" s="179" t="s">
        <v>81</v>
      </c>
      <c r="E135" s="180" t="s">
        <v>5418</v>
      </c>
      <c r="F135" s="181"/>
      <c r="G135" s="179" t="s">
        <v>506</v>
      </c>
      <c r="H135" s="190"/>
      <c r="I135" s="190"/>
      <c r="J135" s="187" t="s">
        <v>1782</v>
      </c>
      <c r="K135" s="187"/>
      <c r="L135" s="270" t="str">
        <f>IFERROR(__xludf.DUMMYFUNCTION("IF(
  AND(D135=""Saída"", J135=""Sangria""),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74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>
        <f>IFERROR(__xludf.DUMMYFUNCTION("ifna(VALUE(REGEXEXTRACT(E135,""[0-9.]+[,]+[0-9]+"")))"),91.0)</f>
        <v>91</v>
      </c>
      <c r="O135" s="301"/>
      <c r="P135" s="321"/>
      <c r="Q135" s="301"/>
      <c r="R135" s="301"/>
      <c r="S135" s="301"/>
      <c r="V135" s="301"/>
      <c r="W135" s="25"/>
    </row>
    <row r="136" ht="14.25" customHeight="1">
      <c r="A136" s="178"/>
      <c r="B136" s="12">
        <v>2138200.0</v>
      </c>
      <c r="C136" s="13">
        <v>46132.77953703704</v>
      </c>
      <c r="D136" s="179" t="s">
        <v>81</v>
      </c>
      <c r="E136" s="180" t="s">
        <v>6820</v>
      </c>
      <c r="F136" s="181"/>
      <c r="G136" s="179" t="s">
        <v>6989</v>
      </c>
      <c r="H136" s="190"/>
      <c r="I136" s="190"/>
      <c r="J136" s="187" t="s">
        <v>1782</v>
      </c>
      <c r="K136" s="187"/>
      <c r="L136" s="270" t="str">
        <f>IFERROR(__xludf.DUMMYFUNCTION("IF(
  AND(D136=""Saída"", J136=""Sangria""),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6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>
        <f>IFERROR(__xludf.DUMMYFUNCTION("ifna(VALUE(REGEXEXTRACT(E136,""[0-9.]+[,]+[0-9]+"")))"),160.0)</f>
        <v>160</v>
      </c>
      <c r="O136" s="305"/>
      <c r="P136" s="311"/>
      <c r="Q136" s="305"/>
      <c r="R136" s="305"/>
      <c r="S136" s="305"/>
      <c r="V136" s="305"/>
      <c r="W136" s="25"/>
    </row>
    <row r="137" ht="14.25" customHeight="1">
      <c r="A137" s="178"/>
      <c r="B137" s="12">
        <v>2138207.0</v>
      </c>
      <c r="C137" s="13">
        <v>46132.783541666664</v>
      </c>
      <c r="D137" s="179" t="s">
        <v>81</v>
      </c>
      <c r="E137" s="180" t="s">
        <v>7263</v>
      </c>
      <c r="F137" s="181"/>
      <c r="G137" s="179" t="s">
        <v>5931</v>
      </c>
      <c r="H137" s="190"/>
      <c r="I137" s="190"/>
      <c r="J137" s="187" t="s">
        <v>3151</v>
      </c>
      <c r="K137" s="187"/>
      <c r="L137" s="270" t="str">
        <f>IFERROR(__xludf.DUMMYFUNCTION("IF(
  AND(D137=""Saída"", J137=""Sangria""),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74" t="str">
        <f>IFERROR(__xludf.DUMMYFUNCTION("IF(J137=""Compra de Mercadorias"",
   IF(
      COUNTIF(ARRAYFORMULA(TRIM(CLEAN(TO_TEXT(Notas!BS:BS)))), TRIM(CLEAN(TO_TEXT(B137)))) &gt; 0,
      ""Encontrada"",
      ""Não Encontrada""
   ),
"""")"),"Não Encontrada")</f>
        <v>Não Encontrada</v>
      </c>
      <c r="N137" s="185">
        <f>IFERROR(__xludf.DUMMYFUNCTION("ifna(VALUE(REGEXEXTRACT(E137,""[0-9.]+[,]+[0-9]+"")))"),27.96)</f>
        <v>27.96</v>
      </c>
      <c r="O137" s="301"/>
      <c r="P137" s="321"/>
      <c r="Q137" s="301"/>
      <c r="R137" s="301"/>
      <c r="S137" s="301"/>
      <c r="V137" s="301"/>
      <c r="W137" s="25"/>
    </row>
    <row r="138" ht="14.25" customHeight="1">
      <c r="A138" s="178"/>
      <c r="B138" s="12">
        <v>2138689.0</v>
      </c>
      <c r="C138" s="13">
        <v>46132.90421296296</v>
      </c>
      <c r="D138" s="179" t="s">
        <v>81</v>
      </c>
      <c r="E138" s="180" t="s">
        <v>3486</v>
      </c>
      <c r="F138" s="188"/>
      <c r="G138" s="179" t="s">
        <v>381</v>
      </c>
      <c r="H138" s="190"/>
      <c r="I138" s="190"/>
      <c r="J138" s="187" t="s">
        <v>2735</v>
      </c>
      <c r="K138" s="187" t="s">
        <v>6576</v>
      </c>
      <c r="L138" s="270" t="str">
        <f>IFERROR(__xludf.DUMMYFUNCTION("IF(
  AND(D138=""Saída"", J138=""Sangria""),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"),"Confirmada")</f>
        <v>Confirmada</v>
      </c>
      <c r="M138" s="272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>
        <f>IFERROR(__xludf.DUMMYFUNCTION("ifna(VALUE(REGEXEXTRACT(E138,""[0-9.]+[,]+[0-9]+"")))"),500.0)</f>
        <v>500</v>
      </c>
      <c r="O138" s="305"/>
      <c r="P138" s="311"/>
      <c r="Q138" s="305"/>
      <c r="R138" s="305"/>
      <c r="S138" s="305"/>
      <c r="V138" s="305"/>
      <c r="W138" s="25"/>
    </row>
    <row r="139" ht="14.25" customHeight="1">
      <c r="A139" s="178"/>
      <c r="B139" s="12">
        <v>2140569.0</v>
      </c>
      <c r="C139" s="13">
        <v>46133.83069444444</v>
      </c>
      <c r="D139" s="179" t="s">
        <v>81</v>
      </c>
      <c r="E139" s="180" t="s">
        <v>5440</v>
      </c>
      <c r="F139" s="181"/>
      <c r="G139" s="179" t="s">
        <v>7264</v>
      </c>
      <c r="H139" s="190"/>
      <c r="I139" s="190"/>
      <c r="J139" s="187" t="s">
        <v>1782</v>
      </c>
      <c r="K139" s="187"/>
      <c r="L139" s="270" t="str">
        <f>IFERROR(__xludf.DUMMYFUNCTION("IF(
  AND(D139=""Saída"", J139=""Sangria""),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74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>
        <f>IFERROR(__xludf.DUMMYFUNCTION("ifna(VALUE(REGEXEXTRACT(E139,""[0-9.]+[,]+[0-9]+"")))"),140.0)</f>
        <v>140</v>
      </c>
      <c r="O139" s="301"/>
      <c r="P139" s="310"/>
      <c r="Q139" s="301"/>
      <c r="R139" s="301"/>
      <c r="S139" s="301"/>
      <c r="V139" s="301"/>
      <c r="W139" s="25"/>
    </row>
    <row r="140" ht="14.25" customHeight="1">
      <c r="A140" s="178"/>
      <c r="B140" s="12">
        <v>2140573.0</v>
      </c>
      <c r="C140" s="13">
        <v>46133.8312037037</v>
      </c>
      <c r="D140" s="179" t="s">
        <v>81</v>
      </c>
      <c r="E140" s="180" t="s">
        <v>7265</v>
      </c>
      <c r="F140" s="181"/>
      <c r="G140" s="179" t="s">
        <v>7266</v>
      </c>
      <c r="H140" s="190"/>
      <c r="I140" s="190"/>
      <c r="J140" s="187" t="s">
        <v>1782</v>
      </c>
      <c r="K140" s="187"/>
      <c r="L140" s="270" t="str">
        <f>IFERROR(__xludf.DUMMYFUNCTION("IF(
  AND(D140=""Saída"", J140=""Sangria""),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2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>
        <f>IFERROR(__xludf.DUMMYFUNCTION("ifna(VALUE(REGEXEXTRACT(E140,""[0-9.]+[,]+[0-9]+"")))"),157.85)</f>
        <v>157.85</v>
      </c>
      <c r="O140" s="305"/>
      <c r="P140" s="311"/>
      <c r="Q140" s="305"/>
      <c r="R140" s="305"/>
      <c r="S140" s="305"/>
      <c r="V140" s="305"/>
      <c r="W140" s="25"/>
    </row>
    <row r="141" ht="14.25" customHeight="1">
      <c r="A141" s="178"/>
      <c r="B141" s="12">
        <v>2140692.0</v>
      </c>
      <c r="C141" s="13">
        <v>46133.851168981484</v>
      </c>
      <c r="D141" s="179" t="s">
        <v>81</v>
      </c>
      <c r="E141" s="180" t="s">
        <v>659</v>
      </c>
      <c r="F141" s="181"/>
      <c r="G141" s="179" t="s">
        <v>6838</v>
      </c>
      <c r="H141" s="190"/>
      <c r="I141" s="190"/>
      <c r="J141" s="187" t="s">
        <v>2019</v>
      </c>
      <c r="K141" s="187" t="s">
        <v>6745</v>
      </c>
      <c r="L141" s="270" t="str">
        <f>IFERROR(__xludf.DUMMYFUNCTION("IF(
  AND(D141=""Saída"", J141=""Sangria""),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74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>
        <f>IFERROR(__xludf.DUMMYFUNCTION("ifna(VALUE(REGEXEXTRACT(E141,""[0-9.]+[,]+[0-9]+"")))"),5.0)</f>
        <v>5</v>
      </c>
      <c r="O141" s="304"/>
      <c r="P141" s="312"/>
      <c r="Q141" s="304"/>
      <c r="R141" s="304"/>
      <c r="S141" s="304"/>
      <c r="V141" s="304"/>
      <c r="W141" s="185"/>
    </row>
    <row r="142" ht="14.25" customHeight="1">
      <c r="A142" s="178"/>
      <c r="B142" s="12">
        <v>2141164.0</v>
      </c>
      <c r="C142" s="13">
        <v>46133.91809027778</v>
      </c>
      <c r="D142" s="179" t="s">
        <v>81</v>
      </c>
      <c r="E142" s="180" t="s">
        <v>7267</v>
      </c>
      <c r="F142" s="181"/>
      <c r="G142" s="179" t="s">
        <v>6729</v>
      </c>
      <c r="H142" s="190"/>
      <c r="I142" s="190"/>
      <c r="J142" s="187" t="s">
        <v>1782</v>
      </c>
      <c r="K142" s="187"/>
      <c r="L142" s="270" t="str">
        <f>IFERROR(__xludf.DUMMYFUNCTION("IF(
  AND(D142=""Saída"", J142=""Sangria""),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2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>
        <f>IFERROR(__xludf.DUMMYFUNCTION("ifna(VALUE(REGEXEXTRACT(E142,""[0-9.]+[,]+[0-9]+"")))"),331.0)</f>
        <v>331</v>
      </c>
      <c r="O142" s="308"/>
      <c r="P142" s="313"/>
      <c r="Q142" s="308"/>
      <c r="R142" s="308"/>
      <c r="S142" s="308"/>
      <c r="V142" s="308"/>
      <c r="W142" s="185"/>
    </row>
    <row r="143" ht="14.25" customHeight="1">
      <c r="A143" s="178"/>
      <c r="B143" s="12">
        <v>2141308.0</v>
      </c>
      <c r="C143" s="13">
        <v>46133.92670138889</v>
      </c>
      <c r="D143" s="179" t="s">
        <v>81</v>
      </c>
      <c r="E143" s="180" t="s">
        <v>7268</v>
      </c>
      <c r="F143" s="181"/>
      <c r="G143" s="179" t="s">
        <v>7269</v>
      </c>
      <c r="H143" s="190"/>
      <c r="I143" s="190"/>
      <c r="J143" s="187" t="s">
        <v>1782</v>
      </c>
      <c r="K143" s="187"/>
      <c r="L143" s="270" t="str">
        <f>IFERROR(__xludf.DUMMYFUNCTION("IF(
  AND(D143=""Saída"", J143=""Sangria""),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74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>
        <f>IFERROR(__xludf.DUMMYFUNCTION("ifna(VALUE(REGEXEXTRACT(E143,""[0-9.]+[,]+[0-9]+"")))"),314.0)</f>
        <v>314</v>
      </c>
      <c r="O143" s="304"/>
      <c r="P143" s="312"/>
      <c r="Q143" s="304"/>
      <c r="R143" s="304"/>
      <c r="S143" s="304"/>
      <c r="V143" s="304"/>
      <c r="W143" s="185"/>
    </row>
    <row r="144" ht="14.25" customHeight="1">
      <c r="A144" s="178"/>
      <c r="B144" s="12">
        <v>2141311.0</v>
      </c>
      <c r="C144" s="13">
        <v>46133.9269212963</v>
      </c>
      <c r="D144" s="179" t="s">
        <v>81</v>
      </c>
      <c r="E144" s="180" t="s">
        <v>6645</v>
      </c>
      <c r="F144" s="181"/>
      <c r="G144" s="179" t="s">
        <v>7270</v>
      </c>
      <c r="H144" s="190"/>
      <c r="I144" s="190"/>
      <c r="J144" s="187" t="s">
        <v>1782</v>
      </c>
      <c r="K144" s="187"/>
      <c r="L144" s="270" t="str">
        <f>IFERROR(__xludf.DUMMYFUNCTION("IF(
  AND(D144=""Saída"", J144=""Sangria""),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2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>
        <f>IFERROR(__xludf.DUMMYFUNCTION("ifna(VALUE(REGEXEXTRACT(E144,""[0-9.]+[,]+[0-9]+"")))"),108.0)</f>
        <v>108</v>
      </c>
      <c r="O144" s="308"/>
      <c r="P144" s="313"/>
      <c r="Q144" s="308"/>
      <c r="R144" s="308"/>
      <c r="S144" s="308"/>
      <c r="V144" s="308"/>
      <c r="W144" s="185"/>
    </row>
    <row r="145" ht="14.25" customHeight="1">
      <c r="A145" s="178"/>
      <c r="B145" s="12">
        <v>2142592.0</v>
      </c>
      <c r="C145" s="13">
        <v>46134.76552083333</v>
      </c>
      <c r="D145" s="179" t="s">
        <v>81</v>
      </c>
      <c r="E145" s="180" t="s">
        <v>335</v>
      </c>
      <c r="F145" s="181"/>
      <c r="G145" s="179" t="s">
        <v>656</v>
      </c>
      <c r="H145" s="190"/>
      <c r="I145" s="190"/>
      <c r="J145" s="187" t="s">
        <v>2019</v>
      </c>
      <c r="K145" s="187" t="s">
        <v>2078</v>
      </c>
      <c r="L145" s="270" t="str">
        <f>IFERROR(__xludf.DUMMYFUNCTION("IF(
  AND(D145=""Saída"", J145=""Sangria""),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74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>
        <f>IFERROR(__xludf.DUMMYFUNCTION("ifna(VALUE(REGEXEXTRACT(E145,""[0-9.]+[,]+[0-9]+"")))"),10.0)</f>
        <v>10</v>
      </c>
      <c r="O145" s="304"/>
      <c r="P145" s="312"/>
      <c r="Q145" s="304"/>
      <c r="R145" s="304"/>
      <c r="S145" s="304"/>
      <c r="V145" s="304"/>
      <c r="W145" s="185"/>
    </row>
    <row r="146" ht="14.25" customHeight="1">
      <c r="A146" s="178"/>
      <c r="B146" s="12">
        <v>2143214.0</v>
      </c>
      <c r="C146" s="13">
        <v>46134.92623842593</v>
      </c>
      <c r="D146" s="179" t="s">
        <v>81</v>
      </c>
      <c r="E146" s="180" t="s">
        <v>457</v>
      </c>
      <c r="F146" s="181"/>
      <c r="G146" s="179" t="s">
        <v>7271</v>
      </c>
      <c r="H146" s="190"/>
      <c r="I146" s="190"/>
      <c r="J146" s="187" t="s">
        <v>3151</v>
      </c>
      <c r="K146" s="187"/>
      <c r="L146" s="270" t="str">
        <f>IFERROR(__xludf.DUMMYFUNCTION("IF(
  AND(D146=""Saída"", J146=""Sangria""),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2" t="str">
        <f>IFERROR(__xludf.DUMMYFUNCTION("IF(J146=""Compra de Mercadorias"",
   IF(
      COUNTIF(ARRAYFORMULA(TRIM(CLEAN(TO_TEXT(Notas!BS:BS)))), TRIM(CLEAN(TO_TEXT(B146)))) &gt; 0,
      ""Encontrada"",
      ""Não Encontrada""
   ),
"""")"),"Não Encontrada")</f>
        <v>Não Encontrada</v>
      </c>
      <c r="N146" s="185">
        <f>IFERROR(__xludf.DUMMYFUNCTION("ifna(VALUE(REGEXEXTRACT(E146,""[0-9.]+[,]+[0-9]+"")))"),200.0)</f>
        <v>200</v>
      </c>
      <c r="O146" s="308"/>
      <c r="P146" s="313"/>
      <c r="Q146" s="308"/>
      <c r="R146" s="308"/>
      <c r="S146" s="308"/>
      <c r="V146" s="308"/>
      <c r="W146" s="185"/>
    </row>
    <row r="147" ht="14.25" customHeight="1">
      <c r="A147" s="178"/>
      <c r="B147" s="12">
        <v>2143216.0</v>
      </c>
      <c r="C147" s="13">
        <v>46134.9265625</v>
      </c>
      <c r="D147" s="179" t="s">
        <v>81</v>
      </c>
      <c r="E147" s="180" t="s">
        <v>7272</v>
      </c>
      <c r="F147" s="181"/>
      <c r="G147" s="179" t="s">
        <v>211</v>
      </c>
      <c r="H147" s="190"/>
      <c r="I147" s="190"/>
      <c r="J147" s="187" t="s">
        <v>3151</v>
      </c>
      <c r="K147" s="187"/>
      <c r="L147" s="270" t="str">
        <f>IFERROR(__xludf.DUMMYFUNCTION("IF(
  AND(D147=""Saída"", J147=""Sangria""),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74" t="str">
        <f>IFERROR(__xludf.DUMMYFUNCTION("IF(J147=""Compra de Mercadorias"",
   IF(
      COUNTIF(ARRAYFORMULA(TRIM(CLEAN(TO_TEXT(Notas!BS:BS)))), TRIM(CLEAN(TO_TEXT(B147)))) &gt; 0,
      ""Encontrada"",
      ""Não Encontrada""
   ),
"""")"),"Não Encontrada")</f>
        <v>Não Encontrada</v>
      </c>
      <c r="N147" s="185">
        <f>IFERROR(__xludf.DUMMYFUNCTION("ifna(VALUE(REGEXEXTRACT(E147,""[0-9.]+[,]+[0-9]+"")))"),69.41)</f>
        <v>69.41</v>
      </c>
      <c r="O147" s="304"/>
      <c r="P147" s="312"/>
      <c r="Q147" s="304"/>
      <c r="R147" s="304"/>
      <c r="S147" s="304"/>
      <c r="V147" s="304"/>
      <c r="W147" s="185"/>
    </row>
    <row r="148" ht="14.25" customHeight="1">
      <c r="A148" s="178"/>
      <c r="B148" s="12">
        <v>2144475.0</v>
      </c>
      <c r="C148" s="13">
        <v>46135.85418981482</v>
      </c>
      <c r="D148" s="179" t="s">
        <v>81</v>
      </c>
      <c r="E148" s="180" t="s">
        <v>6953</v>
      </c>
      <c r="F148" s="181"/>
      <c r="G148" s="179" t="s">
        <v>6779</v>
      </c>
      <c r="H148" s="190"/>
      <c r="I148" s="190"/>
      <c r="J148" s="187" t="s">
        <v>2019</v>
      </c>
      <c r="K148" s="187" t="s">
        <v>6745</v>
      </c>
      <c r="L148" s="270" t="str">
        <f>IFERROR(__xludf.DUMMYFUNCTION("IF(
  AND(D148=""Saída"", J148=""Sangria""),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2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>
        <f>IFERROR(__xludf.DUMMYFUNCTION("ifna(VALUE(REGEXEXTRACT(E148,""[0-9.]+[,]+[0-9]+"")))"),13.08)</f>
        <v>13.08</v>
      </c>
      <c r="O148" s="308"/>
      <c r="P148" s="313"/>
      <c r="Q148" s="308"/>
      <c r="R148" s="308"/>
      <c r="S148" s="308"/>
      <c r="V148" s="308"/>
      <c r="W148" s="185"/>
    </row>
    <row r="149" ht="14.25" customHeight="1">
      <c r="A149" s="178"/>
      <c r="B149" s="12">
        <v>2144476.0</v>
      </c>
      <c r="C149" s="13">
        <v>46135.854525462964</v>
      </c>
      <c r="D149" s="179" t="s">
        <v>81</v>
      </c>
      <c r="E149" s="180" t="s">
        <v>7273</v>
      </c>
      <c r="F149" s="181"/>
      <c r="G149" s="179" t="s">
        <v>656</v>
      </c>
      <c r="H149" s="190"/>
      <c r="I149" s="190"/>
      <c r="J149" s="187" t="s">
        <v>2019</v>
      </c>
      <c r="K149" s="187" t="s">
        <v>2078</v>
      </c>
      <c r="L149" s="270" t="str">
        <f>IFERROR(__xludf.DUMMYFUNCTION("IF(
  AND(D149=""Saída"", J149=""Sangria""),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74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>
        <f>IFERROR(__xludf.DUMMYFUNCTION("ifna(VALUE(REGEXEXTRACT(E149,""[0-9.]+[,]+[0-9]+"")))"),21.39)</f>
        <v>21.39</v>
      </c>
      <c r="O149" s="304"/>
      <c r="P149" s="312"/>
      <c r="Q149" s="304"/>
      <c r="R149" s="304"/>
      <c r="S149" s="304"/>
      <c r="V149" s="304"/>
      <c r="W149" s="185"/>
    </row>
    <row r="150" ht="14.25" customHeight="1">
      <c r="A150" s="178"/>
      <c r="B150" s="12">
        <v>2144739.0</v>
      </c>
      <c r="C150" s="13">
        <v>46135.91596064815</v>
      </c>
      <c r="D150" s="179" t="s">
        <v>81</v>
      </c>
      <c r="E150" s="180" t="s">
        <v>7274</v>
      </c>
      <c r="F150" s="181"/>
      <c r="G150" s="179" t="s">
        <v>381</v>
      </c>
      <c r="H150" s="190"/>
      <c r="I150" s="190"/>
      <c r="J150" s="187" t="s">
        <v>2735</v>
      </c>
      <c r="K150" s="187" t="s">
        <v>6576</v>
      </c>
      <c r="L150" s="270" t="str">
        <f>IFERROR(__xludf.DUMMYFUNCTION("IF(
  AND(D150=""Saída"", J150=""Sangria""),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"),"Confirmada")</f>
        <v>Confirmada</v>
      </c>
      <c r="M150" s="272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>
        <f>IFERROR(__xludf.DUMMYFUNCTION("ifna(VALUE(REGEXEXTRACT(E150,""[0-9.]+[,]+[0-9]+"")))"),460.0)</f>
        <v>460</v>
      </c>
      <c r="O150" s="308"/>
      <c r="P150" s="313"/>
      <c r="Q150" s="308"/>
      <c r="R150" s="308"/>
      <c r="S150" s="308"/>
      <c r="V150" s="308"/>
      <c r="W150" s="185"/>
    </row>
    <row r="151" ht="14.25" customHeight="1">
      <c r="A151" s="178"/>
      <c r="B151" s="12">
        <v>2146050.0</v>
      </c>
      <c r="C151" s="13">
        <v>46136.76741898148</v>
      </c>
      <c r="D151" s="179" t="s">
        <v>81</v>
      </c>
      <c r="E151" s="180" t="s">
        <v>7275</v>
      </c>
      <c r="F151" s="181"/>
      <c r="G151" s="179" t="s">
        <v>544</v>
      </c>
      <c r="H151" s="190"/>
      <c r="I151" s="190"/>
      <c r="J151" s="187" t="s">
        <v>2019</v>
      </c>
      <c r="K151" s="187" t="s">
        <v>2078</v>
      </c>
      <c r="L151" s="270" t="str">
        <f>IFERROR(__xludf.DUMMYFUNCTION("IF(
  AND(D151=""Saída"", J151=""Sangria""),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74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>
        <f>IFERROR(__xludf.DUMMYFUNCTION("ifna(VALUE(REGEXEXTRACT(E151,""[0-9.]+[,]+[0-9]+"")))"),10.01)</f>
        <v>10.01</v>
      </c>
      <c r="O151" s="304"/>
      <c r="P151" s="312"/>
      <c r="Q151" s="304"/>
      <c r="R151" s="304"/>
      <c r="S151" s="304"/>
      <c r="V151" s="304"/>
      <c r="W151" s="185"/>
    </row>
    <row r="152" ht="14.25" customHeight="1">
      <c r="A152" s="178"/>
      <c r="B152" s="12">
        <v>2146052.0</v>
      </c>
      <c r="C152" s="13">
        <v>46136.76775462963</v>
      </c>
      <c r="D152" s="179" t="s">
        <v>81</v>
      </c>
      <c r="E152" s="180" t="s">
        <v>7276</v>
      </c>
      <c r="F152" s="181"/>
      <c r="G152" s="179" t="s">
        <v>6779</v>
      </c>
      <c r="H152" s="190"/>
      <c r="I152" s="190"/>
      <c r="J152" s="187" t="s">
        <v>2019</v>
      </c>
      <c r="K152" s="187" t="s">
        <v>6745</v>
      </c>
      <c r="L152" s="270" t="str">
        <f>IFERROR(__xludf.DUMMYFUNCTION("IF(
  AND(D152=""Saída"", J152=""Sangria""),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2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>
        <f>IFERROR(__xludf.DUMMYFUNCTION("ifna(VALUE(REGEXEXTRACT(E152,""[0-9.]+[,]+[0-9]+"")))"),17.96)</f>
        <v>17.96</v>
      </c>
      <c r="O152" s="308"/>
      <c r="P152" s="313"/>
      <c r="Q152" s="308"/>
      <c r="R152" s="308"/>
      <c r="S152" s="308"/>
      <c r="V152" s="308"/>
      <c r="W152" s="185"/>
    </row>
    <row r="153" ht="14.25" customHeight="1">
      <c r="A153" s="178"/>
      <c r="B153" s="12">
        <v>2146495.0</v>
      </c>
      <c r="C153" s="13">
        <v>46136.90524305555</v>
      </c>
      <c r="D153" s="179" t="s">
        <v>81</v>
      </c>
      <c r="E153" s="180" t="s">
        <v>4106</v>
      </c>
      <c r="F153" s="181"/>
      <c r="G153" s="179" t="s">
        <v>128</v>
      </c>
      <c r="H153" s="190"/>
      <c r="I153" s="190"/>
      <c r="J153" s="187" t="s">
        <v>2735</v>
      </c>
      <c r="K153" s="187" t="s">
        <v>6576</v>
      </c>
      <c r="L153" s="270" t="str">
        <f>IFERROR(__xludf.DUMMYFUNCTION("IF(
  AND(D153=""Saída"", J153=""Sangria""),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"),"Confirmada")</f>
        <v>Confirmada</v>
      </c>
      <c r="M153" s="274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>
        <f>IFERROR(__xludf.DUMMYFUNCTION("ifna(VALUE(REGEXEXTRACT(E153,""[0-9.]+[,]+[0-9]+"")))"),750.0)</f>
        <v>750</v>
      </c>
      <c r="O153" s="304"/>
      <c r="P153" s="312"/>
      <c r="Q153" s="304"/>
      <c r="R153" s="304"/>
      <c r="S153" s="304"/>
      <c r="V153" s="304"/>
      <c r="W153" s="185"/>
    </row>
    <row r="154" ht="14.25" customHeight="1">
      <c r="A154" s="178"/>
      <c r="B154" s="12">
        <v>2146499.0</v>
      </c>
      <c r="C154" s="13">
        <v>46136.905810185184</v>
      </c>
      <c r="D154" s="179" t="s">
        <v>81</v>
      </c>
      <c r="E154" s="180" t="s">
        <v>7277</v>
      </c>
      <c r="F154" s="181"/>
      <c r="G154" s="179" t="s">
        <v>313</v>
      </c>
      <c r="H154" s="190"/>
      <c r="I154" s="190"/>
      <c r="J154" s="187" t="s">
        <v>3151</v>
      </c>
      <c r="K154" s="187"/>
      <c r="L154" s="270" t="str">
        <f>IFERROR(__xludf.DUMMYFUNCTION("IF(
  AND(D154=""Saída"", J154=""Sangria""),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2" t="str">
        <f>IFERROR(__xludf.DUMMYFUNCTION("IF(J154=""Compra de Mercadorias"",
   IF(
      COUNTIF(ARRAYFORMULA(TRIM(CLEAN(TO_TEXT(Notas!BS:BS)))), TRIM(CLEAN(TO_TEXT(B154)))) &gt; 0,
      ""Encontrada"",
      ""Não Encontrada""
   ),
"""")"),"Não Encontrada")</f>
        <v>Não Encontrada</v>
      </c>
      <c r="N154" s="185">
        <f>IFERROR(__xludf.DUMMYFUNCTION("ifna(VALUE(REGEXEXTRACT(E154,""[0-9.]+[,]+[0-9]+"")))"),318.63)</f>
        <v>318.63</v>
      </c>
      <c r="O154" s="308"/>
      <c r="P154" s="313"/>
      <c r="Q154" s="308"/>
      <c r="R154" s="308"/>
      <c r="S154" s="308"/>
      <c r="V154" s="308"/>
      <c r="W154" s="185"/>
    </row>
    <row r="155" ht="14.25" customHeight="1">
      <c r="A155" s="178"/>
      <c r="B155" s="12">
        <v>2148306.0</v>
      </c>
      <c r="C155" s="13">
        <v>46137.86436342593</v>
      </c>
      <c r="D155" s="179" t="s">
        <v>81</v>
      </c>
      <c r="E155" s="180" t="s">
        <v>1293</v>
      </c>
      <c r="F155" s="181"/>
      <c r="G155" s="179" t="s">
        <v>346</v>
      </c>
      <c r="H155" s="190"/>
      <c r="I155" s="190"/>
      <c r="J155" s="187" t="s">
        <v>2735</v>
      </c>
      <c r="K155" s="187" t="s">
        <v>2018</v>
      </c>
      <c r="L155" s="270" t="str">
        <f>IFERROR(__xludf.DUMMYFUNCTION("IF(
  AND(D155=""Saída"", J155=""Sangria""),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"),"Confirmada")</f>
        <v>Confirmada</v>
      </c>
      <c r="M155" s="274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>
        <f>IFERROR(__xludf.DUMMYFUNCTION("ifna(VALUE(REGEXEXTRACT(E155,""[0-9.]+[,]+[0-9]+"")))"),1150.0)</f>
        <v>1150</v>
      </c>
      <c r="O155" s="304"/>
      <c r="P155" s="312"/>
      <c r="Q155" s="304"/>
      <c r="R155" s="304"/>
      <c r="S155" s="304"/>
      <c r="V155" s="304"/>
      <c r="W155" s="185"/>
    </row>
    <row r="156" ht="14.25" customHeight="1">
      <c r="A156" s="178"/>
      <c r="B156" s="12">
        <v>2148367.0</v>
      </c>
      <c r="C156" s="13">
        <v>46137.87364583334</v>
      </c>
      <c r="D156" s="179" t="s">
        <v>81</v>
      </c>
      <c r="E156" s="180" t="s">
        <v>7278</v>
      </c>
      <c r="F156" s="181"/>
      <c r="G156" s="179" t="s">
        <v>7279</v>
      </c>
      <c r="H156" s="190"/>
      <c r="I156" s="190"/>
      <c r="J156" s="187" t="s">
        <v>2019</v>
      </c>
      <c r="K156" s="187" t="s">
        <v>2078</v>
      </c>
      <c r="L156" s="270" t="str">
        <f>IFERROR(__xludf.DUMMYFUNCTION("IF(
  AND(D156=""Saída"", J156=""Sangria""),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2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>
        <f>IFERROR(__xludf.DUMMYFUNCTION("ifna(VALUE(REGEXEXTRACT(E156,""[0-9.]+[,]+[0-9]+"")))"),93.85)</f>
        <v>93.85</v>
      </c>
      <c r="O156" s="308"/>
      <c r="P156" s="313"/>
      <c r="Q156" s="308"/>
      <c r="R156" s="308"/>
      <c r="S156" s="308"/>
      <c r="V156" s="308"/>
      <c r="W156" s="185"/>
    </row>
    <row r="157" ht="14.25" customHeight="1">
      <c r="A157" s="178"/>
      <c r="B157" s="12"/>
      <c r="C157" s="13"/>
      <c r="D157" s="179"/>
      <c r="E157" s="180"/>
      <c r="F157" s="181"/>
      <c r="G157" s="179"/>
      <c r="H157" s="190"/>
      <c r="I157" s="190"/>
      <c r="J157" s="187"/>
      <c r="K157" s="187"/>
      <c r="L157" s="270" t="str">
        <f>IFERROR(__xludf.DUMMYFUNCTION("IF(
  AND(D157=""Saída"", J157=""Sangria""),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74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 t="str">
        <f>IFERROR(__xludf.DUMMYFUNCTION("ifna(VALUE(REGEXEXTRACT(E157,""[0-9.]+[,]+[0-9]+"")))"),"")</f>
        <v/>
      </c>
      <c r="O157" s="304"/>
      <c r="P157" s="312"/>
      <c r="Q157" s="304"/>
      <c r="R157" s="304"/>
      <c r="S157" s="304"/>
      <c r="V157" s="304"/>
      <c r="W157" s="185"/>
    </row>
    <row r="158" ht="14.25" customHeight="1">
      <c r="A158" s="178"/>
      <c r="B158" s="12"/>
      <c r="C158" s="13"/>
      <c r="D158" s="179"/>
      <c r="E158" s="180"/>
      <c r="F158" s="181"/>
      <c r="G158" s="179"/>
      <c r="H158" s="190"/>
      <c r="I158" s="190"/>
      <c r="J158" s="187"/>
      <c r="K158" s="187"/>
      <c r="L158" s="270" t="str">
        <f>IFERROR(__xludf.DUMMYFUNCTION("IF(
  AND(D158=""Saída"", J158=""Sangria""),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2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 t="str">
        <f>IFERROR(__xludf.DUMMYFUNCTION("ifna(VALUE(REGEXEXTRACT(E158,""[0-9.]+[,]+[0-9]+"")))"),"")</f>
        <v/>
      </c>
      <c r="O158" s="308"/>
      <c r="P158" s="313"/>
      <c r="Q158" s="308"/>
      <c r="R158" s="308"/>
      <c r="S158" s="308"/>
      <c r="V158" s="308"/>
      <c r="W158" s="185"/>
    </row>
    <row r="159" ht="14.25" customHeight="1">
      <c r="A159" s="178"/>
      <c r="B159" s="12"/>
      <c r="C159" s="13"/>
      <c r="D159" s="179"/>
      <c r="E159" s="180"/>
      <c r="F159" s="188"/>
      <c r="G159" s="179"/>
      <c r="H159" s="190"/>
      <c r="I159" s="190"/>
      <c r="J159" s="187"/>
      <c r="K159" s="187"/>
      <c r="L159" s="270" t="str">
        <f>IFERROR(__xludf.DUMMYFUNCTION("IF(
  AND(D159=""Saída"", J159=""Sangria""),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74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 t="str">
        <f>IFERROR(__xludf.DUMMYFUNCTION("ifna(VALUE(REGEXEXTRACT(E159,""[0-9.]+[,]+[0-9]+"")))"),"")</f>
        <v/>
      </c>
      <c r="O159" s="185"/>
      <c r="P159" s="185"/>
      <c r="Q159" s="185"/>
      <c r="R159" s="185"/>
      <c r="S159" s="185"/>
      <c r="T159" s="185"/>
      <c r="U159" s="185"/>
      <c r="V159" s="185"/>
      <c r="W159" s="185"/>
    </row>
    <row r="160" ht="14.25" customHeight="1">
      <c r="A160" s="178"/>
      <c r="B160" s="12"/>
      <c r="C160" s="13"/>
      <c r="D160" s="179"/>
      <c r="E160" s="180"/>
      <c r="F160" s="181"/>
      <c r="G160" s="179"/>
      <c r="H160" s="190"/>
      <c r="I160" s="190"/>
      <c r="J160" s="187"/>
      <c r="K160" s="187"/>
      <c r="L160" s="270" t="str">
        <f>IFERROR(__xludf.DUMMYFUNCTION("IF(
  AND(D160=""Saída"", J160=""Sangria""),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2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 t="str">
        <f>IFERROR(__xludf.DUMMYFUNCTION("ifna(VALUE(REGEXEXTRACT(E160,""[0-9.]+[,]+[0-9]+"")))"),"")</f>
        <v/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4.25" customHeight="1">
      <c r="A161" s="178"/>
      <c r="B161" s="12"/>
      <c r="C161" s="13"/>
      <c r="D161" s="179"/>
      <c r="E161" s="180"/>
      <c r="F161" s="181"/>
      <c r="G161" s="179"/>
      <c r="H161" s="190"/>
      <c r="I161" s="190"/>
      <c r="J161" s="187"/>
      <c r="K161" s="187"/>
      <c r="L161" s="270" t="str">
        <f>IFERROR(__xludf.DUMMYFUNCTION("IF(
  AND(D161=""Saída"", J161=""Sangria""),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74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 t="str">
        <f>IFERROR(__xludf.DUMMYFUNCTION("ifna(VALUE(REGEXEXTRACT(E161,""[0-9.]+[,]+[0-9]+"")))"),"")</f>
        <v/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2"/>
      <c r="C162" s="13"/>
      <c r="D162" s="179"/>
      <c r="E162" s="180"/>
      <c r="F162" s="181"/>
      <c r="G162" s="179"/>
      <c r="H162" s="190"/>
      <c r="I162" s="190"/>
      <c r="J162" s="187"/>
      <c r="K162" s="187"/>
      <c r="L162" s="270" t="str">
        <f>IFERROR(__xludf.DUMMYFUNCTION("IF(
  AND(D162=""Saída"", J162=""Sangria""),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2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85" t="str">
        <f>IFERROR(__xludf.DUMMYFUNCTION("ifna(VALUE(REGEXEXTRACT(E162,""[0-9.]+[,]+[0-9]+"")))"),"")</f>
        <v/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2"/>
      <c r="C163" s="13"/>
      <c r="D163" s="179"/>
      <c r="E163" s="180"/>
      <c r="F163" s="181"/>
      <c r="G163" s="179"/>
      <c r="H163" s="190"/>
      <c r="I163" s="190"/>
      <c r="J163" s="187"/>
      <c r="K163" s="187"/>
      <c r="L163" s="270" t="str">
        <f>IFERROR(__xludf.DUMMYFUNCTION("IF(
  AND(D163=""Saída"", J163=""Sangria""),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74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85" t="str">
        <f>IFERROR(__xludf.DUMMYFUNCTION("ifna(VALUE(REGEXEXTRACT(E163,""[0-9.]+[,]+[0-9]+"")))"),"")</f>
        <v/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2"/>
      <c r="C164" s="13"/>
      <c r="D164" s="179"/>
      <c r="E164" s="180"/>
      <c r="F164" s="181"/>
      <c r="G164" s="179"/>
      <c r="H164" s="190"/>
      <c r="I164" s="190"/>
      <c r="J164" s="187"/>
      <c r="K164" s="187"/>
      <c r="L164" s="270" t="str">
        <f>IFERROR(__xludf.DUMMYFUNCTION("IF(
  AND(D164=""Saída"", J164=""Sangria""),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2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 t="str">
        <f>IFERROR(__xludf.DUMMYFUNCTION("ifna(VALUE(REGEXEXTRACT(E164,""[0-9.]+[,]+[0-9]+"")))"),"")</f>
        <v/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2"/>
      <c r="C165" s="13"/>
      <c r="D165" s="179"/>
      <c r="E165" s="180"/>
      <c r="F165" s="181"/>
      <c r="G165" s="179"/>
      <c r="H165" s="190"/>
      <c r="I165" s="190"/>
      <c r="J165" s="187"/>
      <c r="K165" s="187"/>
      <c r="L165" s="270" t="str">
        <f>IFERROR(__xludf.DUMMYFUNCTION("IF(
  AND(D165=""Saída"", J165=""Sangria""),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74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85" t="str">
        <f>IFERROR(__xludf.DUMMYFUNCTION("ifna(VALUE(REGEXEXTRACT(E165,""[0-9.]+[,]+[0-9]+"")))"),"")</f>
        <v/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2"/>
      <c r="C166" s="13"/>
      <c r="D166" s="179"/>
      <c r="E166" s="180"/>
      <c r="F166" s="181"/>
      <c r="G166" s="179"/>
      <c r="H166" s="190"/>
      <c r="I166" s="190"/>
      <c r="J166" s="187"/>
      <c r="K166" s="187"/>
      <c r="L166" s="270" t="str">
        <f>IFERROR(__xludf.DUMMYFUNCTION("IF(
  AND(D166=""Saída"", J166=""Sangria""),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2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 t="str">
        <f>IFERROR(__xludf.DUMMYFUNCTION("ifna(VALUE(REGEXEXTRACT(E166,""[0-9.]+[,]+[0-9]+"")))"),"")</f>
        <v/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2"/>
      <c r="C167" s="13"/>
      <c r="D167" s="179"/>
      <c r="E167" s="180"/>
      <c r="F167" s="181"/>
      <c r="G167" s="179"/>
      <c r="H167" s="190"/>
      <c r="I167" s="190"/>
      <c r="J167" s="187"/>
      <c r="K167" s="187"/>
      <c r="L167" s="270" t="str">
        <f>IFERROR(__xludf.DUMMYFUNCTION("IF(
  AND(D167=""Saída"", J167=""Sangria""),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74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 t="str">
        <f>IFERROR(__xludf.DUMMYFUNCTION("ifna(VALUE(REGEXEXTRACT(E167,""[0-9.]+[,]+[0-9]+"")))"),"")</f>
        <v/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2"/>
      <c r="C168" s="13"/>
      <c r="D168" s="179"/>
      <c r="E168" s="180"/>
      <c r="F168" s="181"/>
      <c r="G168" s="179"/>
      <c r="H168" s="190"/>
      <c r="I168" s="190"/>
      <c r="J168" s="187"/>
      <c r="K168" s="187"/>
      <c r="L168" s="270" t="str">
        <f>IFERROR(__xludf.DUMMYFUNCTION("IF(
  AND(D168=""Saída"", J168=""Sangria""),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2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 t="str">
        <f>IFERROR(__xludf.DUMMYFUNCTION("ifna(VALUE(REGEXEXTRACT(E168,""[0-9.]+[,]+[0-9]+"")))"),"")</f>
        <v/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2"/>
      <c r="C169" s="13"/>
      <c r="D169" s="179"/>
      <c r="E169" s="180"/>
      <c r="F169" s="181"/>
      <c r="G169" s="179"/>
      <c r="H169" s="190"/>
      <c r="I169" s="190"/>
      <c r="J169" s="187"/>
      <c r="K169" s="187"/>
      <c r="L169" s="270" t="str">
        <f>IFERROR(__xludf.DUMMYFUNCTION("IF(
  AND(D169=""Saída"", J169=""Sangria""),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74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 t="str">
        <f>IFERROR(__xludf.DUMMYFUNCTION("ifna(VALUE(REGEXEXTRACT(E169,""[0-9.]+[,]+[0-9]+"")))"),"")</f>
        <v/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2"/>
      <c r="C170" s="13"/>
      <c r="D170" s="179"/>
      <c r="E170" s="180"/>
      <c r="F170" s="188"/>
      <c r="G170" s="179"/>
      <c r="H170" s="190"/>
      <c r="I170" s="190"/>
      <c r="J170" s="187"/>
      <c r="K170" s="187"/>
      <c r="L170" s="270" t="str">
        <f>IFERROR(__xludf.DUMMYFUNCTION("IF(
  AND(D170=""Saída"", J170=""Sangria""),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2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 t="str">
        <f>IFERROR(__xludf.DUMMYFUNCTION("ifna(VALUE(REGEXEXTRACT(E170,""[0-9.]+[,]+[0-9]+"")))"),"")</f>
        <v/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2"/>
      <c r="C171" s="13"/>
      <c r="D171" s="179"/>
      <c r="E171" s="180"/>
      <c r="F171" s="181"/>
      <c r="G171" s="179"/>
      <c r="H171" s="190"/>
      <c r="I171" s="190"/>
      <c r="J171" s="187"/>
      <c r="K171" s="187"/>
      <c r="L171" s="270" t="str">
        <f>IFERROR(__xludf.DUMMYFUNCTION("IF(
  AND(D171=""Saída"", J171=""Sangria""),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74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 t="str">
        <f>IFERROR(__xludf.DUMMYFUNCTION("ifna(VALUE(REGEXEXTRACT(E171,""[0-9.]+[,]+[0-9]+"")))"),"")</f>
        <v/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2"/>
      <c r="C172" s="13"/>
      <c r="D172" s="179"/>
      <c r="E172" s="180"/>
      <c r="F172" s="181"/>
      <c r="G172" s="179"/>
      <c r="H172" s="190"/>
      <c r="I172" s="190"/>
      <c r="J172" s="187"/>
      <c r="K172" s="187"/>
      <c r="L172" s="270" t="str">
        <f>IFERROR(__xludf.DUMMYFUNCTION("IF(
  AND(D172=""Saída"", J172=""Sangria""),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2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 t="str">
        <f>IFERROR(__xludf.DUMMYFUNCTION("ifna(VALUE(REGEXEXTRACT(E172,""[0-9.]+[,]+[0-9]+"")))"),"")</f>
        <v/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2"/>
      <c r="C173" s="13"/>
      <c r="D173" s="179"/>
      <c r="E173" s="180"/>
      <c r="F173" s="188"/>
      <c r="G173" s="179"/>
      <c r="H173" s="190"/>
      <c r="I173" s="190"/>
      <c r="J173" s="187"/>
      <c r="K173" s="187"/>
      <c r="L173" s="270" t="str">
        <f>IFERROR(__xludf.DUMMYFUNCTION("IF(
  AND(D173=""Saída"", J173=""Sangria""),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74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 t="str">
        <f>IFERROR(__xludf.DUMMYFUNCTION("ifna(VALUE(REGEXEXTRACT(E173,""[0-9.]+[,]+[0-9]+"")))"),"")</f>
        <v/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2"/>
      <c r="C174" s="13"/>
      <c r="D174" s="179"/>
      <c r="E174" s="180"/>
      <c r="F174" s="181"/>
      <c r="G174" s="179"/>
      <c r="H174" s="190"/>
      <c r="I174" s="190"/>
      <c r="J174" s="187"/>
      <c r="K174" s="187"/>
      <c r="L174" s="270" t="str">
        <f>IFERROR(__xludf.DUMMYFUNCTION("IF(
  AND(D174=""Saída"", J174=""Sangria""),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2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 t="str">
        <f>IFERROR(__xludf.DUMMYFUNCTION("ifna(VALUE(REGEXEXTRACT(E174,""[0-9.]+[,]+[0-9]+"")))"),"")</f>
        <v/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2"/>
      <c r="C175" s="13"/>
      <c r="D175" s="179"/>
      <c r="E175" s="180"/>
      <c r="F175" s="181"/>
      <c r="G175" s="179"/>
      <c r="H175" s="190"/>
      <c r="I175" s="190"/>
      <c r="J175" s="187"/>
      <c r="K175" s="187"/>
      <c r="L175" s="270" t="str">
        <f>IFERROR(__xludf.DUMMYFUNCTION("IF(
  AND(D175=""Saída"", J175=""Sangria""),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74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 t="str">
        <f>IFERROR(__xludf.DUMMYFUNCTION("ifna(VALUE(REGEXEXTRACT(E175,""[0-9.]+[,]+[0-9]+"")))"),"")</f>
        <v/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2"/>
      <c r="C176" s="13"/>
      <c r="D176" s="179"/>
      <c r="E176" s="180"/>
      <c r="F176" s="181"/>
      <c r="G176" s="179"/>
      <c r="H176" s="190"/>
      <c r="I176" s="190"/>
      <c r="J176" s="187"/>
      <c r="K176" s="187"/>
      <c r="L176" s="270" t="str">
        <f>IFERROR(__xludf.DUMMYFUNCTION("IF(
  AND(D176=""Saída"", J176=""Sangria""),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2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 t="str">
        <f>IFERROR(__xludf.DUMMYFUNCTION("ifna(VALUE(REGEXEXTRACT(E176,""[0-9.]+[,]+[0-9]+"")))"),"")</f>
        <v/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2"/>
      <c r="C177" s="13"/>
      <c r="D177" s="179"/>
      <c r="E177" s="180"/>
      <c r="F177" s="181"/>
      <c r="G177" s="179"/>
      <c r="H177" s="190"/>
      <c r="I177" s="190"/>
      <c r="J177" s="187"/>
      <c r="K177" s="187"/>
      <c r="L177" s="270" t="str">
        <f>IFERROR(__xludf.DUMMYFUNCTION("IF(
  AND(D177=""Saída"", J177=""Sangria""),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74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 t="str">
        <f>IFERROR(__xludf.DUMMYFUNCTION("ifna(VALUE(REGEXEXTRACT(E177,""[0-9.]+[,]+[0-9]+"")))"),"")</f>
        <v/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2"/>
      <c r="C178" s="13"/>
      <c r="D178" s="179"/>
      <c r="E178" s="180"/>
      <c r="F178" s="188"/>
      <c r="G178" s="179"/>
      <c r="H178" s="190"/>
      <c r="I178" s="190"/>
      <c r="J178" s="187"/>
      <c r="K178" s="187"/>
      <c r="L178" s="270" t="str">
        <f>IFERROR(__xludf.DUMMYFUNCTION("IF(
  AND(D178=""Saída"", J178=""Sangria""),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2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 t="str">
        <f>IFERROR(__xludf.DUMMYFUNCTION("ifna(VALUE(REGEXEXTRACT(E178,""[0-9.]+[,]+[0-9]+"")))"),"")</f>
        <v/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270" t="str">
        <f>IFERROR(__xludf.DUMMYFUNCTION("IF(
  AND(D179=""Saída"", J179=""Sangria""),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74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 t="str">
        <f>IFERROR(__xludf.DUMMYFUNCTION("ifna(VALUE(REGEXEXTRACT(E179,""[0-9.]+[,]+[0-9]+"")))"),"")</f>
        <v/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2"/>
      <c r="C180" s="13"/>
      <c r="D180" s="179"/>
      <c r="E180" s="180"/>
      <c r="F180" s="181"/>
      <c r="G180" s="179"/>
      <c r="H180" s="190"/>
      <c r="I180" s="190"/>
      <c r="J180" s="187"/>
      <c r="K180" s="187"/>
      <c r="L180" s="270" t="str">
        <f>IFERROR(__xludf.DUMMYFUNCTION("IF(
  AND(D180=""Saída"", J180=""Sangria""),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2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 t="str">
        <f>IFERROR(__xludf.DUMMYFUNCTION("ifna(VALUE(REGEXEXTRACT(E180,""[0-9.]+[,]+[0-9]+"")))"),"")</f>
        <v/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2"/>
      <c r="C181" s="13"/>
      <c r="D181" s="179"/>
      <c r="E181" s="180"/>
      <c r="F181" s="188"/>
      <c r="G181" s="179"/>
      <c r="H181" s="190"/>
      <c r="I181" s="190"/>
      <c r="J181" s="187"/>
      <c r="K181" s="187"/>
      <c r="L181" s="270" t="str">
        <f>IFERROR(__xludf.DUMMYFUNCTION("IF(
  AND(D181=""Saída"", J181=""Sangria""),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74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 t="str">
        <f>IFERROR(__xludf.DUMMYFUNCTION("ifna(VALUE(REGEXEXTRACT(E181,""[0-9.]+[,]+[0-9]+"")))"),"")</f>
        <v/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270" t="str">
        <f>IFERROR(__xludf.DUMMYFUNCTION("IF(
  AND(D182=""Saída"", J182=""Sangria""),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2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 t="str">
        <f>IFERROR(__xludf.DUMMYFUNCTION("ifna(VALUE(REGEXEXTRACT(E182,""[0-9.]+[,]+[0-9]+"")))"),"")</f>
        <v/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270" t="str">
        <f>IFERROR(__xludf.DUMMYFUNCTION("IF(
  AND(D183=""Saída"", J183=""Sangria""),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74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 t="str">
        <f>IFERROR(__xludf.DUMMYFUNCTION("ifna(VALUE(REGEXEXTRACT(E183,""[0-9.]+[,]+[0-9]+"")))"),"")</f>
        <v/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2"/>
      <c r="C184" s="13"/>
      <c r="D184" s="179"/>
      <c r="E184" s="180"/>
      <c r="F184" s="181"/>
      <c r="G184" s="179"/>
      <c r="H184" s="190"/>
      <c r="I184" s="190"/>
      <c r="J184" s="187"/>
      <c r="K184" s="187"/>
      <c r="L184" s="270" t="str">
        <f>IFERROR(__xludf.DUMMYFUNCTION("IF(
  AND(D184=""Saída"", J184=""Sangria""),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2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 t="str">
        <f>IFERROR(__xludf.DUMMYFUNCTION("ifna(VALUE(REGEXEXTRACT(E184,""[0-9.]+[,]+[0-9]+"")))"),"")</f>
        <v/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270" t="str">
        <f>IFERROR(__xludf.DUMMYFUNCTION("IF(
  AND(D185=""Saída"", J185=""Sangria""),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74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 t="str">
        <f>IFERROR(__xludf.DUMMYFUNCTION("ifna(VALUE(REGEXEXTRACT(E185,""[0-9.]+[,]+[0-9]+"")))"),"")</f>
        <v/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2"/>
      <c r="C186" s="13"/>
      <c r="D186" s="179"/>
      <c r="E186" s="180"/>
      <c r="F186" s="181"/>
      <c r="G186" s="179"/>
      <c r="H186" s="190"/>
      <c r="I186" s="190"/>
      <c r="J186" s="187"/>
      <c r="K186" s="187"/>
      <c r="L186" s="270" t="str">
        <f>IFERROR(__xludf.DUMMYFUNCTION("IF(
  AND(D186=""Saída"", J186=""Sangria""),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2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 t="str">
        <f>IFERROR(__xludf.DUMMYFUNCTION("ifna(VALUE(REGEXEXTRACT(E186,""[0-9.]+[,]+[0-9]+"")))"),"")</f>
        <v/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270" t="str">
        <f>IFERROR(__xludf.DUMMYFUNCTION("IF(
  AND(D187=""Saída"", J187=""Sangria""),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74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 t="str">
        <f>IFERROR(__xludf.DUMMYFUNCTION("ifna(VALUE(REGEXEXTRACT(E187,""[0-9.]+[,]+[0-9]+"")))"),"")</f>
        <v/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270" t="str">
        <f>IFERROR(__xludf.DUMMYFUNCTION("IF(
  AND(D188=""Saída"", J188=""Sangria""),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2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 t="str">
        <f>IFERROR(__xludf.DUMMYFUNCTION("ifna(VALUE(REGEXEXTRACT(E188,""[0-9.]+[,]+[0-9]+"")))"),"")</f>
        <v/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270" t="str">
        <f>IFERROR(__xludf.DUMMYFUNCTION("IF(
  AND(D189=""Saída"", J189=""Sangria""),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74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 t="str">
        <f>IFERROR(__xludf.DUMMYFUNCTION("ifna(VALUE(REGEXEXTRACT(E189,""[0-9.]+[,]+[0-9]+"")))"),"")</f>
        <v/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2"/>
      <c r="C190" s="13"/>
      <c r="D190" s="179"/>
      <c r="E190" s="180"/>
      <c r="F190" s="188"/>
      <c r="G190" s="179"/>
      <c r="H190" s="190"/>
      <c r="I190" s="190"/>
      <c r="J190" s="187"/>
      <c r="K190" s="187"/>
      <c r="L190" s="270" t="str">
        <f>IFERROR(__xludf.DUMMYFUNCTION("IF(
  AND(D190=""Saída"", J190=""Sangria""),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2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 t="str">
        <f>IFERROR(__xludf.DUMMYFUNCTION("ifna(VALUE(REGEXEXTRACT(E190,""[0-9.]+[,]+[0-9]+"")))"),"")</f>
        <v/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187"/>
      <c r="K191" s="187"/>
      <c r="L191" s="270" t="str">
        <f>IFERROR(__xludf.DUMMYFUNCTION("IF(
  AND(D191=""Saída"", J191=""Sangria""),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74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 t="str">
        <f>IFERROR(__xludf.DUMMYFUNCTION("ifna(VALUE(REGEXEXTRACT(E191,""[0-9.]+[,]+[0-9]+"")))"),"")</f>
        <v/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2"/>
      <c r="C192" s="13"/>
      <c r="D192" s="179"/>
      <c r="E192" s="180"/>
      <c r="F192" s="181"/>
      <c r="G192" s="179"/>
      <c r="H192" s="190"/>
      <c r="I192" s="190"/>
      <c r="J192" s="187"/>
      <c r="K192" s="187"/>
      <c r="L192" s="270" t="str">
        <f>IFERROR(__xludf.DUMMYFUNCTION("IF(
  AND(D192=""Saída"", J192=""Sangria""),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2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 t="str">
        <f>IFERROR(__xludf.DUMMYFUNCTION("ifna(VALUE(REGEXEXTRACT(E192,""[0-9.]+[,]+[0-9]+"")))"),"")</f>
        <v/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270" t="str">
        <f>IFERROR(__xludf.DUMMYFUNCTION("IF(
  AND(D193=""Saída"", J193=""Sangria""),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74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 t="str">
        <f>IFERROR(__xludf.DUMMYFUNCTION("ifna(VALUE(REGEXEXTRACT(E193,""[0-9.]+[,]+[0-9]+"")))"),"")</f>
        <v/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270" t="str">
        <f>IFERROR(__xludf.DUMMYFUNCTION("IF(
  AND(D194=""Saída"", J194=""Sangria""),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2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85" t="str">
        <f>IFERROR(__xludf.DUMMYFUNCTION("ifna(VALUE(REGEXEXTRACT(E194,""[0-9.]+[,]+[0-9]+"")))"),"")</f>
        <v/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2"/>
      <c r="C195" s="13"/>
      <c r="D195" s="179"/>
      <c r="E195" s="180"/>
      <c r="F195" s="181"/>
      <c r="G195" s="179"/>
      <c r="H195" s="190"/>
      <c r="I195" s="190"/>
      <c r="J195" s="187"/>
      <c r="K195" s="187"/>
      <c r="L195" s="270" t="str">
        <f>IFERROR(__xludf.DUMMYFUNCTION("IF(
  AND(D195=""Saída"", J195=""Sangria""),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74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 t="str">
        <f>IFERROR(__xludf.DUMMYFUNCTION("ifna(VALUE(REGEXEXTRACT(E195,""[0-9.]+[,]+[0-9]+"")))"),"")</f>
        <v/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J196" s="187"/>
      <c r="K196" s="187"/>
      <c r="L196" s="270" t="str">
        <f>IFERROR(__xludf.DUMMYFUNCTION("IF(
  AND(D196=""Saída"", J196=""Sangria""),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2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 t="str">
        <f>IFERROR(__xludf.DUMMYFUNCTION("ifna(VALUE(REGEXEXTRACT(E196,""[0-9.]+[,]+[0-9]+"")))"),"")</f>
        <v/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270" t="str">
        <f>IFERROR(__xludf.DUMMYFUNCTION("IF(
  AND(D197=""Saída"", J197=""Sangria""),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74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 t="str">
        <f>IFERROR(__xludf.DUMMYFUNCTION("ifna(VALUE(REGEXEXTRACT(E197,""[0-9.]+[,]+[0-9]+"")))"),"")</f>
        <v/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270" t="str">
        <f>IFERROR(__xludf.DUMMYFUNCTION("IF(
  AND(D198=""Saída"", J198=""Sangria""),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2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 t="str">
        <f>IFERROR(__xludf.DUMMYFUNCTION("ifna(VALUE(REGEXEXTRACT(E198,""[0-9.]+[,]+[0-9]+"")))"),"")</f>
        <v/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270" t="str">
        <f>IFERROR(__xludf.DUMMYFUNCTION("IF(
  AND(D199=""Saída"", J199=""Sangria""),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74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 t="str">
        <f>IFERROR(__xludf.DUMMYFUNCTION("ifna(VALUE(REGEXEXTRACT(E199,""[0-9.]+[,]+[0-9]+"")))"),"")</f>
        <v/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2"/>
      <c r="C200" s="13"/>
      <c r="D200" s="179"/>
      <c r="E200" s="180"/>
      <c r="F200" s="188"/>
      <c r="G200" s="179"/>
      <c r="H200" s="190"/>
      <c r="I200" s="190"/>
      <c r="J200" s="187"/>
      <c r="K200" s="187"/>
      <c r="L200" s="270" t="str">
        <f>IFERROR(__xludf.DUMMYFUNCTION("IF(
  AND(D200=""Saída"", J200=""Sangria""),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2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 t="str">
        <f>IFERROR(__xludf.DUMMYFUNCTION("ifna(VALUE(REGEXEXTRACT(E200,""[0-9.]+[,]+[0-9]+"")))"),"")</f>
        <v/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270" t="str">
        <f>IFERROR(__xludf.DUMMYFUNCTION("IF(
  AND(D201=""Saída"", J201=""Sangria""),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74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 t="str">
        <f>IFERROR(__xludf.DUMMYFUNCTION("ifna(VALUE(REGEXEXTRACT(E201,""[0-9.]+[,]+[0-9]+"")))"),"")</f>
        <v/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270" t="str">
        <f>IFERROR(__xludf.DUMMYFUNCTION("IF(
  AND(D202=""Saída"", J202=""Sangria""),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2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 t="str">
        <f>IFERROR(__xludf.DUMMYFUNCTION("ifna(VALUE(REGEXEXTRACT(E202,""[0-9.]+[,]+[0-9]+"")))"),"")</f>
        <v/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270" t="str">
        <f>IFERROR(__xludf.DUMMYFUNCTION("IF(
  AND(D203=""Saída"", J203=""Sangria""),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74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 t="str">
        <f>IFERROR(__xludf.DUMMYFUNCTION("ifna(VALUE(REGEXEXTRACT(E203,""[0-9.]+[,]+[0-9]+"")))"),"")</f>
        <v/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270" t="str">
        <f>IFERROR(__xludf.DUMMYFUNCTION("IF(
  AND(D204=""Saída"", J204=""Sangria""),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2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 t="str">
        <f>IFERROR(__xludf.DUMMYFUNCTION("ifna(VALUE(REGEXEXTRACT(E204,""[0-9.]+[,]+[0-9]+"")))"),"")</f>
        <v/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2"/>
      <c r="C205" s="13"/>
      <c r="D205" s="179"/>
      <c r="E205" s="180"/>
      <c r="F205" s="181"/>
      <c r="G205" s="179"/>
      <c r="H205" s="190"/>
      <c r="I205" s="190"/>
      <c r="J205" s="187"/>
      <c r="K205" s="187"/>
      <c r="L205" s="270" t="str">
        <f>IFERROR(__xludf.DUMMYFUNCTION("IF(
  AND(D205=""Saída"", J205=""Sangria""),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74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 t="str">
        <f>IFERROR(__xludf.DUMMYFUNCTION("ifna(VALUE(REGEXEXTRACT(E205,""[0-9.]+[,]+[0-9]+"")))"),"")</f>
        <v/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2"/>
      <c r="C206" s="13"/>
      <c r="D206" s="179"/>
      <c r="E206" s="180"/>
      <c r="F206" s="188"/>
      <c r="G206" s="179"/>
      <c r="H206" s="190"/>
      <c r="I206" s="190"/>
      <c r="J206" s="187"/>
      <c r="K206" s="187"/>
      <c r="L206" s="270" t="str">
        <f>IFERROR(__xludf.DUMMYFUNCTION("IF(
  AND(D206=""Saída"", J206=""Sangria""),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2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 t="str">
        <f>IFERROR(__xludf.DUMMYFUNCTION("ifna(VALUE(REGEXEXTRACT(E206,""[0-9.]+[,]+[0-9]+"")))"),"")</f>
        <v/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270" t="str">
        <f>IFERROR(__xludf.DUMMYFUNCTION("IF(
  AND(D207=""Saída"", J207=""Sangria""),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74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270" t="str">
        <f>IFERROR(__xludf.DUMMYFUNCTION("IF(
  AND(D208=""Saída"", J208=""Sangria""),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2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270" t="str">
        <f>IFERROR(__xludf.DUMMYFUNCTION("IF(
  AND(D209=""Saída"", J209=""Sangria""),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74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270" t="str">
        <f>IFERROR(__xludf.DUMMYFUNCTION("IF(
  AND(D210=""Saída"", J210=""Sangria""),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2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270" t="str">
        <f>IFERROR(__xludf.DUMMYFUNCTION("IF(
  AND(D211=""Saída"", J211=""Sangria""),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74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270" t="str">
        <f>IFERROR(__xludf.DUMMYFUNCTION("IF(
  AND(D212=""Saída"", J212=""Sangria""),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2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270" t="str">
        <f>IFERROR(__xludf.DUMMYFUNCTION("IF(
  AND(D213=""Saída"", J213=""Sangria""),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74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270" t="str">
        <f>IFERROR(__xludf.DUMMYFUNCTION("IF(
  AND(D214=""Saída"", J214=""Sangria""),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2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270" t="str">
        <f>IFERROR(__xludf.DUMMYFUNCTION("IF(
  AND(D215=""Saída"", J215=""Sangria""),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74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270" t="str">
        <f>IFERROR(__xludf.DUMMYFUNCTION("IF(
  AND(D216=""Saída"", J216=""Sangria""),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2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270" t="str">
        <f>IFERROR(__xludf.DUMMYFUNCTION("IF(
  AND(D217=""Saída"", J217=""Sangria""),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74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270" t="str">
        <f>IFERROR(__xludf.DUMMYFUNCTION("IF(
  AND(D218=""Saída"", J218=""Sangria""),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2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270" t="str">
        <f>IFERROR(__xludf.DUMMYFUNCTION("IF(
  AND(D219=""Saída"", J219=""Sangria""),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74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270" t="str">
        <f>IFERROR(__xludf.DUMMYFUNCTION("IF(
  AND(D220=""Saída"", J220=""Sangria""),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2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270" t="str">
        <f>IFERROR(__xludf.DUMMYFUNCTION("IF(
  AND(D221=""Saída"", J221=""Sangria""),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74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270" t="str">
        <f>IFERROR(__xludf.DUMMYFUNCTION("IF(
  AND(D222=""Saída"", J222=""Sangria""),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2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270" t="str">
        <f>IFERROR(__xludf.DUMMYFUNCTION("IF(
  AND(D223=""Saída"", J223=""Sangria""),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74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270" t="str">
        <f>IFERROR(__xludf.DUMMYFUNCTION("IF(
  AND(D224=""Saída"", J224=""Sangria""),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2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270" t="str">
        <f>IFERROR(__xludf.DUMMYFUNCTION("IF(
  AND(D225=""Saída"", J225=""Sangria""),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74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270" t="str">
        <f>IFERROR(__xludf.DUMMYFUNCTION("IF(
  AND(D226=""Saída"", J226=""Sangria""),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2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270" t="str">
        <f>IFERROR(__xludf.DUMMYFUNCTION("IF(
  AND(D227=""Saída"", J227=""Sangria""),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74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270" t="str">
        <f>IFERROR(__xludf.DUMMYFUNCTION("IF(
  AND(D228=""Saída"", J228=""Sangria""),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2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270" t="str">
        <f>IFERROR(__xludf.DUMMYFUNCTION("IF(
  AND(D229=""Saída"", J229=""Sangria""),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74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270" t="str">
        <f>IFERROR(__xludf.DUMMYFUNCTION("IF(
  AND(D230=""Saída"", J230=""Sangria""),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2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270" t="str">
        <f>IFERROR(__xludf.DUMMYFUNCTION("IF(
  AND(D231=""Saída"", J231=""Sangria""),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74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270" t="str">
        <f>IFERROR(__xludf.DUMMYFUNCTION("IF(
  AND(D232=""Saída"", J232=""Sangria""),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2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270" t="str">
        <f>IFERROR(__xludf.DUMMYFUNCTION("IF(
  AND(D233=""Saída"", J233=""Sangria""),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74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270" t="str">
        <f>IFERROR(__xludf.DUMMYFUNCTION("IF(
  AND(D234=""Saída"", J234=""Sangria""),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2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270" t="str">
        <f>IFERROR(__xludf.DUMMYFUNCTION("IF(
  AND(D235=""Saída"", J235=""Sangria""),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74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270" t="str">
        <f>IFERROR(__xludf.DUMMYFUNCTION("IF(
  AND(D236=""Saída"", J236=""Sangria""),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2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270" t="str">
        <f>IFERROR(__xludf.DUMMYFUNCTION("IF(
  AND(D237=""Saída"", J237=""Sangria""),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74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270" t="str">
        <f>IFERROR(__xludf.DUMMYFUNCTION("IF(
  AND(D238=""Saída"", J238=""Sangria""),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2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270" t="str">
        <f>IFERROR(__xludf.DUMMYFUNCTION("IF(
  AND(D239=""Saída"", J239=""Sangria""),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74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270" t="str">
        <f>IFERROR(__xludf.DUMMYFUNCTION("IF(
  AND(D240=""Saída"", J240=""Sangria""),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2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270" t="str">
        <f>IFERROR(__xludf.DUMMYFUNCTION("IF(
  AND(D241=""Saída"", J241=""Sangria""),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74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270" t="str">
        <f>IFERROR(__xludf.DUMMYFUNCTION("IF(
  AND(D242=""Saída"", J242=""Sangria""),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2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270" t="str">
        <f>IFERROR(__xludf.DUMMYFUNCTION("IF(
  AND(D243=""Saída"", J243=""Sangria""),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74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270" t="str">
        <f>IFERROR(__xludf.DUMMYFUNCTION("IF(
  AND(D244=""Saída"", J244=""Sangria""),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2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270" t="str">
        <f>IFERROR(__xludf.DUMMYFUNCTION("IF(
  AND(D245=""Saída"", J245=""Sangria""),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74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270" t="str">
        <f>IFERROR(__xludf.DUMMYFUNCTION("IF(
  AND(D246=""Saída"", J246=""Sangria""),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2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270" t="str">
        <f>IFERROR(__xludf.DUMMYFUNCTION("IF(
  AND(D247=""Saída"", J247=""Sangria""),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74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270" t="str">
        <f>IFERROR(__xludf.DUMMYFUNCTION("IF(
  AND(D248=""Saída"", J248=""Sangria""),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2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270" t="str">
        <f>IFERROR(__xludf.DUMMYFUNCTION("IF(
  AND(D249=""Saída"", J249=""Sangria""),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74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270" t="str">
        <f>IFERROR(__xludf.DUMMYFUNCTION("IF(
  AND(D250=""Saída"", J250=""Sangria""),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2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270" t="str">
        <f>IFERROR(__xludf.DUMMYFUNCTION("IF(
  AND(D251=""Saída"", J251=""Sangria""),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74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270" t="str">
        <f>IFERROR(__xludf.DUMMYFUNCTION("IF(
  AND(D252=""Saída"", J252=""Sangria""),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2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270" t="str">
        <f>IFERROR(__xludf.DUMMYFUNCTION("IF(
  AND(D253=""Saída"", J253=""Sangria""),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74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270" t="str">
        <f>IFERROR(__xludf.DUMMYFUNCTION("IF(
  AND(D254=""Saída"", J254=""Sangria""),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2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270" t="str">
        <f>IFERROR(__xludf.DUMMYFUNCTION("IF(
  AND(D255=""Saída"", J255=""Sangria""),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74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270" t="str">
        <f>IFERROR(__xludf.DUMMYFUNCTION("IF(
  AND(D256=""Saída"", J256=""Sangria""),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2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270" t="str">
        <f>IFERROR(__xludf.DUMMYFUNCTION("IF(
  AND(D257=""Saída"", J257=""Sangria""),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74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270" t="str">
        <f>IFERROR(__xludf.DUMMYFUNCTION("IF(
  AND(D258=""Saída"", J258=""Sangria""),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2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270" t="str">
        <f>IFERROR(__xludf.DUMMYFUNCTION("IF(
  AND(D259=""Saída"", J259=""Sangria""),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74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270" t="str">
        <f>IFERROR(__xludf.DUMMYFUNCTION("IF(
  AND(D260=""Saída"", J260=""Sangria""),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2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270" t="str">
        <f>IFERROR(__xludf.DUMMYFUNCTION("IF(
  AND(D261=""Saída"", J261=""Sangria""),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74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270" t="str">
        <f>IFERROR(__xludf.DUMMYFUNCTION("IF(
  AND(D262=""Saída"", J262=""Sangria""),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2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270" t="str">
        <f>IFERROR(__xludf.DUMMYFUNCTION("IF(
  AND(D263=""Saída"", J263=""Sangria""),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74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270" t="str">
        <f>IFERROR(__xludf.DUMMYFUNCTION("IF(
  AND(D264=""Saída"", J264=""Sangria""),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2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270" t="str">
        <f>IFERROR(__xludf.DUMMYFUNCTION("IF(
  AND(D265=""Saída"", J265=""Sangria""),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74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270" t="str">
        <f>IFERROR(__xludf.DUMMYFUNCTION("IF(
  AND(D266=""Saída"", J266=""Sangria""),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2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270" t="str">
        <f>IFERROR(__xludf.DUMMYFUNCTION("IF(
  AND(D267=""Saída"", J267=""Sangria""),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74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270" t="str">
        <f>IFERROR(__xludf.DUMMYFUNCTION("IF(
  AND(D268=""Saída"", J268=""Sangria""),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2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270" t="str">
        <f>IFERROR(__xludf.DUMMYFUNCTION("IF(
  AND(D269=""Saída"", J269=""Sangria""),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74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270" t="str">
        <f>IFERROR(__xludf.DUMMYFUNCTION("IF(
  AND(D270=""Saída"", J270=""Sangria""),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2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270" t="str">
        <f>IFERROR(__xludf.DUMMYFUNCTION("IF(
  AND(D271=""Saída"", J271=""Sangria""),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74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270" t="str">
        <f>IFERROR(__xludf.DUMMYFUNCTION("IF(
  AND(D272=""Saída"", J272=""Sangria""),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2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270" t="str">
        <f>IFERROR(__xludf.DUMMYFUNCTION("IF(
  AND(D273=""Saída"", J273=""Sangria""),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74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270" t="str">
        <f>IFERROR(__xludf.DUMMYFUNCTION("IF(
  AND(D274=""Saída"", J274=""Sangria""),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2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270" t="str">
        <f>IFERROR(__xludf.DUMMYFUNCTION("IF(
  AND(D275=""Saída"", J275=""Sangria""),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74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270" t="str">
        <f>IFERROR(__xludf.DUMMYFUNCTION("IF(
  AND(D276=""Saída"", J276=""Sangria""),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2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270" t="str">
        <f>IFERROR(__xludf.DUMMYFUNCTION("IF(
  AND(D277=""Saída"", J277=""Sangria""),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74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270" t="str">
        <f>IFERROR(__xludf.DUMMYFUNCTION("IF(
  AND(D278=""Saída"", J278=""Sangria""),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2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270" t="str">
        <f>IFERROR(__xludf.DUMMYFUNCTION("IF(
  AND(D279=""Saída"", J279=""Sangria""),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74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270" t="str">
        <f>IFERROR(__xludf.DUMMYFUNCTION("IF(
  AND(D280=""Saída"", J280=""Sangria""),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2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270" t="str">
        <f>IFERROR(__xludf.DUMMYFUNCTION("IF(
  AND(D281=""Saída"", J281=""Sangria""),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74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270" t="str">
        <f>IFERROR(__xludf.DUMMYFUNCTION("IF(
  AND(D282=""Saída"", J282=""Sangria""),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2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270" t="str">
        <f>IFERROR(__xludf.DUMMYFUNCTION("IF(
  AND(D283=""Saída"", J283=""Sangria""),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74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270" t="str">
        <f>IFERROR(__xludf.DUMMYFUNCTION("IF(
  AND(D284=""Saída"", J284=""Sangria""),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2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270" t="str">
        <f>IFERROR(__xludf.DUMMYFUNCTION("IF(
  AND(D285=""Saída"", J285=""Sangria""),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74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270" t="str">
        <f>IFERROR(__xludf.DUMMYFUNCTION("IF(
  AND(D286=""Saída"", J286=""Sangria""),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2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270" t="str">
        <f>IFERROR(__xludf.DUMMYFUNCTION("IF(
  AND(D287=""Saída"", J287=""Sangria""),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74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270" t="str">
        <f>IFERROR(__xludf.DUMMYFUNCTION("IF(
  AND(D288=""Saída"", J288=""Sangria""),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2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270" t="str">
        <f>IFERROR(__xludf.DUMMYFUNCTION("IF(
  AND(D289=""Saída"", J289=""Sangria""),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74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270" t="str">
        <f>IFERROR(__xludf.DUMMYFUNCTION("IF(
  AND(D290=""Saída"", J290=""Sangria""),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2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270" t="str">
        <f>IFERROR(__xludf.DUMMYFUNCTION("IF(
  AND(D291=""Saída"", J291=""Sangria""),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74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270" t="str">
        <f>IFERROR(__xludf.DUMMYFUNCTION("IF(
  AND(D292=""Saída"", J292=""Sangria""),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2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270" t="str">
        <f>IFERROR(__xludf.DUMMYFUNCTION("IF(
  AND(D293=""Saída"", J293=""Sangria""),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74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270" t="str">
        <f>IFERROR(__xludf.DUMMYFUNCTION("IF(
  AND(D294=""Saída"", J294=""Sangria""),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2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270" t="str">
        <f>IFERROR(__xludf.DUMMYFUNCTION("IF(
  AND(D295=""Saída"", J295=""Sangria""),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74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270" t="str">
        <f>IFERROR(__xludf.DUMMYFUNCTION("IF(
  AND(D296=""Saída"", J296=""Sangria""),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2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270" t="str">
        <f>IFERROR(__xludf.DUMMYFUNCTION("IF(
  AND(D297=""Saída"", J297=""Sangria""),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74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270" t="str">
        <f>IFERROR(__xludf.DUMMYFUNCTION("IF(
  AND(D298=""Saída"", J298=""Sangria""),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2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270" t="str">
        <f>IFERROR(__xludf.DUMMYFUNCTION("IF(
  AND(D299=""Saída"", J299=""Sangria""),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74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270" t="str">
        <f>IFERROR(__xludf.DUMMYFUNCTION("IF(
  AND(D300=""Saída"", J300=""Sangria""),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2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270" t="str">
        <f>IFERROR(__xludf.DUMMYFUNCTION("IF(
  AND(D301=""Saída"", J301=""Sangria""),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74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270" t="str">
        <f>IFERROR(__xludf.DUMMYFUNCTION("IF(
  AND(D302=""Saída"", J302=""Sangria""),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2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270" t="str">
        <f>IFERROR(__xludf.DUMMYFUNCTION("IF(
  AND(D303=""Saída"", J303=""Sangria""),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74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270" t="str">
        <f>IFERROR(__xludf.DUMMYFUNCTION("IF(
  AND(D304=""Saída"", J304=""Sangria""),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2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270" t="str">
        <f>IFERROR(__xludf.DUMMYFUNCTION("IF(
  AND(D305=""Saída"", J305=""Sangria""),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74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270" t="str">
        <f>IFERROR(__xludf.DUMMYFUNCTION("IF(
  AND(D306=""Saída"", J306=""Sangria""),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2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270" t="str">
        <f>IFERROR(__xludf.DUMMYFUNCTION("IF(
  AND(D307=""Saída"", J307=""Sangria""),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74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270" t="str">
        <f>IFERROR(__xludf.DUMMYFUNCTION("IF(
  AND(D308=""Saída"", J308=""Sangria""),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2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270" t="str">
        <f>IFERROR(__xludf.DUMMYFUNCTION("IF(
  AND(D309=""Saída"", J309=""Sangria""),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74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270" t="str">
        <f>IFERROR(__xludf.DUMMYFUNCTION("IF(
  AND(D310=""Saída"", J310=""Sangria""),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2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270" t="str">
        <f>IFERROR(__xludf.DUMMYFUNCTION("IF(
  AND(D311=""Saída"", J311=""Sangria""),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74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270" t="str">
        <f>IFERROR(__xludf.DUMMYFUNCTION("IF(
  AND(D312=""Saída"", J312=""Sangria""),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2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270" t="str">
        <f>IFERROR(__xludf.DUMMYFUNCTION("IF(
  AND(D313=""Saída"", J313=""Sangria""),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74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270" t="str">
        <f>IFERROR(__xludf.DUMMYFUNCTION("IF(
  AND(D314=""Saída"", J314=""Sangria""),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2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270" t="str">
        <f>IFERROR(__xludf.DUMMYFUNCTION("IF(
  AND(D315=""Saída"", J315=""Sangria""),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74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270" t="str">
        <f>IFERROR(__xludf.DUMMYFUNCTION("IF(
  AND(D316=""Saída"", J316=""Sangria""),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2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270" t="str">
        <f>IFERROR(__xludf.DUMMYFUNCTION("IF(
  AND(D317=""Saída"", J317=""Sangria""),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74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270" t="str">
        <f>IFERROR(__xludf.DUMMYFUNCTION("IF(
  AND(D318=""Saída"", J318=""Sangria""),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2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270" t="str">
        <f>IFERROR(__xludf.DUMMYFUNCTION("IF(
  AND(D319=""Saída"", J319=""Sangria""),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74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270" t="str">
        <f>IFERROR(__xludf.DUMMYFUNCTION("IF(
  AND(D320=""Saída"", J320=""Sangria""),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2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270" t="str">
        <f>IFERROR(__xludf.DUMMYFUNCTION("IF(
  AND(D321=""Saída"", J321=""Sangria""),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74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270" t="str">
        <f>IFERROR(__xludf.DUMMYFUNCTION("IF(
  AND(D322=""Saída"", J322=""Sangria""),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2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270" t="str">
        <f>IFERROR(__xludf.DUMMYFUNCTION("IF(
  AND(D323=""Saída"", J323=""Sangria""),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74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270" t="str">
        <f>IFERROR(__xludf.DUMMYFUNCTION("IF(
  AND(D324=""Saída"", J324=""Sangria""),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2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270" t="str">
        <f>IFERROR(__xludf.DUMMYFUNCTION("IF(
  AND(D325=""Saída"", J325=""Sangria""),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74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270" t="str">
        <f>IFERROR(__xludf.DUMMYFUNCTION("IF(
  AND(D326=""Saída"", J326=""Sangria""),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2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270" t="str">
        <f>IFERROR(__xludf.DUMMYFUNCTION("IF(
  AND(D327=""Saída"", J327=""Sangria""),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74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270" t="str">
        <f>IFERROR(__xludf.DUMMYFUNCTION("IF(
  AND(D328=""Saída"", J328=""Sangria""),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2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270" t="str">
        <f>IFERROR(__xludf.DUMMYFUNCTION("IF(
  AND(D329=""Saída"", J329=""Sangria""),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74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270" t="str">
        <f>IFERROR(__xludf.DUMMYFUNCTION("IF(
  AND(D330=""Saída"", J330=""Sangria""),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2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270" t="str">
        <f>IFERROR(__xludf.DUMMYFUNCTION("IF(
  AND(D331=""Saída"", J331=""Sangria""),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74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270" t="str">
        <f>IFERROR(__xludf.DUMMYFUNCTION("IF(
  AND(D332=""Saída"", J332=""Sangria""),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2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270" t="str">
        <f>IFERROR(__xludf.DUMMYFUNCTION("IF(
  AND(D333=""Saída"", J333=""Sangria""),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74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270" t="str">
        <f>IFERROR(__xludf.DUMMYFUNCTION("IF(
  AND(D334=""Saída"", J334=""Sangria""),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2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270" t="str">
        <f>IFERROR(__xludf.DUMMYFUNCTION("IF(
  AND(D335=""Saída"", J335=""Sangria""),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74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270" t="str">
        <f>IFERROR(__xludf.DUMMYFUNCTION("IF(
  AND(D336=""Saída"", J336=""Sangria""),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2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270" t="str">
        <f>IFERROR(__xludf.DUMMYFUNCTION("IF(
  AND(D337=""Saída"", J337=""Sangria""),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74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270" t="str">
        <f>IFERROR(__xludf.DUMMYFUNCTION("IF(
  AND(D338=""Saída"", J338=""Sangria""),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2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270" t="str">
        <f>IFERROR(__xludf.DUMMYFUNCTION("IF(
  AND(D339=""Saída"", J339=""Sangria""),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74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270" t="str">
        <f>IFERROR(__xludf.DUMMYFUNCTION("IF(
  AND(D340=""Saída"", J340=""Sangria""),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2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270" t="str">
        <f>IFERROR(__xludf.DUMMYFUNCTION("IF(
  AND(D341=""Saída"", J341=""Sangria""),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74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270" t="str">
        <f>IFERROR(__xludf.DUMMYFUNCTION("IF(
  AND(D342=""Saída"", J342=""Sangria""),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2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270" t="str">
        <f>IFERROR(__xludf.DUMMYFUNCTION("IF(
  AND(D343=""Saída"", J343=""Sangria""),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74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270" t="str">
        <f>IFERROR(__xludf.DUMMYFUNCTION("IF(
  AND(D344=""Saída"", J344=""Sangria""),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2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270" t="str">
        <f>IFERROR(__xludf.DUMMYFUNCTION("IF(
  AND(D345=""Saída"", J345=""Sangria""),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74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270" t="str">
        <f>IFERROR(__xludf.DUMMYFUNCTION("IF(
  AND(D346=""Saída"", J346=""Sangria""),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2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270" t="str">
        <f>IFERROR(__xludf.DUMMYFUNCTION("IF(
  AND(D347=""Saída"", J347=""Sangria""),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74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270" t="str">
        <f>IFERROR(__xludf.DUMMYFUNCTION("IF(
  AND(D348=""Saída"", J348=""Sangria""),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2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270" t="str">
        <f>IFERROR(__xludf.DUMMYFUNCTION("IF(
  AND(D349=""Saída"", J349=""Sangria""),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74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270" t="str">
        <f>IFERROR(__xludf.DUMMYFUNCTION("IF(
  AND(D350=""Saída"", J350=""Sangria""),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2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270" t="str">
        <f>IFERROR(__xludf.DUMMYFUNCTION("IF(
  AND(D351=""Saída"", J351=""Sangria""),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74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270" t="str">
        <f>IFERROR(__xludf.DUMMYFUNCTION("IF(
  AND(D352=""Saída"", J352=""Sangria""),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2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270" t="str">
        <f>IFERROR(__xludf.DUMMYFUNCTION("IF(
  AND(D353=""Saída"", J353=""Sangria""),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74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270" t="str">
        <f>IFERROR(__xludf.DUMMYFUNCTION("IF(
  AND(D354=""Saída"", J354=""Sangria""),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2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270" t="str">
        <f>IFERROR(__xludf.DUMMYFUNCTION("IF(
  AND(D355=""Saída"", J355=""Sangria""),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74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270" t="str">
        <f>IFERROR(__xludf.DUMMYFUNCTION("IF(
  AND(D356=""Saída"", J356=""Sangria""),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2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270" t="str">
        <f>IFERROR(__xludf.DUMMYFUNCTION("IF(
  AND(D357=""Saída"", J357=""Sangria""),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74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270" t="str">
        <f>IFERROR(__xludf.DUMMYFUNCTION("IF(
  AND(D358=""Saída"", J358=""Sangria""),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2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270" t="str">
        <f>IFERROR(__xludf.DUMMYFUNCTION("IF(
  AND(D359=""Saída"", J359=""Sangria""),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74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270" t="str">
        <f>IFERROR(__xludf.DUMMYFUNCTION("IF(
  AND(D360=""Saída"", J360=""Sangria""),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2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270" t="str">
        <f>IFERROR(__xludf.DUMMYFUNCTION("IF(
  AND(D361=""Saída"", J361=""Sangria""),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74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270" t="str">
        <f>IFERROR(__xludf.DUMMYFUNCTION("IF(
  AND(D362=""Saída"", J362=""Sangria""),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2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270" t="str">
        <f>IFERROR(__xludf.DUMMYFUNCTION("IF(
  AND(D363=""Saída"", J363=""Sangria""),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74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270" t="str">
        <f>IFERROR(__xludf.DUMMYFUNCTION("IF(
  AND(D364=""Saída"", J364=""Sangria""),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2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270" t="str">
        <f>IFERROR(__xludf.DUMMYFUNCTION("IF(
  AND(D365=""Saída"", J365=""Sangria""),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74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270" t="str">
        <f>IFERROR(__xludf.DUMMYFUNCTION("IF(
  AND(D366=""Saída"", J366=""Sangria""),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2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270" t="str">
        <f>IFERROR(__xludf.DUMMYFUNCTION("IF(
  AND(D367=""Saída"", J367=""Sangria""),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74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270" t="str">
        <f>IFERROR(__xludf.DUMMYFUNCTION("IF(
  AND(D368=""Saída"", J368=""Sangria""),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2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270" t="str">
        <f>IFERROR(__xludf.DUMMYFUNCTION("IF(
  AND(D369=""Saída"", J369=""Sangria""),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74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270" t="str">
        <f>IFERROR(__xludf.DUMMYFUNCTION("IF(
  AND(D370=""Saída"", J370=""Sangria""),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2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270" t="str">
        <f>IFERROR(__xludf.DUMMYFUNCTION("IF(
  AND(D371=""Saída"", J371=""Sangria""),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74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270" t="str">
        <f>IFERROR(__xludf.DUMMYFUNCTION("IF(
  AND(D372=""Saída"", J372=""Sangria""),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2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270" t="str">
        <f>IFERROR(__xludf.DUMMYFUNCTION("IF(
  AND(D373=""Saída"", J373=""Sangria""),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74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270" t="str">
        <f>IFERROR(__xludf.DUMMYFUNCTION("IF(
  AND(D374=""Saída"", J374=""Sangria""),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2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270" t="str">
        <f>IFERROR(__xludf.DUMMYFUNCTION("IF(
  AND(D375=""Saída"", J375=""Sangria""),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74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270" t="str">
        <f>IFERROR(__xludf.DUMMYFUNCTION("IF(
  AND(D376=""Saída"", J376=""Sangria""),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2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270" t="str">
        <f>IFERROR(__xludf.DUMMYFUNCTION("IF(
  AND(D377=""Saída"", J377=""Sangria""),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74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270" t="str">
        <f>IFERROR(__xludf.DUMMYFUNCTION("IF(
  AND(D378=""Saída"", J378=""Sangria""),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2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270" t="str">
        <f>IFERROR(__xludf.DUMMYFUNCTION("IF(
  AND(D379=""Saída"", J379=""Sangria""),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74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270" t="str">
        <f>IFERROR(__xludf.DUMMYFUNCTION("IF(
  AND(D380=""Saída"", J380=""Sangria""),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2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270" t="str">
        <f>IFERROR(__xludf.DUMMYFUNCTION("IF(
  AND(D381=""Saída"", J381=""Sangria""),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74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270" t="str">
        <f>IFERROR(__xludf.DUMMYFUNCTION("IF(
  AND(D382=""Saída"", J382=""Sangria""),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2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270" t="str">
        <f>IFERROR(__xludf.DUMMYFUNCTION("IF(
  AND(D383=""Saída"", J383=""Sangria""),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74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270" t="str">
        <f>IFERROR(__xludf.DUMMYFUNCTION("IF(
  AND(D384=""Saída"", J384=""Sangria""),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2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270" t="str">
        <f>IFERROR(__xludf.DUMMYFUNCTION("IF(
  AND(D385=""Saída"", J385=""Sangria""),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74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270" t="str">
        <f>IFERROR(__xludf.DUMMYFUNCTION("IF(
  AND(D386=""Saída"", J386=""Sangria""),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2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270" t="str">
        <f>IFERROR(__xludf.DUMMYFUNCTION("IF(
  AND(D387=""Saída"", J387=""Sangria""),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74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270" t="str">
        <f>IFERROR(__xludf.DUMMYFUNCTION("IF(
  AND(D388=""Saída"", J388=""Sangria""),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2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270" t="str">
        <f>IFERROR(__xludf.DUMMYFUNCTION("IF(
  AND(D389=""Saída"", J389=""Sangria""),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74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270" t="str">
        <f>IFERROR(__xludf.DUMMYFUNCTION("IF(
  AND(D390=""Saída"", J390=""Sangria""),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2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270" t="str">
        <f>IFERROR(__xludf.DUMMYFUNCTION("IF(
  AND(D391=""Saída"", J391=""Sangria""),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74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270" t="str">
        <f>IFERROR(__xludf.DUMMYFUNCTION("IF(
  AND(D392=""Saída"", J392=""Sangria""),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2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270" t="str">
        <f>IFERROR(__xludf.DUMMYFUNCTION("IF(
  AND(D393=""Saída"", J393=""Sangria""),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74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270" t="str">
        <f>IFERROR(__xludf.DUMMYFUNCTION("IF(
  AND(D394=""Saída"", J394=""Sangria""),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2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270" t="str">
        <f>IFERROR(__xludf.DUMMYFUNCTION("IF(
  AND(D395=""Saída"", J395=""Sangria""),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74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270" t="str">
        <f>IFERROR(__xludf.DUMMYFUNCTION("IF(
  AND(D396=""Saída"", J396=""Sangria""),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2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270" t="str">
        <f>IFERROR(__xludf.DUMMYFUNCTION("IF(
  AND(D397=""Saída"", J397=""Sangria""),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74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270" t="str">
        <f>IFERROR(__xludf.DUMMYFUNCTION("IF(
  AND(D398=""Saída"", J398=""Sangria""),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2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270" t="str">
        <f>IFERROR(__xludf.DUMMYFUNCTION("IF(
  AND(D399=""Saída"", J399=""Sangria""),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74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270" t="str">
        <f>IFERROR(__xludf.DUMMYFUNCTION("IF(
  AND(D400=""Saída"", J400=""Sangria""),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2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270" t="str">
        <f>IFERROR(__xludf.DUMMYFUNCTION("IF(
  AND(D401=""Saída"", J401=""Sangria""),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74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270" t="str">
        <f>IFERROR(__xludf.DUMMYFUNCTION("IF(
  AND(D402=""Saída"", J402=""Sangria""),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2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270" t="str">
        <f>IFERROR(__xludf.DUMMYFUNCTION("IF(
  AND(D403=""Saída"", J403=""Sangria""),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74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270" t="str">
        <f>IFERROR(__xludf.DUMMYFUNCTION("IF(
  AND(D404=""Saída"", J404=""Sangria""),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2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270" t="str">
        <f>IFERROR(__xludf.DUMMYFUNCTION("IF(
  AND(D405=""Saída"", J405=""Sangria""),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74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270" t="str">
        <f>IFERROR(__xludf.DUMMYFUNCTION("IF(
  AND(D406=""Saída"", J406=""Sangria""),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2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270" t="str">
        <f>IFERROR(__xludf.DUMMYFUNCTION("IF(
  AND(D407=""Saída"", J407=""Sangria""),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74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270" t="str">
        <f>IFERROR(__xludf.DUMMYFUNCTION("IF(
  AND(D408=""Saída"", J408=""Sangria""),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2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270" t="str">
        <f>IFERROR(__xludf.DUMMYFUNCTION("IF(
  AND(D409=""Saída"", J409=""Sangria""),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74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270" t="str">
        <f>IFERROR(__xludf.DUMMYFUNCTION("IF(
  AND(D410=""Saída"", J410=""Sangria""),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2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270" t="str">
        <f>IFERROR(__xludf.DUMMYFUNCTION("IF(
  AND(D411=""Saída"", J411=""Sangria""),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74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270" t="str">
        <f>IFERROR(__xludf.DUMMYFUNCTION("IF(
  AND(D412=""Saída"", J412=""Sangria""),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2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270" t="str">
        <f>IFERROR(__xludf.DUMMYFUNCTION("IF(
  AND(D413=""Saída"", J413=""Sangria""),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74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270" t="str">
        <f>IFERROR(__xludf.DUMMYFUNCTION("IF(
  AND(D414=""Saída"", J414=""Sangria""),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2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270" t="str">
        <f>IFERROR(__xludf.DUMMYFUNCTION("IF(
  AND(D415=""Saída"", J415=""Sangria""),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74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270" t="str">
        <f>IFERROR(__xludf.DUMMYFUNCTION("IF(
  AND(D416=""Saída"", J416=""Sangria""),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2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270" t="str">
        <f>IFERROR(__xludf.DUMMYFUNCTION("IF(
  AND(D417=""Saída"", J417=""Sangria""),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74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270" t="str">
        <f>IFERROR(__xludf.DUMMYFUNCTION("IF(
  AND(D418=""Saída"", J418=""Sangria""),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2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270" t="str">
        <f>IFERROR(__xludf.DUMMYFUNCTION("IF(
  AND(D419=""Saída"", J419=""Sangria""),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74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270" t="str">
        <f>IFERROR(__xludf.DUMMYFUNCTION("IF(
  AND(D420=""Saída"", J420=""Sangria""),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2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270" t="str">
        <f>IFERROR(__xludf.DUMMYFUNCTION("IF(
  AND(D421=""Saída"", J421=""Sangria""),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74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270" t="str">
        <f>IFERROR(__xludf.DUMMYFUNCTION("IF(
  AND(D422=""Saída"", J422=""Sangria""),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2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270" t="str">
        <f>IFERROR(__xludf.DUMMYFUNCTION("IF(
  AND(D423=""Saída"", J423=""Sangria""),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74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270" t="str">
        <f>IFERROR(__xludf.DUMMYFUNCTION("IF(
  AND(D424=""Saída"", J424=""Sangria""),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2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270" t="str">
        <f>IFERROR(__xludf.DUMMYFUNCTION("IF(
  AND(D425=""Saída"", J425=""Sangria""),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74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270" t="str">
        <f>IFERROR(__xludf.DUMMYFUNCTION("IF(
  AND(D426=""Saída"", J426=""Sangria""),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2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270" t="str">
        <f>IFERROR(__xludf.DUMMYFUNCTION("IF(
  AND(D427=""Saída"", J427=""Sangria""),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74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270" t="str">
        <f>IFERROR(__xludf.DUMMYFUNCTION("IF(
  AND(D428=""Saída"", J428=""Sangria""),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2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270" t="str">
        <f>IFERROR(__xludf.DUMMYFUNCTION("IF(
  AND(D429=""Saída"", J429=""Sangria""),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74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270" t="str">
        <f>IFERROR(__xludf.DUMMYFUNCTION("IF(
  AND(D430=""Saída"", J430=""Sangria""),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2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270" t="str">
        <f>IFERROR(__xludf.DUMMYFUNCTION("IF(
  AND(D431=""Saída"", J431=""Sangria""),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74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270" t="str">
        <f>IFERROR(__xludf.DUMMYFUNCTION("IF(
  AND(D432=""Saída"", J432=""Sangria""),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2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270" t="str">
        <f>IFERROR(__xludf.DUMMYFUNCTION("IF(
  AND(D433=""Saída"", J433=""Sangria""),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74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270" t="str">
        <f>IFERROR(__xludf.DUMMYFUNCTION("IF(
  AND(D434=""Saída"", J434=""Sangria""),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2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270" t="str">
        <f>IFERROR(__xludf.DUMMYFUNCTION("IF(
  AND(D435=""Saída"", J435=""Sangria""),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74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270" t="str">
        <f>IFERROR(__xludf.DUMMYFUNCTION("IF(
  AND(D436=""Saída"", J436=""Sangria""),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2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270" t="str">
        <f>IFERROR(__xludf.DUMMYFUNCTION("IF(
  AND(D437=""Saída"", J437=""Sangria""),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74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270" t="str">
        <f>IFERROR(__xludf.DUMMYFUNCTION("IF(
  AND(D438=""Saída"", J438=""Sangria""),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2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270" t="str">
        <f>IFERROR(__xludf.DUMMYFUNCTION("IF(
  AND(D439=""Saída"", J439=""Sangria""),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74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270" t="str">
        <f>IFERROR(__xludf.DUMMYFUNCTION("IF(
  AND(D440=""Saída"", J440=""Sangria""),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2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270" t="str">
        <f>IFERROR(__xludf.DUMMYFUNCTION("IF(
  AND(D441=""Saída"", J441=""Sangria""),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74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270" t="str">
        <f>IFERROR(__xludf.DUMMYFUNCTION("IF(
  AND(D442=""Saída"", J442=""Sangria""),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2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270" t="str">
        <f>IFERROR(__xludf.DUMMYFUNCTION("IF(
  AND(D443=""Saída"", J443=""Sangria""),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74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270" t="str">
        <f>IFERROR(__xludf.DUMMYFUNCTION("IF(
  AND(D444=""Saída"", J444=""Sangria""),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2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270" t="str">
        <f>IFERROR(__xludf.DUMMYFUNCTION("IF(
  AND(D445=""Saída"", J445=""Sangria""),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74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270" t="str">
        <f>IFERROR(__xludf.DUMMYFUNCTION("IF(
  AND(D446=""Saída"", J446=""Sangria""),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2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270" t="str">
        <f>IFERROR(__xludf.DUMMYFUNCTION("IF(
  AND(D447=""Saída"", J447=""Sangria""),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74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270" t="str">
        <f>IFERROR(__xludf.DUMMYFUNCTION("IF(
  AND(D448=""Saída"", J448=""Sangria""),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2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270" t="str">
        <f>IFERROR(__xludf.DUMMYFUNCTION("IF(
  AND(D449=""Saída"", J449=""Sangria""),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74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270" t="str">
        <f>IFERROR(__xludf.DUMMYFUNCTION("IF(
  AND(D450=""Saída"", J450=""Sangria""),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2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270" t="str">
        <f>IFERROR(__xludf.DUMMYFUNCTION("IF(
  AND(D451=""Saída"", J451=""Sangria""),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74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270" t="str">
        <f>IFERROR(__xludf.DUMMYFUNCTION("IF(
  AND(D452=""Saída"", J452=""Sangria""),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2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270" t="str">
        <f>IFERROR(__xludf.DUMMYFUNCTION("IF(
  AND(D453=""Saída"", J453=""Sangria""),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74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270" t="str">
        <f>IFERROR(__xludf.DUMMYFUNCTION("IF(
  AND(D454=""Saída"", J454=""Sangria""),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2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270" t="str">
        <f>IFERROR(__xludf.DUMMYFUNCTION("IF(
  AND(D455=""Saída"", J455=""Sangria""),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74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270" t="str">
        <f>IFERROR(__xludf.DUMMYFUNCTION("IF(
  AND(D456=""Saída"", J456=""Sangria""),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2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270" t="str">
        <f>IFERROR(__xludf.DUMMYFUNCTION("IF(
  AND(D457=""Saída"", J457=""Sangria""),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74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270" t="str">
        <f>IFERROR(__xludf.DUMMYFUNCTION("IF(
  AND(D458=""Saída"", J458=""Sangria""),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2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270" t="str">
        <f>IFERROR(__xludf.DUMMYFUNCTION("IF(
  AND(D459=""Saída"", J459=""Sangria""),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74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270" t="str">
        <f>IFERROR(__xludf.DUMMYFUNCTION("IF(
  AND(D460=""Saída"", J460=""Sangria""),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2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270" t="str">
        <f>IFERROR(__xludf.DUMMYFUNCTION("IF(
  AND(D461=""Saída"", J461=""Sangria""),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74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270" t="str">
        <f>IFERROR(__xludf.DUMMYFUNCTION("IF(
  AND(D462=""Saída"", J462=""Sangria""),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2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270" t="str">
        <f>IFERROR(__xludf.DUMMYFUNCTION("IF(
  AND(D463=""Saída"", J463=""Sangria""),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74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270" t="str">
        <f>IFERROR(__xludf.DUMMYFUNCTION("IF(
  AND(D464=""Saída"", J464=""Sangria""),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2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270" t="str">
        <f>IFERROR(__xludf.DUMMYFUNCTION("IF(
  AND(D465=""Saída"", J465=""Sangria""),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74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270" t="str">
        <f>IFERROR(__xludf.DUMMYFUNCTION("IF(
  AND(D466=""Saída"", J466=""Sangria""),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2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270" t="str">
        <f>IFERROR(__xludf.DUMMYFUNCTION("IF(
  AND(D467=""Saída"", J467=""Sangria""),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74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270" t="str">
        <f>IFERROR(__xludf.DUMMYFUNCTION("IF(
  AND(D468=""Saída"", J468=""Sangria""),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2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270" t="str">
        <f>IFERROR(__xludf.DUMMYFUNCTION("IF(
  AND(D469=""Saída"", J469=""Sangria""),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74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270" t="str">
        <f>IFERROR(__xludf.DUMMYFUNCTION("IF(
  AND(D470=""Saída"", J470=""Sangria""),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2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270" t="str">
        <f>IFERROR(__xludf.DUMMYFUNCTION("IF(
  AND(D471=""Saída"", J471=""Sangria""),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74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270" t="str">
        <f>IFERROR(__xludf.DUMMYFUNCTION("IF(
  AND(D472=""Saída"", J472=""Sangria""),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2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270" t="str">
        <f>IFERROR(__xludf.DUMMYFUNCTION("IF(
  AND(D473=""Saída"", J473=""Sangria""),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74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270" t="str">
        <f>IFERROR(__xludf.DUMMYFUNCTION("IF(
  AND(D474=""Saída"", J474=""Sangria""),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2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270" t="str">
        <f>IFERROR(__xludf.DUMMYFUNCTION("IF(
  AND(D475=""Saída"", J475=""Sangria""),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74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270" t="str">
        <f>IFERROR(__xludf.DUMMYFUNCTION("IF(
  AND(D476=""Saída"", J476=""Sangria""),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2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270" t="str">
        <f>IFERROR(__xludf.DUMMYFUNCTION("IF(
  AND(D477=""Saída"", J477=""Sangria""),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74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270" t="str">
        <f>IFERROR(__xludf.DUMMYFUNCTION("IF(
  AND(D478=""Saída"", J478=""Sangria""),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2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270" t="str">
        <f>IFERROR(__xludf.DUMMYFUNCTION("IF(
  AND(D479=""Saída"", J479=""Sangria""),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74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270" t="str">
        <f>IFERROR(__xludf.DUMMYFUNCTION("IF(
  AND(D480=""Saída"", J480=""Sangria""),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2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270" t="str">
        <f>IFERROR(__xludf.DUMMYFUNCTION("IF(
  AND(D481=""Saída"", J481=""Sangria""),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74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270" t="str">
        <f>IFERROR(__xludf.DUMMYFUNCTION("IF(
  AND(D482=""Saída"", J482=""Sangria""),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2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270" t="str">
        <f>IFERROR(__xludf.DUMMYFUNCTION("IF(
  AND(D483=""Saída"", J483=""Sangria""),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74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270" t="str">
        <f>IFERROR(__xludf.DUMMYFUNCTION("IF(
  AND(D484=""Saída"", J484=""Sangria""),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2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270" t="str">
        <f>IFERROR(__xludf.DUMMYFUNCTION("IF(
  AND(D485=""Saída"", J485=""Sangria""),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74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270" t="str">
        <f>IFERROR(__xludf.DUMMYFUNCTION("IF(
  AND(D486=""Saída"", J486=""Sangria""),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2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270" t="str">
        <f>IFERROR(__xludf.DUMMYFUNCTION("IF(
  AND(D487=""Saída"", J487=""Sangria""),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74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270" t="str">
        <f>IFERROR(__xludf.DUMMYFUNCTION("IF(
  AND(D488=""Saída"", J488=""Sangria""),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2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270" t="str">
        <f>IFERROR(__xludf.DUMMYFUNCTION("IF(
  AND(D489=""Saída"", J489=""Sangria""),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74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270" t="str">
        <f>IFERROR(__xludf.DUMMYFUNCTION("IF(
  AND(D490=""Saída"", J490=""Sangria""),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2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270" t="str">
        <f>IFERROR(__xludf.DUMMYFUNCTION("IF(
  AND(D491=""Saída"", J491=""Sangria""),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74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270" t="str">
        <f>IFERROR(__xludf.DUMMYFUNCTION("IF(
  AND(D492=""Saída"", J492=""Sangria""),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2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270" t="str">
        <f>IFERROR(__xludf.DUMMYFUNCTION("IF(
  AND(D493=""Saída"", J493=""Sangria""),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74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270" t="str">
        <f>IFERROR(__xludf.DUMMYFUNCTION("IF(
  AND(D494=""Saída"", J494=""Sangria""),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2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270" t="str">
        <f>IFERROR(__xludf.DUMMYFUNCTION("IF(
  AND(D495=""Saída"", J495=""Sangria""),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74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270" t="str">
        <f>IFERROR(__xludf.DUMMYFUNCTION("IF(
  AND(D496=""Saída"", J496=""Sangria""),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2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270" t="str">
        <f>IFERROR(__xludf.DUMMYFUNCTION("IF(
  AND(D497=""Saída"", J497=""Sangria""),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74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270" t="str">
        <f>IFERROR(__xludf.DUMMYFUNCTION("IF(
  AND(D498=""Saída"", J498=""Sangria""),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2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270" t="str">
        <f>IFERROR(__xludf.DUMMYFUNCTION("IF(
  AND(D499=""Saída"", J499=""Sangria""),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74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270" t="str">
        <f>IFERROR(__xludf.DUMMYFUNCTION("IF(
  AND(D500=""Saída"", J500=""Sangria""),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2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270" t="str">
        <f>IFERROR(__xludf.DUMMYFUNCTION("IF(
  AND(D501=""Saída"", J501=""Sangria""),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74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270" t="str">
        <f>IFERROR(__xludf.DUMMYFUNCTION("IF(
  AND(D502=""Saída"", J502=""Sangria""),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2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270" t="str">
        <f>IFERROR(__xludf.DUMMYFUNCTION("IF(
  AND(D503=""Saída"", J503=""Sangria""),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74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270" t="str">
        <f>IFERROR(__xludf.DUMMYFUNCTION("IF(
  AND(D504=""Saída"", J504=""Sangria""),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2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5"/>
      <c r="B505" s="320"/>
      <c r="C505" s="255"/>
      <c r="D505" s="190"/>
      <c r="E505" s="257"/>
      <c r="F505" s="190"/>
      <c r="G505" s="258"/>
      <c r="H505" s="190"/>
      <c r="I505" s="190"/>
      <c r="J505" s="189"/>
      <c r="K505" s="189"/>
      <c r="L505" s="270" t="str">
        <f>IFERROR(__xludf.DUMMYFUNCTION("IF(
  AND(D505=""Saída"", J505=""Sangria""),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74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5"/>
      <c r="B506" s="320"/>
      <c r="C506" s="255"/>
      <c r="D506" s="190"/>
      <c r="E506" s="257"/>
      <c r="F506" s="190"/>
      <c r="G506" s="258"/>
      <c r="H506" s="190"/>
      <c r="I506" s="190"/>
      <c r="J506" s="189"/>
      <c r="K506" s="189"/>
      <c r="L506" s="270" t="str">
        <f>IFERROR(__xludf.DUMMYFUNCTION("IF(
  AND(D506=""Saída"", J506=""Sangria""),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2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5"/>
      <c r="B507" s="320"/>
      <c r="C507" s="255"/>
      <c r="D507" s="190"/>
      <c r="E507" s="257"/>
      <c r="F507" s="190"/>
      <c r="G507" s="258"/>
      <c r="H507" s="190"/>
      <c r="I507" s="190"/>
      <c r="J507" s="189"/>
      <c r="K507" s="189"/>
      <c r="L507" s="270" t="str">
        <f>IFERROR(__xludf.DUMMYFUNCTION("IF(
  AND(D507=""Saída"", J507=""Sangria""),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74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7:R37"/>
    <mergeCell ref="O59:T60"/>
    <mergeCell ref="S61:T61"/>
    <mergeCell ref="O106:V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52:U152"/>
    <mergeCell ref="S153:U153"/>
    <mergeCell ref="S154:U154"/>
    <mergeCell ref="S155:U155"/>
    <mergeCell ref="S156:U156"/>
    <mergeCell ref="S157:U157"/>
    <mergeCell ref="S158:U158"/>
    <mergeCell ref="S145:U145"/>
    <mergeCell ref="S146:U146"/>
    <mergeCell ref="S147:U147"/>
    <mergeCell ref="S148:U148"/>
    <mergeCell ref="S149:U149"/>
    <mergeCell ref="S150:U150"/>
    <mergeCell ref="S151:U151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7:W37"/>
  </mergeCells>
  <conditionalFormatting sqref="E29:E213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W4 L11 D20 O20:W20 O38:W38 U58:W58">
    <cfRule type="cellIs" dxfId="6" priority="10" operator="greaterThanOrEqual">
      <formula>500</formula>
    </cfRule>
  </conditionalFormatting>
  <conditionalFormatting sqref="L4:W4 L11 D20 O20:W20 O38:W38 U58:W58">
    <cfRule type="cellIs" dxfId="7" priority="11" operator="between">
      <formula>400</formula>
      <formula>500</formula>
    </cfRule>
  </conditionalFormatting>
  <conditionalFormatting sqref="E29:E507">
    <cfRule type="containsText" dxfId="9" priority="12" operator="containsText" text="R$">
      <formula>NOT(ISERROR(SEARCH(("R$"),(E29))))</formula>
    </cfRule>
  </conditionalFormatting>
  <conditionalFormatting sqref="B29:B60 C29:K507 B62:B507">
    <cfRule type="expression" dxfId="5" priority="13">
      <formula>and($J$29:$J$504="Sangria",$D$29:$D$504="Saída")</formula>
    </cfRule>
  </conditionalFormatting>
  <conditionalFormatting sqref="K29:K507">
    <cfRule type="expression" dxfId="10" priority="14">
      <formula>or($J$29:$J$218="Compra Moedas",$J$29:$J$218="Cortesias",$J$29:$J$218="Troco")</formula>
    </cfRule>
  </conditionalFormatting>
  <conditionalFormatting sqref="K29:K507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7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1">
      <formula>and($C$29:$C$218="",or($D$29:$D$218="Entrada",$D$29:$D$218="Saída"))</formula>
    </cfRule>
  </conditionalFormatting>
  <conditionalFormatting sqref="I29:I507">
    <cfRule type="expression" dxfId="8" priority="22">
      <formula>and(K29 = "",or(J29="Consumo",J29="Adiantamento"))</formula>
    </cfRule>
  </conditionalFormatting>
  <conditionalFormatting sqref="M29:M507">
    <cfRule type="cellIs" dxfId="8" priority="23" operator="equal">
      <formula>"Não Encontrada"</formula>
    </cfRule>
  </conditionalFormatting>
  <conditionalFormatting sqref="L29:L507">
    <cfRule type="cellIs" dxfId="8" priority="24" operator="equal">
      <formula>"Caixa Sangria"</formula>
    </cfRule>
  </conditionalFormatting>
  <dataValidations>
    <dataValidation type="list" allowBlank="1" showErrorMessage="1" sqref="K29:K507">
      <formula1>'ABRIL 2026'!$B$4:$B$16</formula1>
    </dataValidation>
    <dataValidation type="list" allowBlank="1" showErrorMessage="1" sqref="J29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3.25"/>
    <col customWidth="1" min="15" max="15" width="10.13"/>
    <col customWidth="1" min="16" max="16" width="12.0"/>
    <col customWidth="1" min="17" max="17" width="12.75"/>
    <col customWidth="1" min="18" max="18" width="14.63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26"/>
      <c r="O2" s="30" t="s">
        <v>1840</v>
      </c>
      <c r="P2" s="28"/>
      <c r="Q2" s="28"/>
      <c r="R2" s="28"/>
      <c r="S2" s="28"/>
      <c r="T2" s="28"/>
      <c r="U2" s="28"/>
      <c r="V2" s="28"/>
      <c r="W2" s="29"/>
    </row>
    <row r="3">
      <c r="A3" s="31" t="s">
        <v>1847</v>
      </c>
      <c r="B3" s="32"/>
      <c r="C3" s="33" t="str">
        <f>B4</f>
        <v>Marcelo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/>
      </c>
      <c r="J3" s="32"/>
      <c r="K3" s="34" t="str">
        <f>B8</f>
        <v/>
      </c>
      <c r="L3" s="35"/>
      <c r="M3" s="36"/>
      <c r="N3" s="36"/>
      <c r="O3" s="37" t="str">
        <f>B4</f>
        <v>Marcelo</v>
      </c>
      <c r="P3" s="28"/>
      <c r="Q3" s="28"/>
      <c r="R3" s="29"/>
      <c r="S3" s="38"/>
      <c r="T3" s="39" t="str">
        <f>B5</f>
        <v>Mariane</v>
      </c>
      <c r="U3" s="28"/>
      <c r="V3" s="28"/>
      <c r="W3" s="29"/>
    </row>
    <row r="4" ht="15.75" customHeight="1">
      <c r="A4" s="40" t="s">
        <v>132</v>
      </c>
      <c r="B4" s="41" t="s">
        <v>6576</v>
      </c>
      <c r="C4" s="42" t="s">
        <v>1900</v>
      </c>
      <c r="D4" s="43">
        <f>SUMIFS(N29:N504,J29:J504,C4,K29:K504,C3)+SUMIF(Q62:Q104,A4,R62:R104)+D9</f>
        <v>0</v>
      </c>
      <c r="E4" s="44" t="s">
        <v>1900</v>
      </c>
      <c r="F4" s="43">
        <f>SUMIFS(N29:N504,J29:J504,E4,K29:K504,E3)+SUMIF(Q62:Q104,A5,R62:R104)+F9</f>
        <v>0</v>
      </c>
      <c r="G4" s="44" t="s">
        <v>1900</v>
      </c>
      <c r="H4" s="43">
        <f>SUMIFS(N29:N504,J29:J504,C4,K29:K504,G3)+SUMIF(Q62:Q104,A6,R62:R104)+H9</f>
        <v>0</v>
      </c>
      <c r="I4" s="44" t="s">
        <v>1900</v>
      </c>
      <c r="J4" s="43">
        <f>SUMIFS(N29:N504,J29:J504,C4,K29:K504,I3)+SUMIF(Q62:Q104,A7,R62:R104)+J9</f>
        <v>0</v>
      </c>
      <c r="K4" s="44" t="s">
        <v>1900</v>
      </c>
      <c r="L4" s="45">
        <f>SUMIFS(N29:N504,J29:J504,C4,K29:K504,K3)+SUMIF(Q62:Q104,A8,R62:R104)+L9</f>
        <v>0</v>
      </c>
      <c r="M4" s="26"/>
      <c r="N4" s="26"/>
      <c r="O4" s="46" t="str">
        <f>IFERROR(__xludf.DUMMYFUNCTION("query(C28:L507,""select Col1,Col3,Col8,Col9 where (Col8 = 'Adiantamento' or Col8 = 'Consumo') and Col9 = '""&amp;B4&amp;""'"",1)"),"Data")</f>
        <v>Data</v>
      </c>
      <c r="P4" s="47" t="str">
        <f>IFERROR(__xludf.DUMMYFUNCTION("""COMPUTED_VALUE"""),"Valor ")</f>
        <v>Valor </v>
      </c>
      <c r="Q4" s="47" t="str">
        <f>IFERROR(__xludf.DUMMYFUNCTION("""COMPUTED_VALUE"""),"Tipo")</f>
        <v>Tipo</v>
      </c>
      <c r="R4" s="48" t="str">
        <f>IFERROR(__xludf.DUMMYFUNCTION("""COMPUTED_VALUE"""),"Funcionário")</f>
        <v>Funcionário</v>
      </c>
      <c r="S4" s="49"/>
      <c r="T4" s="50" t="str">
        <f>IFERROR(__xludf.DUMMYFUNCTION("query(C28:L507,""select Col1,Col3,Col8,Col9 where (Col8 = 'Adiantamento' or Col8 = 'Consumo') and Col9 = '""&amp;B5&amp;""'"",1)"),"Data")</f>
        <v>Data</v>
      </c>
      <c r="U4" s="50" t="str">
        <f>IFERROR(__xludf.DUMMYFUNCTION("""COMPUTED_VALUE"""),"Valor ")</f>
        <v>Valor </v>
      </c>
      <c r="V4" s="50" t="str">
        <f>IFERROR(__xludf.DUMMYFUNCTION("""COMPUTED_VALUE"""),"Tipo")</f>
        <v>Tipo</v>
      </c>
      <c r="W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SUMIFS(N29:N504,J29:J504,C5,K29:K504,C3)</f>
        <v>0</v>
      </c>
      <c r="E5" s="44" t="s">
        <v>2019</v>
      </c>
      <c r="F5" s="43">
        <f>SUMIFS(N29:N504,J29:J504,C5,K29:K504,E3)</f>
        <v>0</v>
      </c>
      <c r="G5" s="44" t="s">
        <v>2019</v>
      </c>
      <c r="H5" s="43">
        <f>SUMIFS(N29:N504,J29:J504,C5,K29:K504,G3)</f>
        <v>11.32</v>
      </c>
      <c r="I5" s="44" t="s">
        <v>2019</v>
      </c>
      <c r="J5" s="43">
        <f>SUMIFS(N29:N504,J29:J504,C5,K29:K504,I3)</f>
        <v>0</v>
      </c>
      <c r="K5" s="44" t="s">
        <v>2019</v>
      </c>
      <c r="L5" s="45">
        <f>SUMIFS(N29:N504,J29:J504,C5,K29:K504,K3)</f>
        <v>0</v>
      </c>
      <c r="M5" s="26"/>
      <c r="N5" s="26"/>
      <c r="O5" s="52"/>
      <c r="P5" s="53"/>
      <c r="Q5" s="53"/>
      <c r="R5" s="54"/>
      <c r="S5" s="55"/>
      <c r="T5" s="53"/>
      <c r="U5" s="53"/>
      <c r="V5" s="53"/>
      <c r="W5" s="54"/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0</v>
      </c>
      <c r="G6" s="44" t="s">
        <v>2079</v>
      </c>
      <c r="H6" s="43">
        <f>H5*0.8</f>
        <v>9.056</v>
      </c>
      <c r="I6" s="44" t="s">
        <v>2079</v>
      </c>
      <c r="J6" s="43">
        <f>J5*0.8</f>
        <v>0</v>
      </c>
      <c r="K6" s="57" t="s">
        <v>2079</v>
      </c>
      <c r="L6" s="45">
        <f>L5*0.8</f>
        <v>0</v>
      </c>
      <c r="M6" s="26"/>
      <c r="N6" s="26"/>
      <c r="O6" s="52"/>
      <c r="P6" s="53"/>
      <c r="Q6" s="53"/>
      <c r="R6" s="54"/>
      <c r="S6" s="55"/>
      <c r="T6" s="53"/>
      <c r="U6" s="53"/>
      <c r="V6" s="53"/>
      <c r="W6" s="54"/>
    </row>
    <row r="7" ht="14.25" customHeight="1"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62"/>
      <c r="O7" s="52"/>
      <c r="P7" s="53"/>
      <c r="Q7" s="53"/>
      <c r="R7" s="54"/>
      <c r="S7" s="55"/>
      <c r="T7" s="53"/>
      <c r="U7" s="53"/>
      <c r="V7" s="53"/>
      <c r="W7" s="54"/>
    </row>
    <row r="8" ht="14.25" customHeight="1">
      <c r="B8" s="41"/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69"/>
      <c r="O8" s="52"/>
      <c r="P8" s="53"/>
      <c r="Q8" s="53"/>
      <c r="R8" s="54"/>
      <c r="S8" s="55"/>
      <c r="T8" s="53"/>
      <c r="U8" s="53"/>
      <c r="V8" s="53"/>
      <c r="W8" s="54"/>
    </row>
    <row r="9">
      <c r="A9" s="40"/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69"/>
      <c r="O9" s="52"/>
      <c r="P9" s="53"/>
      <c r="Q9" s="53"/>
      <c r="R9" s="54"/>
      <c r="S9" s="55"/>
      <c r="T9" s="53"/>
      <c r="U9" s="53"/>
      <c r="V9" s="53"/>
      <c r="W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25"/>
      <c r="O10" s="52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1900</v>
      </c>
      <c r="D11" s="85">
        <f>SUMIFS(N29:N514,J29:J514,C11,K29:K514,C10)+SUMIF(Q62:Q104,A9,R62:R104)+D16</f>
        <v>0</v>
      </c>
      <c r="E11" s="86" t="s">
        <v>1900</v>
      </c>
      <c r="F11" s="85">
        <f>SUMIFS(N29:N514,J29:J514,E11,K29:K514,E10)+SUMIF(Q62:Q104,A10,R62:R104)+F16</f>
        <v>0</v>
      </c>
      <c r="G11" s="86" t="s">
        <v>1900</v>
      </c>
      <c r="H11" s="85">
        <f>SUMIFS(N29:N514,J29:J514,C11,K29:K514,G10)+SUMIF(Q62:Q104,A11,R62:R104)+H16</f>
        <v>0</v>
      </c>
      <c r="I11" s="86" t="s">
        <v>1900</v>
      </c>
      <c r="J11" s="85">
        <f>SUMIFS(N29:N514,J29:J514,C11,K29:K514,I10)+SUMIF(Q62:Q104,A11,R62:R104)+J16</f>
        <v>0</v>
      </c>
      <c r="K11" s="86" t="s">
        <v>1900</v>
      </c>
      <c r="L11" s="87">
        <f>SUMIFS(N29:N514,J29:J514,C11,K29:K514,K10)+SUMIF(Q62:Q104,A13,R62:R104)+L16</f>
        <v>0</v>
      </c>
      <c r="M11" s="25"/>
      <c r="N11" s="25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2019</v>
      </c>
      <c r="D12" s="85">
        <f>SUMIFS(N36:N514,J36:J514,C12,K36:K514,C10)</f>
        <v>0</v>
      </c>
      <c r="E12" s="86" t="s">
        <v>2019</v>
      </c>
      <c r="F12" s="85">
        <f>SUMIFS(N29:N514,J29:J514,C12,K29:K514,E10)</f>
        <v>0</v>
      </c>
      <c r="G12" s="86" t="s">
        <v>2019</v>
      </c>
      <c r="H12" s="85">
        <f>SUMIFS(N36:N514,J36:J514,C12,K36:K514,G10)</f>
        <v>0</v>
      </c>
      <c r="I12" s="86" t="s">
        <v>2019</v>
      </c>
      <c r="J12" s="85">
        <f>SUMIFS(N29:N514,J29:J514,C12,K29:K514,I10)</f>
        <v>0</v>
      </c>
      <c r="K12" s="86" t="s">
        <v>2019</v>
      </c>
      <c r="L12" s="87">
        <f>SUMIFS(N29:N514,J29:J514,C12,K29:K514,K10)</f>
        <v>0</v>
      </c>
      <c r="M12" s="25"/>
      <c r="N12" s="25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25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25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25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25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25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25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4"/>
      <c r="B19" s="24"/>
      <c r="C19" s="112"/>
      <c r="D19" s="113"/>
      <c r="E19" s="112"/>
      <c r="F19" s="114"/>
      <c r="G19" s="266" t="s">
        <v>6509</v>
      </c>
      <c r="H19" s="116">
        <f>SUMIF(L29:L499,G19,N29:N499)</f>
        <v>0</v>
      </c>
      <c r="I19" s="117" t="s">
        <v>2436</v>
      </c>
      <c r="J19" s="118" t="s">
        <v>2438</v>
      </c>
      <c r="K19" s="119" t="s">
        <v>2440</v>
      </c>
      <c r="L19" s="113"/>
      <c r="M19" s="25"/>
      <c r="N19" s="25"/>
      <c r="O19" s="123" t="str">
        <f>B6</f>
        <v>Isabeli Grassmann</v>
      </c>
      <c r="P19" s="106"/>
      <c r="Q19" s="106"/>
      <c r="R19" s="124"/>
      <c r="S19" s="122"/>
      <c r="T19" s="123" t="str">
        <f>B7</f>
        <v/>
      </c>
      <c r="U19" s="106"/>
      <c r="V19" s="106"/>
      <c r="W19" s="124"/>
    </row>
    <row r="20">
      <c r="A20" s="125"/>
      <c r="B20" s="125"/>
      <c r="C20" s="126" t="s">
        <v>1900</v>
      </c>
      <c r="D20" s="127">
        <f>SUMIFS(N29:N504,J29:J504,C20,K29:K504,C19)+SUMIF(Q68:Q104,A9,R68:R104)+D25</f>
        <v>0</v>
      </c>
      <c r="E20" s="126" t="s">
        <v>1900</v>
      </c>
      <c r="F20" s="128">
        <f>SUMIFS(N29:N504,J29:J504,C20,K29:K504,E19)+SUMIF(Q68:Q104,A10,R68:R104)+F25</f>
        <v>0</v>
      </c>
      <c r="G20" s="129" t="s">
        <v>2473</v>
      </c>
      <c r="H20" s="130">
        <v>8450.0</v>
      </c>
      <c r="I20" s="131">
        <f>SUMIF(J29:J504,I19,N29:N504)</f>
        <v>0</v>
      </c>
      <c r="J20" s="132">
        <f>SUMIF(J29:J504,J19,N29:N504)</f>
        <v>319.88</v>
      </c>
      <c r="K20" s="133" t="s">
        <v>2491</v>
      </c>
      <c r="L20" s="134"/>
      <c r="M20" s="25"/>
      <c r="N20" s="25"/>
      <c r="O20" s="50" t="str">
        <f>IFERROR(__xludf.DUMMYFUNCTION("query(C28:L507,""select Col1,Col3,Col8,Col9 where (Col8 = 'Adiantamento' or Col8 = 'Consumo') and Col9 = '""&amp;B6&amp;""'"",1)"),"Data")</f>
        <v>Data</v>
      </c>
      <c r="P20" s="50" t="str">
        <f>IFERROR(__xludf.DUMMYFUNCTION("""COMPUTED_VALUE"""),"Valor ")</f>
        <v>Valor </v>
      </c>
      <c r="Q20" s="50" t="str">
        <f>IFERROR(__xludf.DUMMYFUNCTION("""COMPUTED_VALUE"""),"Tipo")</f>
        <v>Tipo</v>
      </c>
      <c r="R20" s="51" t="str">
        <f>IFERROR(__xludf.DUMMYFUNCTION("""COMPUTED_VALUE"""),"Funcionário")</f>
        <v>Funcionário</v>
      </c>
      <c r="S20" s="49"/>
      <c r="T20" s="50" t="str">
        <f>IFERROR(__xludf.DUMMYFUNCTION("query(C28:L507,""select Col1,Col3,Col8,Col9 where (Col8 = 'Adiantamento' or Col8 = 'Consumo') and Col9 = '""&amp;B7&amp;""'"",1)"),"Data")</f>
        <v>Data</v>
      </c>
      <c r="U20" s="50" t="str">
        <f>IFERROR(__xludf.DUMMYFUNCTION("""COMPUTED_VALUE"""),"Valor ")</f>
        <v>Valor </v>
      </c>
      <c r="V20" s="50" t="str">
        <f>IFERROR(__xludf.DUMMYFUNCTION("""COMPUTED_VALUE"""),"Tipo")</f>
        <v>Tipo</v>
      </c>
      <c r="W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SUMIFS(N29:N504,J29:J504,C21,K29:K504,C19)</f>
        <v>0</v>
      </c>
      <c r="E21" s="126" t="s">
        <v>2019</v>
      </c>
      <c r="F21" s="128">
        <f>SUMIFS(N29:N504,J29:J504,E21,K29:K504,E19)</f>
        <v>0</v>
      </c>
      <c r="G21" s="86" t="s">
        <v>2522</v>
      </c>
      <c r="H21" s="127">
        <f>SUMIFS(N29:N504,D29:D504,"Saída",J29:J504,"Sangria")</f>
        <v>12490</v>
      </c>
      <c r="I21" s="138"/>
      <c r="J21" s="139"/>
      <c r="K21" s="133" t="s">
        <v>2530</v>
      </c>
      <c r="L21" s="134"/>
      <c r="M21" s="25"/>
      <c r="N21" s="25"/>
      <c r="O21" s="238">
        <f>IFERROR(__xludf.DUMMYFUNCTION("""COMPUTED_VALUE"""),46139.72920138889)</f>
        <v>46139.7292</v>
      </c>
      <c r="P21" s="53" t="str">
        <f>IFERROR(__xludf.DUMMYFUNCTION("""COMPUTED_VALUE"""),"R$ 11,32")</f>
        <v>R$ 11,32</v>
      </c>
      <c r="Q21" s="53" t="str">
        <f>IFERROR(__xludf.DUMMYFUNCTION("""COMPUTED_VALUE"""),"Consumo")</f>
        <v>Consumo</v>
      </c>
      <c r="R21" s="54" t="str">
        <f>IFERROR(__xludf.DUMMYFUNCTION("""COMPUTED_VALUE"""),"Isabeli Grassmann")</f>
        <v>Isabeli Grassmann</v>
      </c>
      <c r="S21" s="55"/>
      <c r="T21" s="53"/>
      <c r="U21" s="53"/>
      <c r="V21" s="53"/>
      <c r="W21" s="54"/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SUMIFS(N29:N504,D29:D504,"Entrada",J29:J504,"Sangria")</f>
        <v>0</v>
      </c>
      <c r="I22" s="144" t="s">
        <v>2556</v>
      </c>
      <c r="J22" s="145"/>
      <c r="K22" s="133" t="s">
        <v>2559</v>
      </c>
      <c r="L22" s="134"/>
      <c r="M22" s="25"/>
      <c r="N22" s="25"/>
      <c r="O22" s="53"/>
      <c r="P22" s="53"/>
      <c r="Q22" s="53"/>
      <c r="R22" s="54"/>
      <c r="S22" s="55"/>
      <c r="T22" s="53"/>
      <c r="U22" s="53"/>
      <c r="V22" s="53"/>
      <c r="W22" s="54"/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SUMIF(J29:J504,I22,N29:N504)</f>
        <v>0</v>
      </c>
      <c r="J23" s="152"/>
      <c r="K23" s="133" t="s">
        <v>2578</v>
      </c>
      <c r="L23" s="134"/>
      <c r="M23" s="25"/>
      <c r="N23" s="25"/>
      <c r="O23" s="53"/>
      <c r="P23" s="53"/>
      <c r="Q23" s="53"/>
      <c r="R23" s="54"/>
      <c r="S23" s="55"/>
      <c r="T23" s="53"/>
      <c r="U23" s="53"/>
      <c r="V23" s="53"/>
      <c r="W23" s="54"/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SUMIF(L29:L504,G24,N29:N504)</f>
        <v>0</v>
      </c>
      <c r="I24" s="157" t="s">
        <v>2593</v>
      </c>
      <c r="J24" s="150"/>
      <c r="K24" s="133" t="s">
        <v>2594</v>
      </c>
      <c r="L24" s="134"/>
      <c r="M24" s="25"/>
      <c r="N24" s="25"/>
      <c r="O24" s="53"/>
      <c r="P24" s="53"/>
      <c r="Q24" s="53"/>
      <c r="R24" s="54"/>
      <c r="S24" s="55"/>
      <c r="T24" s="53"/>
      <c r="U24" s="53"/>
      <c r="V24" s="53"/>
      <c r="W24" s="54"/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SUMIF(L29:L504,G25,N29:N504)</f>
        <v>0</v>
      </c>
      <c r="I25" s="151">
        <f>SUMIF(J29:J504,I24,N29:N504)</f>
        <v>0</v>
      </c>
      <c r="J25" s="152"/>
      <c r="K25" s="162"/>
      <c r="L25" s="163"/>
      <c r="M25" s="26"/>
      <c r="N25" s="26"/>
      <c r="O25" s="53"/>
      <c r="P25" s="53"/>
      <c r="Q25" s="53"/>
      <c r="R25" s="54"/>
      <c r="S25" s="55"/>
      <c r="T25" s="53"/>
      <c r="U25" s="53"/>
      <c r="V25" s="53"/>
      <c r="W25" s="54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79"/>
      <c r="P26" s="79"/>
      <c r="Q26" s="79"/>
      <c r="R26" s="80"/>
      <c r="S26" s="81"/>
      <c r="T26" s="79"/>
      <c r="U26" s="79"/>
      <c r="V26" s="79"/>
      <c r="W26" s="80"/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04"/>
      <c r="N27" s="167"/>
      <c r="O27" s="89"/>
      <c r="P27" s="89"/>
      <c r="Q27" s="89"/>
      <c r="R27" s="90"/>
      <c r="S27" s="91"/>
      <c r="T27" s="89"/>
      <c r="U27" s="89"/>
      <c r="V27" s="89"/>
      <c r="W27" s="90"/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268" t="s">
        <v>2647</v>
      </c>
      <c r="M28" s="269" t="s">
        <v>8</v>
      </c>
      <c r="N28" s="167"/>
      <c r="O28" s="89"/>
      <c r="P28" s="89"/>
      <c r="Q28" s="89"/>
      <c r="R28" s="90"/>
      <c r="S28" s="91"/>
      <c r="T28" s="89"/>
      <c r="U28" s="89"/>
      <c r="V28" s="89"/>
      <c r="W28" s="90"/>
    </row>
    <row r="29" ht="14.25" customHeight="1">
      <c r="A29" s="178"/>
      <c r="B29" s="12">
        <v>2151286.0</v>
      </c>
      <c r="C29" s="13">
        <v>46138.922847222224</v>
      </c>
      <c r="D29" s="179" t="s">
        <v>81</v>
      </c>
      <c r="E29" s="180" t="s">
        <v>7280</v>
      </c>
      <c r="F29" s="181"/>
      <c r="G29" s="179" t="s">
        <v>6779</v>
      </c>
      <c r="H29" s="182"/>
      <c r="I29" s="182"/>
      <c r="J29" s="183" t="s">
        <v>2019</v>
      </c>
      <c r="K29" s="183" t="s">
        <v>6745</v>
      </c>
      <c r="L29" s="270" t="str">
        <f>IFERROR(__xludf.DUMMYFUNCTION("IF(
  AND(D29=""Saída"", J29=""Sangria""),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IFERROR(__xludf.DUMMYFUNCTION("ifna(VALUE(REGEXEXTRACT(E29,""[0-9.]+[,]+[0-9]+"")))"),16.1)</f>
        <v>16.1</v>
      </c>
      <c r="O29" s="89"/>
      <c r="P29" s="89"/>
      <c r="Q29" s="89"/>
      <c r="R29" s="90"/>
      <c r="S29" s="91"/>
      <c r="T29" s="89"/>
      <c r="U29" s="89"/>
      <c r="V29" s="89"/>
      <c r="W29" s="90"/>
    </row>
    <row r="30" ht="14.25" customHeight="1">
      <c r="A30" s="178"/>
      <c r="B30" s="12">
        <v>2151372.0</v>
      </c>
      <c r="C30" s="13">
        <v>46138.929143518515</v>
      </c>
      <c r="D30" s="179" t="s">
        <v>81</v>
      </c>
      <c r="E30" s="180" t="s">
        <v>7281</v>
      </c>
      <c r="F30" s="181"/>
      <c r="G30" s="179" t="s">
        <v>7282</v>
      </c>
      <c r="H30" s="186"/>
      <c r="I30" s="186"/>
      <c r="J30" s="187" t="s">
        <v>1782</v>
      </c>
      <c r="K30" s="187"/>
      <c r="L30" s="270" t="str">
        <f>IFERROR(__xludf.DUMMYFUNCTION("IF(
  AND(D30=""Saída"", J30=""Sangria""),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2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85">
        <f>IFERROR(__xludf.DUMMYFUNCTION("ifna(VALUE(REGEXEXTRACT(E30,""[0-9.]+[,]+[0-9]+"")))"),123.0)</f>
        <v>123</v>
      </c>
      <c r="O30" s="89"/>
      <c r="P30" s="89"/>
      <c r="Q30" s="89"/>
      <c r="R30" s="90"/>
      <c r="S30" s="91"/>
      <c r="T30" s="89"/>
      <c r="U30" s="89"/>
      <c r="V30" s="89"/>
      <c r="W30" s="90"/>
    </row>
    <row r="31" ht="14.25" customHeight="1">
      <c r="A31" s="178"/>
      <c r="B31" s="12">
        <v>2151376.0</v>
      </c>
      <c r="C31" s="13">
        <v>46138.92932870371</v>
      </c>
      <c r="D31" s="179" t="s">
        <v>81</v>
      </c>
      <c r="E31" s="180" t="s">
        <v>6786</v>
      </c>
      <c r="F31" s="181"/>
      <c r="G31" s="179" t="s">
        <v>7283</v>
      </c>
      <c r="H31" s="186"/>
      <c r="I31" s="186"/>
      <c r="J31" s="187" t="s">
        <v>1782</v>
      </c>
      <c r="K31" s="187"/>
      <c r="L31" s="270" t="str">
        <f>IFERROR(__xludf.DUMMYFUNCTION("IF(
  AND(D31=""Saída"", J31=""Sangria""),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3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85">
        <f>IFERROR(__xludf.DUMMYFUNCTION("ifna(VALUE(REGEXEXTRACT(E31,""[0-9.]+[,]+[0-9]+"")))"),95.0)</f>
        <v>95</v>
      </c>
      <c r="O31" s="89"/>
      <c r="P31" s="89"/>
      <c r="Q31" s="89"/>
      <c r="R31" s="90"/>
      <c r="S31" s="91"/>
      <c r="T31" s="89"/>
      <c r="U31" s="89"/>
      <c r="V31" s="89"/>
      <c r="W31" s="90"/>
    </row>
    <row r="32" ht="14.25" customHeight="1">
      <c r="A32" s="178"/>
      <c r="B32" s="12">
        <v>2151385.0</v>
      </c>
      <c r="C32" s="13">
        <v>46138.92967592592</v>
      </c>
      <c r="D32" s="179" t="s">
        <v>81</v>
      </c>
      <c r="E32" s="180" t="s">
        <v>7284</v>
      </c>
      <c r="F32" s="181"/>
      <c r="G32" s="179" t="s">
        <v>7124</v>
      </c>
      <c r="H32" s="186"/>
      <c r="I32" s="186"/>
      <c r="J32" s="187" t="s">
        <v>1782</v>
      </c>
      <c r="K32" s="187"/>
      <c r="L32" s="270" t="str">
        <f>IFERROR(__xludf.DUMMYFUNCTION("IF(
  AND(D32=""Saída"", J32=""Sangria""),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272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IFERROR(__xludf.DUMMYFUNCTION("ifna(VALUE(REGEXEXTRACT(E32,""[0-9.]+[,]+[0-9]+"")))"),230.25)</f>
        <v>230.25</v>
      </c>
      <c r="O32" s="89"/>
      <c r="P32" s="89"/>
      <c r="Q32" s="89"/>
      <c r="R32" s="90"/>
      <c r="S32" s="91"/>
      <c r="T32" s="89"/>
      <c r="U32" s="89"/>
      <c r="V32" s="89"/>
      <c r="W32" s="90"/>
    </row>
    <row r="33" ht="14.25" customHeight="1">
      <c r="A33" s="178"/>
      <c r="B33" s="12">
        <v>2151391.0</v>
      </c>
      <c r="C33" s="13">
        <v>46138.93009259259</v>
      </c>
      <c r="D33" s="179" t="s">
        <v>81</v>
      </c>
      <c r="E33" s="180" t="s">
        <v>127</v>
      </c>
      <c r="F33" s="181"/>
      <c r="G33" s="179" t="s">
        <v>381</v>
      </c>
      <c r="H33" s="186"/>
      <c r="I33" s="186"/>
      <c r="J33" s="187" t="s">
        <v>2735</v>
      </c>
      <c r="K33" s="187" t="s">
        <v>6576</v>
      </c>
      <c r="L33" s="270" t="str">
        <f>IFERROR(__xludf.DUMMYFUNCTION("IF(
  AND(D33=""Saída"", J33=""Sangria""),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"),"Confirmada")</f>
        <v>Confirmada</v>
      </c>
      <c r="M33" s="274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IFERROR(__xludf.DUMMYFUNCTION("ifna(VALUE(REGEXEXTRACT(E33,""[0-9.]+[,]+[0-9]+"")))"),250.0)</f>
        <v>250</v>
      </c>
      <c r="O33" s="89"/>
      <c r="P33" s="89"/>
      <c r="Q33" s="89"/>
      <c r="R33" s="90"/>
      <c r="S33" s="91"/>
      <c r="T33" s="89"/>
      <c r="U33" s="89"/>
      <c r="V33" s="89"/>
      <c r="W33" s="90"/>
    </row>
    <row r="34" ht="14.25" customHeight="1">
      <c r="A34" s="178"/>
      <c r="B34" s="12">
        <v>2152456.0</v>
      </c>
      <c r="C34" s="13">
        <v>46139.72920138889</v>
      </c>
      <c r="D34" s="179" t="s">
        <v>81</v>
      </c>
      <c r="E34" s="180" t="s">
        <v>859</v>
      </c>
      <c r="F34" s="181"/>
      <c r="G34" s="179" t="s">
        <v>7178</v>
      </c>
      <c r="H34" s="186"/>
      <c r="I34" s="186"/>
      <c r="J34" s="187" t="s">
        <v>2019</v>
      </c>
      <c r="K34" s="187" t="s">
        <v>2078</v>
      </c>
      <c r="L34" s="270" t="str">
        <f>IFERROR(__xludf.DUMMYFUNCTION("IF(
  AND(D34=""Saída"", J34=""Sangria""),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72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85">
        <f>IFERROR(__xludf.DUMMYFUNCTION("ifna(VALUE(REGEXEXTRACT(E34,""[0-9.]+[,]+[0-9]+"")))"),11.32)</f>
        <v>11.32</v>
      </c>
      <c r="O34" s="109"/>
      <c r="P34" s="109"/>
      <c r="Q34" s="109"/>
      <c r="R34" s="111"/>
      <c r="S34" s="110"/>
      <c r="T34" s="109"/>
      <c r="U34" s="109"/>
      <c r="V34" s="109"/>
      <c r="W34" s="111"/>
    </row>
    <row r="35" ht="18.75" customHeight="1">
      <c r="A35" s="178"/>
      <c r="B35" s="12">
        <v>2153080.0</v>
      </c>
      <c r="C35" s="13">
        <v>46139.92780092593</v>
      </c>
      <c r="D35" s="179" t="s">
        <v>81</v>
      </c>
      <c r="E35" s="180" t="s">
        <v>416</v>
      </c>
      <c r="F35" s="188"/>
      <c r="G35" s="179" t="s">
        <v>128</v>
      </c>
      <c r="H35" s="186"/>
      <c r="I35" s="186"/>
      <c r="J35" s="187" t="s">
        <v>2735</v>
      </c>
      <c r="K35" s="187" t="s">
        <v>6576</v>
      </c>
      <c r="L35" s="270" t="str">
        <f>IFERROR(__xludf.DUMMYFUNCTION("IF(
  AND(D35=""Saída"", J35=""Sangria""),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"),"Confirmada")</f>
        <v>Confirmada</v>
      </c>
      <c r="M35" s="274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IFERROR(__xludf.DUMMYFUNCTION("ifna(VALUE(REGEXEXTRACT(E35,""[0-9.]+[,]+[0-9]+"")))"),100.0)</f>
        <v>100</v>
      </c>
      <c r="O35" s="275"/>
      <c r="P35" s="25"/>
      <c r="Q35" s="25"/>
      <c r="R35" s="25"/>
      <c r="S35" s="110"/>
      <c r="T35" s="25"/>
      <c r="U35" s="25"/>
      <c r="V35" s="25"/>
      <c r="W35" s="25"/>
    </row>
    <row r="36" ht="14.25" customHeight="1">
      <c r="A36" s="178"/>
      <c r="B36" s="12">
        <v>2153805.0</v>
      </c>
      <c r="C36" s="13">
        <v>46140.73121527778</v>
      </c>
      <c r="D36" s="179" t="s">
        <v>81</v>
      </c>
      <c r="E36" s="180" t="s">
        <v>659</v>
      </c>
      <c r="F36" s="181"/>
      <c r="G36" s="179" t="s">
        <v>6838</v>
      </c>
      <c r="H36" s="186"/>
      <c r="I36" s="186"/>
      <c r="J36" s="187" t="s">
        <v>2019</v>
      </c>
      <c r="K36" s="187" t="s">
        <v>6745</v>
      </c>
      <c r="L36" s="270" t="str">
        <f>IFERROR(__xludf.DUMMYFUNCTION("IF(
  AND(D36=""Saída"", J36=""Sangria""),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2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IFERROR(__xludf.DUMMYFUNCTION("ifna(VALUE(REGEXEXTRACT(E36,""[0-9.]+[,]+[0-9]+"")))"),5.0)</f>
        <v>5</v>
      </c>
      <c r="O36" s="25"/>
      <c r="P36" s="25"/>
      <c r="Q36" s="25"/>
      <c r="R36" s="25"/>
      <c r="S36" s="110"/>
      <c r="T36" s="25"/>
      <c r="U36" s="25"/>
      <c r="V36" s="25"/>
      <c r="W36" s="25"/>
    </row>
    <row r="37" ht="14.25" customHeight="1">
      <c r="A37" s="178"/>
      <c r="B37" s="12">
        <v>2154165.0</v>
      </c>
      <c r="C37" s="13">
        <v>46140.89148148148</v>
      </c>
      <c r="D37" s="179" t="s">
        <v>81</v>
      </c>
      <c r="E37" s="180" t="s">
        <v>7285</v>
      </c>
      <c r="F37" s="181"/>
      <c r="G37" s="179" t="s">
        <v>5184</v>
      </c>
      <c r="H37" s="186"/>
      <c r="I37" s="186"/>
      <c r="J37" s="187" t="s">
        <v>3151</v>
      </c>
      <c r="K37" s="187"/>
      <c r="L37" s="270" t="str">
        <f>IFERROR(__xludf.DUMMYFUNCTION("IF(
  AND(D37=""Saída"", J37=""Sangria""),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74" t="str">
        <f>IFERROR(__xludf.DUMMYFUNCTION("IF(J37=""Compra de Mercadorias"",
   IF(
      COUNTIF(ARRAYFORMULA(TRIM(CLEAN(TO_TEXT(Notas!BS:BS)))), TRIM(CLEAN(TO_TEXT(B37)))) &gt; 0,
      ""Encontrada"",
      ""Não Encontrada""
   ),
"""")"),"Não Encontrada")</f>
        <v>Não Encontrada</v>
      </c>
      <c r="N37" s="185">
        <f>IFERROR(__xludf.DUMMYFUNCTION("ifna(VALUE(REGEXEXTRACT(E37,""[0-9.]+[,]+[0-9]+"")))"),5.99)</f>
        <v>5.99</v>
      </c>
      <c r="O37" s="193" t="str">
        <f>B8</f>
        <v/>
      </c>
      <c r="P37" s="106"/>
      <c r="Q37" s="106"/>
      <c r="R37" s="106"/>
      <c r="S37" s="110"/>
      <c r="T37" s="123" t="str">
        <f>B9</f>
        <v/>
      </c>
      <c r="U37" s="106"/>
      <c r="V37" s="106"/>
      <c r="W37" s="124"/>
    </row>
    <row r="38" ht="14.25" customHeight="1">
      <c r="A38" s="178"/>
      <c r="B38" s="12">
        <v>2154166.0</v>
      </c>
      <c r="C38" s="13">
        <v>46140.89184027778</v>
      </c>
      <c r="D38" s="179" t="s">
        <v>81</v>
      </c>
      <c r="E38" s="180" t="s">
        <v>7286</v>
      </c>
      <c r="F38" s="181"/>
      <c r="G38" s="179" t="s">
        <v>7287</v>
      </c>
      <c r="H38" s="186"/>
      <c r="I38" s="186"/>
      <c r="J38" s="187" t="s">
        <v>3151</v>
      </c>
      <c r="K38" s="187"/>
      <c r="L38" s="270" t="str">
        <f>IFERROR(__xludf.DUMMYFUNCTION("IF(
  AND(D38=""Saída"", J38=""Sangria""),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72" t="str">
        <f>IFERROR(__xludf.DUMMYFUNCTION("IF(J38=""Compra de Mercadorias"",
   IF(
      COUNTIF(ARRAYFORMULA(TRIM(CLEAN(TO_TEXT(Notas!BS:BS)))), TRIM(CLEAN(TO_TEXT(B38)))) &gt; 0,
      ""Encontrada"",
      ""Não Encontrada""
   ),
"""")"),"Não Encontrada")</f>
        <v>Não Encontrada</v>
      </c>
      <c r="N38" s="185">
        <f>IFERROR(__xludf.DUMMYFUNCTION("ifna(VALUE(REGEXEXTRACT(E38,""[0-9.]+[,]+[0-9]+"")))"),11.8)</f>
        <v>11.8</v>
      </c>
      <c r="O38" s="46" t="str">
        <f>IFERROR(__xludf.DUMMYFUNCTION("query(C28:L507,""select Col1,Col3,Col8,Col9 where (Col8 = 'Adiantamento' or Col8 = 'Consumo') and Col9 = '""&amp;B8&amp;""'"",1)"),"Data")</f>
        <v>Data</v>
      </c>
      <c r="P38" s="47" t="str">
        <f>IFERROR(__xludf.DUMMYFUNCTION("""COMPUTED_VALUE"""),"Valor ")</f>
        <v>Valor </v>
      </c>
      <c r="Q38" s="47" t="str">
        <f>IFERROR(__xludf.DUMMYFUNCTION("""COMPUTED_VALUE"""),"Tipo")</f>
        <v>Tipo</v>
      </c>
      <c r="R38" s="47" t="str">
        <f>IFERROR(__xludf.DUMMYFUNCTION("""COMPUTED_VALUE"""),"Funcionário")</f>
        <v>Funcionário</v>
      </c>
      <c r="S38" s="49"/>
      <c r="T38" s="50" t="str">
        <f>IFERROR(__xludf.DUMMYFUNCTION("query(C28:L507,""select Col1,Col3,Col8,Col9 where (Col8 = 'Adiantamento' or Col8 = 'Consumo') and Col9 = '""&amp;B9&amp;""'"",1)"),"Data")</f>
        <v>Data</v>
      </c>
      <c r="U38" s="50" t="str">
        <f>IFERROR(__xludf.DUMMYFUNCTION("""COMPUTED_VALUE"""),"Valor ")</f>
        <v>Valor </v>
      </c>
      <c r="V38" s="50" t="str">
        <f>IFERROR(__xludf.DUMMYFUNCTION("""COMPUTED_VALUE"""),"Tipo")</f>
        <v>Tipo</v>
      </c>
      <c r="W38" s="51" t="str">
        <f>IFERROR(__xludf.DUMMYFUNCTION("""COMPUTED_VALUE"""),"Funcionário")</f>
        <v>Funcionário</v>
      </c>
    </row>
    <row r="39" ht="21.75" customHeight="1">
      <c r="A39" s="178"/>
      <c r="B39" s="12">
        <v>2154363.0</v>
      </c>
      <c r="C39" s="13">
        <v>46140.92366898148</v>
      </c>
      <c r="D39" s="179" t="s">
        <v>81</v>
      </c>
      <c r="E39" s="180" t="s">
        <v>7288</v>
      </c>
      <c r="F39" s="188"/>
      <c r="G39" s="179" t="s">
        <v>7289</v>
      </c>
      <c r="H39" s="186"/>
      <c r="I39" s="186"/>
      <c r="J39" s="187" t="s">
        <v>3151</v>
      </c>
      <c r="K39" s="187"/>
      <c r="L39" s="270" t="str">
        <f>IFERROR(__xludf.DUMMYFUNCTION("IF(
  AND(D39=""Saída"", J39=""Sangria""),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74" t="str">
        <f>IFERROR(__xludf.DUMMYFUNCTION("IF(J39=""Compra de Mercadorias"",
   IF(
      COUNTIF(ARRAYFORMULA(TRIM(CLEAN(TO_TEXT(Notas!BS:BS)))), TRIM(CLEAN(TO_TEXT(B39)))) &gt; 0,
      ""Encontrada"",
      ""Não Encontrada""
   ),
"""")"),"Não Encontrada")</f>
        <v>Não Encontrada</v>
      </c>
      <c r="N39" s="185">
        <f>IFERROR(__xludf.DUMMYFUNCTION("ifna(VALUE(REGEXEXTRACT(E39,""[0-9.]+[,]+[0-9]+"")))"),314.12)</f>
        <v>314.12</v>
      </c>
      <c r="O39" s="52"/>
      <c r="P39" s="53"/>
      <c r="Q39" s="53"/>
      <c r="R39" s="53"/>
      <c r="S39" s="55"/>
      <c r="T39" s="53"/>
      <c r="U39" s="53"/>
      <c r="V39" s="53"/>
      <c r="W39" s="54"/>
    </row>
    <row r="40" ht="14.25" customHeight="1">
      <c r="A40" s="178"/>
      <c r="B40" s="12">
        <v>2154386.0</v>
      </c>
      <c r="C40" s="13">
        <v>46140.927152777775</v>
      </c>
      <c r="D40" s="179" t="s">
        <v>81</v>
      </c>
      <c r="E40" s="180" t="s">
        <v>335</v>
      </c>
      <c r="F40" s="181"/>
      <c r="G40" s="179" t="s">
        <v>5356</v>
      </c>
      <c r="H40" s="186"/>
      <c r="I40" s="186"/>
      <c r="J40" s="187" t="s">
        <v>3375</v>
      </c>
      <c r="K40" s="187"/>
      <c r="L40" s="270" t="str">
        <f>IFERROR(__xludf.DUMMYFUNCTION("IF(
  AND(D40=""Saída"", J40=""Sangria""),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72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85">
        <f>IFERROR(__xludf.DUMMYFUNCTION("ifna(VALUE(REGEXEXTRACT(E40,""[0-9.]+[,]+[0-9]+"")))"),10.0)</f>
        <v>10</v>
      </c>
      <c r="O40" s="52"/>
      <c r="P40" s="53"/>
      <c r="Q40" s="53"/>
      <c r="R40" s="53"/>
      <c r="S40" s="55"/>
      <c r="T40" s="53"/>
      <c r="U40" s="53"/>
      <c r="V40" s="53"/>
      <c r="W40" s="54"/>
    </row>
    <row r="41" ht="14.25" customHeight="1">
      <c r="A41" s="178"/>
      <c r="B41" s="12">
        <v>2155612.0</v>
      </c>
      <c r="C41" s="13">
        <v>46141.91868055556</v>
      </c>
      <c r="D41" s="179" t="s">
        <v>81</v>
      </c>
      <c r="E41" s="180" t="s">
        <v>7290</v>
      </c>
      <c r="F41" s="181"/>
      <c r="G41" s="179" t="s">
        <v>7291</v>
      </c>
      <c r="H41" s="186"/>
      <c r="I41" s="186"/>
      <c r="J41" s="187" t="s">
        <v>2438</v>
      </c>
      <c r="K41" s="187"/>
      <c r="L41" s="270" t="str">
        <f>IFERROR(__xludf.DUMMYFUNCTION("IF(
  AND(D41=""Saída"", J41=""Sangria""),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74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85">
        <f>IFERROR(__xludf.DUMMYFUNCTION("ifna(VALUE(REGEXEXTRACT(E41,""[0-9.]+[,]+[0-9]+"")))"),74.94)</f>
        <v>74.94</v>
      </c>
      <c r="O41" s="52"/>
      <c r="P41" s="53"/>
      <c r="Q41" s="53"/>
      <c r="R41" s="53"/>
      <c r="S41" s="55"/>
      <c r="T41" s="53"/>
      <c r="U41" s="53"/>
      <c r="V41" s="53"/>
      <c r="W41" s="54"/>
    </row>
    <row r="42" ht="14.25" customHeight="1">
      <c r="A42" s="178"/>
      <c r="B42" s="12">
        <v>2155679.0</v>
      </c>
      <c r="C42" s="13">
        <v>46141.926886574074</v>
      </c>
      <c r="D42" s="179" t="s">
        <v>81</v>
      </c>
      <c r="E42" s="180" t="s">
        <v>127</v>
      </c>
      <c r="F42" s="181"/>
      <c r="G42" s="179" t="s">
        <v>381</v>
      </c>
      <c r="H42" s="186"/>
      <c r="I42" s="186"/>
      <c r="J42" s="187" t="s">
        <v>2735</v>
      </c>
      <c r="K42" s="187" t="s">
        <v>6576</v>
      </c>
      <c r="L42" s="270" t="str">
        <f>IFERROR(__xludf.DUMMYFUNCTION("IF(
  AND(D42=""Saída"", J42=""Sangria""),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"),"Confirmada")</f>
        <v>Confirmada</v>
      </c>
      <c r="M42" s="276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IFERROR(__xludf.DUMMYFUNCTION("ifna(VALUE(REGEXEXTRACT(E42,""[0-9.]+[,]+[0-9]+"")))"),250.0)</f>
        <v>250</v>
      </c>
      <c r="O42" s="52"/>
      <c r="P42" s="53"/>
      <c r="Q42" s="53"/>
      <c r="R42" s="53"/>
      <c r="S42" s="55"/>
      <c r="T42" s="53"/>
      <c r="U42" s="53"/>
      <c r="V42" s="53"/>
      <c r="W42" s="54"/>
    </row>
    <row r="43" ht="14.25" customHeight="1">
      <c r="A43" s="178"/>
      <c r="B43" s="12">
        <v>2157062.0</v>
      </c>
      <c r="C43" s="13">
        <v>46142.877754629626</v>
      </c>
      <c r="D43" s="179" t="s">
        <v>81</v>
      </c>
      <c r="E43" s="180" t="s">
        <v>335</v>
      </c>
      <c r="F43" s="181"/>
      <c r="G43" s="179" t="s">
        <v>577</v>
      </c>
      <c r="H43" s="189"/>
      <c r="I43" s="189"/>
      <c r="J43" s="187" t="s">
        <v>3375</v>
      </c>
      <c r="K43" s="187"/>
      <c r="L43" s="270" t="str">
        <f>IFERROR(__xludf.DUMMYFUNCTION("IF(
  AND(D43=""Saída"", J43=""Sangria""),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74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IFERROR(__xludf.DUMMYFUNCTION("ifna(VALUE(REGEXEXTRACT(E43,""[0-9.]+[,]+[0-9]+"")))"),10.0)</f>
        <v>10</v>
      </c>
      <c r="O43" s="52"/>
      <c r="P43" s="53"/>
      <c r="Q43" s="53"/>
      <c r="R43" s="53"/>
      <c r="S43" s="55"/>
      <c r="T43" s="53"/>
      <c r="U43" s="53"/>
      <c r="V43" s="53"/>
      <c r="W43" s="54"/>
    </row>
    <row r="44" ht="14.25" customHeight="1">
      <c r="A44" s="178"/>
      <c r="B44" s="12">
        <v>2157202.0</v>
      </c>
      <c r="C44" s="13">
        <v>46142.90837962963</v>
      </c>
      <c r="D44" s="179" t="s">
        <v>81</v>
      </c>
      <c r="E44" s="180" t="s">
        <v>979</v>
      </c>
      <c r="F44" s="181"/>
      <c r="G44" s="179" t="s">
        <v>6779</v>
      </c>
      <c r="H44" s="189"/>
      <c r="I44" s="189"/>
      <c r="J44" s="187" t="s">
        <v>2019</v>
      </c>
      <c r="K44" s="187" t="s">
        <v>6745</v>
      </c>
      <c r="L44" s="270" t="str">
        <f>IFERROR(__xludf.DUMMYFUNCTION("IF(
  AND(D44=""Saída"", J44=""Sangria""),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2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IFERROR(__xludf.DUMMYFUNCTION("ifna(VALUE(REGEXEXTRACT(E44,""[0-9.]+[,]+[0-9]+"")))"),3.0)</f>
        <v>3</v>
      </c>
      <c r="O44" s="52"/>
      <c r="P44" s="79"/>
      <c r="Q44" s="79"/>
      <c r="R44" s="79"/>
      <c r="S44" s="81"/>
      <c r="T44" s="79"/>
      <c r="U44" s="79"/>
      <c r="V44" s="79"/>
      <c r="W44" s="80"/>
    </row>
    <row r="45" ht="14.25" customHeight="1">
      <c r="A45" s="178"/>
      <c r="B45" s="12">
        <v>2157217.0</v>
      </c>
      <c r="C45" s="13">
        <v>46142.91122685185</v>
      </c>
      <c r="D45" s="179" t="s">
        <v>81</v>
      </c>
      <c r="E45" s="180" t="s">
        <v>7089</v>
      </c>
      <c r="F45" s="181"/>
      <c r="G45" s="179" t="s">
        <v>460</v>
      </c>
      <c r="H45" s="190"/>
      <c r="I45" s="190"/>
      <c r="J45" s="187" t="s">
        <v>3151</v>
      </c>
      <c r="K45" s="187"/>
      <c r="L45" s="270" t="str">
        <f>IFERROR(__xludf.DUMMYFUNCTION("IF(
  AND(D45=""Saída"", J45=""Sangria""),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4" t="str">
        <f>IFERROR(__xludf.DUMMYFUNCTION("IF(J45=""Compra de Mercadorias"",
   IF(
      COUNTIF(ARRAYFORMULA(TRIM(CLEAN(TO_TEXT(Notas!BS:BS)))), TRIM(CLEAN(TO_TEXT(B45)))) &gt; 0,
      ""Encontrada"",
      ""Não Encontrada""
   ),
"""")"),"Não Encontrada")</f>
        <v>Não Encontrada</v>
      </c>
      <c r="N45" s="185">
        <f>IFERROR(__xludf.DUMMYFUNCTION("ifna(VALUE(REGEXEXTRACT(E45,""[0-9.]+[,]+[0-9]+"")))"),8.68)</f>
        <v>8.68</v>
      </c>
      <c r="O45" s="88"/>
      <c r="P45" s="89"/>
      <c r="Q45" s="89"/>
      <c r="R45" s="89"/>
      <c r="S45" s="91"/>
      <c r="T45" s="89"/>
      <c r="U45" s="89"/>
      <c r="V45" s="89"/>
      <c r="W45" s="90"/>
    </row>
    <row r="46" ht="18.75" customHeight="1">
      <c r="A46" s="178"/>
      <c r="B46" s="12">
        <v>2157226.0</v>
      </c>
      <c r="C46" s="13">
        <v>46142.91306712963</v>
      </c>
      <c r="D46" s="179" t="s">
        <v>81</v>
      </c>
      <c r="E46" s="180" t="s">
        <v>5872</v>
      </c>
      <c r="F46" s="181"/>
      <c r="G46" s="179" t="s">
        <v>7292</v>
      </c>
      <c r="H46" s="190"/>
      <c r="I46" s="190"/>
      <c r="J46" s="187" t="s">
        <v>3151</v>
      </c>
      <c r="K46" s="187"/>
      <c r="L46" s="270" t="str">
        <f>IFERROR(__xludf.DUMMYFUNCTION("IF(
  AND(D46=""Saída"", J46=""Sangria""),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2" t="str">
        <f>IFERROR(__xludf.DUMMYFUNCTION("IF(J46=""Compra de Mercadorias"",
   IF(
      COUNTIF(ARRAYFORMULA(TRIM(CLEAN(TO_TEXT(Notas!BS:BS)))), TRIM(CLEAN(TO_TEXT(B46)))) &gt; 0,
      ""Encontrada"",
      ""Não Encontrada""
   ),
"""")"),"Não Encontrada")</f>
        <v>Não Encontrada</v>
      </c>
      <c r="N46" s="185">
        <f>IFERROR(__xludf.DUMMYFUNCTION("ifna(VALUE(REGEXEXTRACT(E46,""[0-9.]+[,]+[0-9]+"")))"),25.0)</f>
        <v>25</v>
      </c>
      <c r="O46" s="88"/>
      <c r="P46" s="89"/>
      <c r="Q46" s="89"/>
      <c r="R46" s="89"/>
      <c r="S46" s="91"/>
      <c r="T46" s="89"/>
      <c r="U46" s="89"/>
      <c r="V46" s="89"/>
      <c r="W46" s="90"/>
    </row>
    <row r="47" ht="14.25" customHeight="1">
      <c r="A47" s="178"/>
      <c r="B47" s="12">
        <v>2157477.0</v>
      </c>
      <c r="C47" s="13">
        <v>46142.94625</v>
      </c>
      <c r="D47" s="179" t="s">
        <v>81</v>
      </c>
      <c r="E47" s="180" t="s">
        <v>184</v>
      </c>
      <c r="F47" s="181"/>
      <c r="G47" s="179" t="s">
        <v>381</v>
      </c>
      <c r="H47" s="190"/>
      <c r="I47" s="190"/>
      <c r="J47" s="187" t="s">
        <v>2735</v>
      </c>
      <c r="K47" s="187" t="s">
        <v>6576</v>
      </c>
      <c r="L47" s="270" t="str">
        <f>IFERROR(__xludf.DUMMYFUNCTION("IF(
  AND(D47=""Saída"", J47=""Sangria""),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"),"Confirmada")</f>
        <v>Confirmada</v>
      </c>
      <c r="M47" s="274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IFERROR(__xludf.DUMMYFUNCTION("ifna(VALUE(REGEXEXTRACT(E47,""[0-9.]+[,]+[0-9]+"")))"),450.0)</f>
        <v>450</v>
      </c>
      <c r="O47" s="88"/>
      <c r="P47" s="89"/>
      <c r="Q47" s="89"/>
      <c r="R47" s="89"/>
      <c r="S47" s="91"/>
      <c r="T47" s="89"/>
      <c r="U47" s="89"/>
      <c r="V47" s="89"/>
      <c r="W47" s="90"/>
    </row>
    <row r="48">
      <c r="A48" s="178"/>
      <c r="B48" s="12">
        <v>2157484.0</v>
      </c>
      <c r="C48" s="13">
        <v>46142.94703703704</v>
      </c>
      <c r="D48" s="179" t="s">
        <v>81</v>
      </c>
      <c r="E48" s="180" t="s">
        <v>7293</v>
      </c>
      <c r="F48" s="181"/>
      <c r="G48" s="179" t="s">
        <v>7294</v>
      </c>
      <c r="H48" s="190"/>
      <c r="I48" s="190"/>
      <c r="J48" s="187" t="s">
        <v>3151</v>
      </c>
      <c r="K48" s="187"/>
      <c r="L48" s="270" t="str">
        <f>IFERROR(__xludf.DUMMYFUNCTION("IF(
  AND(D48=""Saída"", J48=""Sangria""),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2" t="str">
        <f>IFERROR(__xludf.DUMMYFUNCTION("IF(J48=""Compra de Mercadorias"",
   IF(
      COUNTIF(ARRAYFORMULA(TRIM(CLEAN(TO_TEXT(Notas!BS:BS)))), TRIM(CLEAN(TO_TEXT(B48)))) &gt; 0,
      ""Encontrada"",
      ""Não Encontrada""
   ),
"""")"),"Não Encontrada")</f>
        <v>Não Encontrada</v>
      </c>
      <c r="N48" s="185">
        <f>IFERROR(__xludf.DUMMYFUNCTION("ifna(VALUE(REGEXEXTRACT(E48,""[0-9.]+[,]+[0-9]+"")))"),101.61)</f>
        <v>101.61</v>
      </c>
      <c r="O48" s="88"/>
      <c r="P48" s="89"/>
      <c r="Q48" s="89"/>
      <c r="R48" s="89"/>
      <c r="S48" s="91"/>
      <c r="T48" s="89"/>
      <c r="U48" s="89"/>
      <c r="V48" s="89"/>
      <c r="W48" s="90"/>
    </row>
    <row r="49" ht="14.25" customHeight="1">
      <c r="A49" s="178"/>
      <c r="B49" s="12">
        <v>2158001.0</v>
      </c>
      <c r="C49" s="13">
        <v>46143.625243055554</v>
      </c>
      <c r="D49" s="179" t="s">
        <v>81</v>
      </c>
      <c r="E49" s="180" t="s">
        <v>855</v>
      </c>
      <c r="F49" s="181"/>
      <c r="G49" s="179" t="s">
        <v>6838</v>
      </c>
      <c r="H49" s="190"/>
      <c r="I49" s="190"/>
      <c r="J49" s="187" t="s">
        <v>2019</v>
      </c>
      <c r="K49" s="187" t="s">
        <v>6745</v>
      </c>
      <c r="L49" s="270" t="str">
        <f>IFERROR(__xludf.DUMMYFUNCTION("IF(
  AND(D49=""Saída"", J49=""Sangria""),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74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85">
        <f>IFERROR(__xludf.DUMMYFUNCTION("ifna(VALUE(REGEXEXTRACT(E49,""[0-9.]+[,]+[0-9]+"")))"),8.0)</f>
        <v>8</v>
      </c>
      <c r="O49" s="194"/>
      <c r="P49" s="195"/>
      <c r="Q49" s="196"/>
      <c r="R49" s="197"/>
      <c r="S49" s="91"/>
      <c r="T49" s="89"/>
      <c r="U49" s="89"/>
      <c r="V49" s="89"/>
      <c r="W49" s="90"/>
    </row>
    <row r="50" ht="14.25" customHeight="1">
      <c r="A50" s="178"/>
      <c r="B50" s="12">
        <v>2160043.0</v>
      </c>
      <c r="C50" s="13">
        <v>46143.99534722222</v>
      </c>
      <c r="D50" s="179" t="s">
        <v>81</v>
      </c>
      <c r="E50" s="180" t="s">
        <v>5625</v>
      </c>
      <c r="F50" s="181"/>
      <c r="G50" s="179" t="s">
        <v>128</v>
      </c>
      <c r="H50" s="190"/>
      <c r="I50" s="190"/>
      <c r="J50" s="187" t="s">
        <v>2735</v>
      </c>
      <c r="K50" s="187" t="s">
        <v>6576</v>
      </c>
      <c r="L50" s="270" t="str">
        <f>IFERROR(__xludf.DUMMYFUNCTION("IF(
  AND(D50=""Saída"", J50=""Sangria""),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"),"Confirmada")</f>
        <v>Confirmada</v>
      </c>
      <c r="M50" s="272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85">
        <f>IFERROR(__xludf.DUMMYFUNCTION("ifna(VALUE(REGEXEXTRACT(E50,""[0-9.]+[,]+[0-9]+"")))"),1900.0)</f>
        <v>1900</v>
      </c>
      <c r="O50" s="88"/>
      <c r="P50" s="89"/>
      <c r="Q50" s="89"/>
      <c r="R50" s="89"/>
      <c r="S50" s="91"/>
      <c r="T50" s="89"/>
      <c r="U50" s="89"/>
      <c r="V50" s="89"/>
      <c r="W50" s="90"/>
    </row>
    <row r="51" ht="19.5" customHeight="1">
      <c r="A51" s="178"/>
      <c r="B51" s="12">
        <v>2160051.0</v>
      </c>
      <c r="C51" s="13">
        <v>46143.99962962963</v>
      </c>
      <c r="D51" s="179" t="s">
        <v>81</v>
      </c>
      <c r="E51" s="180" t="s">
        <v>929</v>
      </c>
      <c r="F51" s="188"/>
      <c r="G51" s="179" t="s">
        <v>7295</v>
      </c>
      <c r="H51" s="190"/>
      <c r="I51" s="190"/>
      <c r="J51" s="187" t="s">
        <v>3375</v>
      </c>
      <c r="K51" s="187"/>
      <c r="L51" s="270" t="str">
        <f>IFERROR(__xludf.DUMMYFUNCTION("IF(
  AND(D51=""Saída"", J51=""Sangria""),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76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IFERROR(__xludf.DUMMYFUNCTION("ifna(VALUE(REGEXEXTRACT(E51,""[0-9.]+[,]+[0-9]+"")))"),28.0)</f>
        <v>28</v>
      </c>
      <c r="O51" s="88"/>
      <c r="P51" s="89"/>
      <c r="Q51" s="89"/>
      <c r="R51" s="89"/>
      <c r="S51" s="91"/>
      <c r="T51" s="89"/>
      <c r="U51" s="89"/>
      <c r="V51" s="89"/>
      <c r="W51" s="90"/>
    </row>
    <row r="52" ht="14.25" customHeight="1">
      <c r="A52" s="178"/>
      <c r="B52" s="12">
        <v>2160059.0</v>
      </c>
      <c r="C52" s="13">
        <v>46144.00506944444</v>
      </c>
      <c r="D52" s="179" t="s">
        <v>81</v>
      </c>
      <c r="E52" s="180" t="s">
        <v>485</v>
      </c>
      <c r="F52" s="181"/>
      <c r="G52" s="179" t="s">
        <v>7296</v>
      </c>
      <c r="H52" s="190"/>
      <c r="I52" s="190"/>
      <c r="J52" s="187" t="s">
        <v>1782</v>
      </c>
      <c r="K52" s="187"/>
      <c r="L52" s="270" t="str">
        <f>IFERROR(__xludf.DUMMYFUNCTION("IF(
  AND(D52=""Saída"", J52=""Sangria""),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73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IFERROR(__xludf.DUMMYFUNCTION("ifna(VALUE(REGEXEXTRACT(E52,""[0-9.]+[,]+[0-9]+"")))"),60.0)</f>
        <v>60</v>
      </c>
      <c r="O52" s="108"/>
      <c r="P52" s="109"/>
      <c r="Q52" s="109"/>
      <c r="R52" s="109"/>
      <c r="S52" s="110"/>
      <c r="T52" s="109"/>
      <c r="U52" s="109"/>
      <c r="V52" s="109"/>
      <c r="W52" s="111"/>
    </row>
    <row r="53" ht="14.25" customHeight="1">
      <c r="A53" s="178"/>
      <c r="B53" s="12">
        <v>2160328.0</v>
      </c>
      <c r="C53" s="13">
        <v>46144.58163194444</v>
      </c>
      <c r="D53" s="179" t="s">
        <v>81</v>
      </c>
      <c r="E53" s="180" t="s">
        <v>979</v>
      </c>
      <c r="F53" s="181"/>
      <c r="G53" s="179" t="s">
        <v>6838</v>
      </c>
      <c r="H53" s="190"/>
      <c r="I53" s="190"/>
      <c r="J53" s="187" t="s">
        <v>2019</v>
      </c>
      <c r="K53" s="187" t="s">
        <v>6745</v>
      </c>
      <c r="L53" s="270" t="str">
        <f>IFERROR(__xludf.DUMMYFUNCTION("IF(
  AND(D53=""Saída"", J53=""Sangria""),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74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85">
        <f>IFERROR(__xludf.DUMMYFUNCTION("ifna(VALUE(REGEXEXTRACT(E53,""[0-9.]+[,]+[0-9]+"")))"),3.0)</f>
        <v>3</v>
      </c>
      <c r="S53" s="25"/>
    </row>
    <row r="54" ht="14.25" customHeight="1">
      <c r="A54" s="178"/>
      <c r="B54" s="12">
        <v>2160881.0</v>
      </c>
      <c r="C54" s="13">
        <v>46144.74037037037</v>
      </c>
      <c r="D54" s="179" t="s">
        <v>81</v>
      </c>
      <c r="E54" s="180" t="s">
        <v>713</v>
      </c>
      <c r="F54" s="181"/>
      <c r="G54" s="179" t="s">
        <v>427</v>
      </c>
      <c r="H54" s="190"/>
      <c r="I54" s="190"/>
      <c r="J54" s="187" t="s">
        <v>1782</v>
      </c>
      <c r="K54" s="187"/>
      <c r="L54" s="270" t="str">
        <f>IFERROR(__xludf.DUMMYFUNCTION("IF(
  AND(D54=""Saída"", J54=""Sangria""),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2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85">
        <f>IFERROR(__xludf.DUMMYFUNCTION("ifna(VALUE(REGEXEXTRACT(E54,""[0-9.]+[,]+[0-9]+"")))"),50.0)</f>
        <v>50</v>
      </c>
      <c r="S54" s="25"/>
    </row>
    <row r="55" ht="14.25" customHeight="1">
      <c r="A55" s="178"/>
      <c r="B55" s="12">
        <v>2161249.0</v>
      </c>
      <c r="C55" s="13">
        <v>46144.84013888889</v>
      </c>
      <c r="D55" s="179" t="s">
        <v>81</v>
      </c>
      <c r="E55" s="180" t="s">
        <v>7297</v>
      </c>
      <c r="F55" s="181"/>
      <c r="G55" s="179" t="s">
        <v>6779</v>
      </c>
      <c r="H55" s="190"/>
      <c r="I55" s="190"/>
      <c r="J55" s="187" t="s">
        <v>2019</v>
      </c>
      <c r="K55" s="187" t="s">
        <v>6745</v>
      </c>
      <c r="L55" s="270" t="str">
        <f>IFERROR(__xludf.DUMMYFUNCTION("IF(
  AND(D55=""Saída"", J55=""Sangria""),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73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85">
        <f>IFERROR(__xludf.DUMMYFUNCTION("ifna(VALUE(REGEXEXTRACT(E55,""[0-9.]+[,]+[0-9]+"")))"),16.73)</f>
        <v>16.73</v>
      </c>
      <c r="S55" s="25"/>
    </row>
    <row r="56" ht="14.25" customHeight="1">
      <c r="A56" s="178"/>
      <c r="B56" s="12">
        <v>2161653.0</v>
      </c>
      <c r="C56" s="13">
        <v>46144.92171296296</v>
      </c>
      <c r="D56" s="179" t="s">
        <v>81</v>
      </c>
      <c r="E56" s="180" t="s">
        <v>162</v>
      </c>
      <c r="F56" s="181"/>
      <c r="G56" s="179" t="s">
        <v>128</v>
      </c>
      <c r="H56" s="190"/>
      <c r="I56" s="190"/>
      <c r="J56" s="187" t="s">
        <v>2735</v>
      </c>
      <c r="K56" s="187" t="s">
        <v>6576</v>
      </c>
      <c r="L56" s="270" t="str">
        <f>IFERROR(__xludf.DUMMYFUNCTION("IF(
  AND(D56=""Saída"", J56=""Sangria""),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"),"Confirmada")</f>
        <v>Confirmada</v>
      </c>
      <c r="M56" s="272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85">
        <f>IFERROR(__xludf.DUMMYFUNCTION("ifna(VALUE(REGEXEXTRACT(E56,""[0-9.]+[,]+[0-9]+"")))"),150.0)</f>
        <v>150</v>
      </c>
      <c r="S56" s="25"/>
    </row>
    <row r="57" ht="17.25" customHeight="1">
      <c r="A57" s="178"/>
      <c r="B57" s="12">
        <v>2163700.0</v>
      </c>
      <c r="C57" s="13">
        <v>46145.90736111111</v>
      </c>
      <c r="D57" s="179" t="s">
        <v>81</v>
      </c>
      <c r="E57" s="180" t="s">
        <v>7298</v>
      </c>
      <c r="F57" s="181"/>
      <c r="G57" s="179" t="s">
        <v>7185</v>
      </c>
      <c r="H57" s="190"/>
      <c r="I57" s="190"/>
      <c r="J57" s="187" t="s">
        <v>2438</v>
      </c>
      <c r="K57" s="187"/>
      <c r="L57" s="270" t="str">
        <f>IFERROR(__xludf.DUMMYFUNCTION("IF(
  AND(D57=""Saída"", J57=""Sangria""),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74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IFERROR(__xludf.DUMMYFUNCTION("ifna(VALUE(REGEXEXTRACT(E57,""[0-9.]+[,]+[0-9]+"")))"),44.66)</f>
        <v>44.66</v>
      </c>
      <c r="O57" s="25"/>
      <c r="P57" s="25"/>
      <c r="Q57" s="25"/>
      <c r="R57" s="25"/>
      <c r="S57" s="25"/>
      <c r="T57" s="25"/>
      <c r="U57" s="122"/>
      <c r="V57" s="122"/>
      <c r="W57" s="277"/>
    </row>
    <row r="58" ht="14.25" customHeight="1">
      <c r="A58" s="178"/>
      <c r="B58" s="12">
        <v>2163750.0</v>
      </c>
      <c r="C58" s="13">
        <v>46145.91232638889</v>
      </c>
      <c r="D58" s="179" t="s">
        <v>81</v>
      </c>
      <c r="E58" s="180" t="s">
        <v>1263</v>
      </c>
      <c r="F58" s="181"/>
      <c r="G58" s="179" t="s">
        <v>7035</v>
      </c>
      <c r="H58" s="190"/>
      <c r="I58" s="190"/>
      <c r="J58" s="187" t="s">
        <v>1782</v>
      </c>
      <c r="K58" s="187"/>
      <c r="L58" s="270" t="str">
        <f>IFERROR(__xludf.DUMMYFUNCTION("IF(
  AND(D58=""Saída"", J58=""Sangria""),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2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85">
        <f>IFERROR(__xludf.DUMMYFUNCTION("ifna(VALUE(REGEXEXTRACT(E58,""[0-9.]+[,]+[0-9]+"")))"),70.0)</f>
        <v>70</v>
      </c>
      <c r="O58" s="25"/>
      <c r="P58" s="25"/>
      <c r="Q58" s="25"/>
      <c r="R58" s="25"/>
      <c r="S58" s="25"/>
      <c r="T58" s="25"/>
      <c r="U58" s="278"/>
      <c r="V58" s="278"/>
      <c r="W58" s="279"/>
    </row>
    <row r="59" ht="14.25" customHeight="1">
      <c r="A59" s="178"/>
      <c r="B59" s="12">
        <v>2163778.0</v>
      </c>
      <c r="C59" s="13">
        <v>46145.91409722222</v>
      </c>
      <c r="D59" s="179" t="s">
        <v>81</v>
      </c>
      <c r="E59" s="180" t="s">
        <v>6556</v>
      </c>
      <c r="F59" s="181"/>
      <c r="G59" s="179" t="s">
        <v>4071</v>
      </c>
      <c r="H59" s="190"/>
      <c r="I59" s="190"/>
      <c r="J59" s="187" t="s">
        <v>2735</v>
      </c>
      <c r="K59" s="187" t="s">
        <v>2018</v>
      </c>
      <c r="L59" s="270" t="str">
        <f>IFERROR(__xludf.DUMMYFUNCTION("IF(
  AND(D59=""Saída"", J59=""Sangria""),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"),"Confirmada")</f>
        <v>Confirmada</v>
      </c>
      <c r="M59" s="273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IFERROR(__xludf.DUMMYFUNCTION("ifna(VALUE(REGEXEXTRACT(E59,""[0-9.]+[,]+[0-9]+"")))"),1100.0)</f>
        <v>1100</v>
      </c>
      <c r="O59" s="209" t="s">
        <v>3799</v>
      </c>
      <c r="P59" s="210"/>
      <c r="Q59" s="210"/>
      <c r="R59" s="210"/>
      <c r="S59" s="210"/>
      <c r="T59" s="59"/>
      <c r="U59" s="280"/>
      <c r="V59" s="280"/>
      <c r="W59" s="281"/>
    </row>
    <row r="60" ht="14.25" customHeight="1">
      <c r="A60" s="178"/>
      <c r="B60" s="12">
        <v>2164132.0</v>
      </c>
      <c r="C60" s="13">
        <v>46145.9478125</v>
      </c>
      <c r="D60" s="179" t="s">
        <v>81</v>
      </c>
      <c r="E60" s="180" t="s">
        <v>7299</v>
      </c>
      <c r="F60" s="188"/>
      <c r="G60" s="179" t="s">
        <v>7300</v>
      </c>
      <c r="H60" s="190"/>
      <c r="I60" s="190"/>
      <c r="J60" s="187" t="s">
        <v>3151</v>
      </c>
      <c r="K60" s="187"/>
      <c r="L60" s="270" t="str">
        <f>IFERROR(__xludf.DUMMYFUNCTION("IF(
  AND(D60=""Saída"", J60=""Sangria""),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3" t="str">
        <f>IFERROR(__xludf.DUMMYFUNCTION("IF(J60=""Compra de Mercadorias"",
   IF(
      COUNTIF(ARRAYFORMULA(TRIM(CLEAN(TO_TEXT(Notas!BS:BS)))), TRIM(CLEAN(TO_TEXT(B60)))) &gt; 0,
      ""Encontrada"",
      ""Não Encontrada""
   ),
"""")"),"Não Encontrada")</f>
        <v>Não Encontrada</v>
      </c>
      <c r="N60" s="185">
        <f>IFERROR(__xludf.DUMMYFUNCTION("ifna(VALUE(REGEXEXTRACT(E60,""[0-9.]+[,]+[0-9]+"")))"),91.64)</f>
        <v>91.64</v>
      </c>
      <c r="O60" s="211"/>
      <c r="T60" s="212"/>
      <c r="U60" s="280"/>
      <c r="V60" s="280"/>
      <c r="W60" s="281"/>
    </row>
    <row r="61" ht="14.25" customHeight="1">
      <c r="A61" s="178"/>
      <c r="B61" s="12">
        <v>2165293.0</v>
      </c>
      <c r="C61" s="13">
        <v>46146.86688657408</v>
      </c>
      <c r="D61" s="179" t="s">
        <v>81</v>
      </c>
      <c r="E61" s="180" t="s">
        <v>457</v>
      </c>
      <c r="F61" s="181"/>
      <c r="G61" s="179" t="s">
        <v>128</v>
      </c>
      <c r="H61" s="190"/>
      <c r="I61" s="190"/>
      <c r="J61" s="187" t="s">
        <v>2735</v>
      </c>
      <c r="K61" s="187" t="s">
        <v>6576</v>
      </c>
      <c r="L61" s="270" t="str">
        <f>IFERROR(__xludf.DUMMYFUNCTION("IF(
  AND(D61=""Saída"", J61=""Sangria""),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"),"Confirmada")</f>
        <v>Confirmada</v>
      </c>
      <c r="M61" s="274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IFERROR(__xludf.DUMMYFUNCTION("ifna(VALUE(REGEXEXTRACT(E61,""[0-9.]+[,]+[0-9]+"")))"),200.0)</f>
        <v>200</v>
      </c>
      <c r="O61" s="213" t="s">
        <v>1</v>
      </c>
      <c r="P61" s="214" t="s">
        <v>2</v>
      </c>
      <c r="Q61" s="214" t="s">
        <v>3830</v>
      </c>
      <c r="R61" s="214" t="s">
        <v>46</v>
      </c>
      <c r="S61" s="215" t="s">
        <v>33</v>
      </c>
      <c r="T61" s="212"/>
      <c r="U61" s="280"/>
      <c r="V61" s="280"/>
      <c r="W61" s="281"/>
    </row>
    <row r="62" ht="14.25" customHeight="1">
      <c r="A62" s="178"/>
      <c r="B62" s="12">
        <v>2166224.0</v>
      </c>
      <c r="C62" s="13">
        <v>46147.67201388889</v>
      </c>
      <c r="D62" s="179" t="s">
        <v>81</v>
      </c>
      <c r="E62" s="180" t="s">
        <v>7301</v>
      </c>
      <c r="F62" s="181"/>
      <c r="G62" s="179" t="s">
        <v>6779</v>
      </c>
      <c r="H62" s="190"/>
      <c r="I62" s="190"/>
      <c r="J62" s="187" t="s">
        <v>2019</v>
      </c>
      <c r="K62" s="187" t="s">
        <v>6745</v>
      </c>
      <c r="L62" s="270" t="str">
        <f>IFERROR(__xludf.DUMMYFUNCTION("IF(
  AND(D62=""Saída"", J62=""Sangria""),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2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IFERROR(__xludf.DUMMYFUNCTION("ifna(VALUE(REGEXEXTRACT(E62,""[0-9.]+[,]+[0-9]+"")))"),9.29)</f>
        <v>9.29</v>
      </c>
      <c r="O62" s="216"/>
      <c r="P62" s="195">
        <v>46154.0</v>
      </c>
      <c r="Q62" s="196" t="s">
        <v>6077</v>
      </c>
      <c r="R62" s="196">
        <v>200.0</v>
      </c>
      <c r="S62" s="217"/>
      <c r="T62" s="218" t="str">
        <f t="shared" ref="T62:T82" si="1">IFERROR(VLOOKUP(Q62, $A$4:$B$11, 2, FALSE), "")</f>
        <v/>
      </c>
      <c r="U62" s="280"/>
      <c r="V62" s="280"/>
      <c r="W62" s="281"/>
    </row>
    <row r="63" ht="14.25" customHeight="1">
      <c r="A63" s="178"/>
      <c r="B63" s="12">
        <v>2166228.0</v>
      </c>
      <c r="C63" s="13">
        <v>46147.672627314816</v>
      </c>
      <c r="D63" s="179" t="s">
        <v>81</v>
      </c>
      <c r="E63" s="180" t="s">
        <v>7302</v>
      </c>
      <c r="F63" s="181"/>
      <c r="G63" s="179" t="s">
        <v>313</v>
      </c>
      <c r="H63" s="190"/>
      <c r="I63" s="190"/>
      <c r="J63" s="187" t="s">
        <v>3151</v>
      </c>
      <c r="K63" s="187"/>
      <c r="L63" s="270" t="str">
        <f>IFERROR(__xludf.DUMMYFUNCTION("IF(
  AND(D63=""Saída"", J63=""Sangria""),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74" t="str">
        <f>IFERROR(__xludf.DUMMYFUNCTION("IF(J63=""Compra de Mercadorias"",
   IF(
      COUNTIF(ARRAYFORMULA(TRIM(CLEAN(TO_TEXT(Notas!BS:BS)))), TRIM(CLEAN(TO_TEXT(B63)))) &gt; 0,
      ""Encontrada"",
      ""Não Encontrada""
   ),
"""")"),"Não Encontrada")</f>
        <v>Não Encontrada</v>
      </c>
      <c r="N63" s="185">
        <f>IFERROR(__xludf.DUMMYFUNCTION("ifna(VALUE(REGEXEXTRACT(E63,""[0-9.]+[,]+[0-9]+"")))"),93.23)</f>
        <v>93.23</v>
      </c>
      <c r="O63" s="216"/>
      <c r="P63" s="195"/>
      <c r="Q63" s="196"/>
      <c r="R63" s="197"/>
      <c r="S63" s="219"/>
      <c r="T63" s="218" t="str">
        <f t="shared" si="1"/>
        <v/>
      </c>
      <c r="U63" s="280"/>
      <c r="V63" s="280"/>
      <c r="W63" s="281"/>
    </row>
    <row r="64" ht="14.25" customHeight="1">
      <c r="A64" s="178"/>
      <c r="B64" s="12">
        <v>2166755.0</v>
      </c>
      <c r="C64" s="13">
        <v>46147.82129629629</v>
      </c>
      <c r="D64" s="179" t="s">
        <v>81</v>
      </c>
      <c r="E64" s="180" t="s">
        <v>929</v>
      </c>
      <c r="F64" s="181"/>
      <c r="G64" s="179" t="s">
        <v>7303</v>
      </c>
      <c r="H64" s="190"/>
      <c r="I64" s="190"/>
      <c r="J64" s="187" t="s">
        <v>3375</v>
      </c>
      <c r="K64" s="187"/>
      <c r="L64" s="270" t="str">
        <f>IFERROR(__xludf.DUMMYFUNCTION("IF(
  AND(D64=""Saída"", J64=""Sangria""),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72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IFERROR(__xludf.DUMMYFUNCTION("ifna(VALUE(REGEXEXTRACT(E64,""[0-9.]+[,]+[0-9]+"")))"),28.0)</f>
        <v>28</v>
      </c>
      <c r="O64" s="216"/>
      <c r="P64" s="195"/>
      <c r="Q64" s="196"/>
      <c r="R64" s="197"/>
      <c r="S64" s="220"/>
      <c r="T64" s="218" t="str">
        <f t="shared" si="1"/>
        <v/>
      </c>
      <c r="U64" s="282"/>
      <c r="V64" s="282"/>
      <c r="W64" s="283"/>
    </row>
    <row r="65" ht="14.25" customHeight="1">
      <c r="A65" s="178"/>
      <c r="B65" s="12">
        <v>2167009.0</v>
      </c>
      <c r="C65" s="13">
        <v>46147.89884259259</v>
      </c>
      <c r="D65" s="179" t="s">
        <v>81</v>
      </c>
      <c r="E65" s="180" t="s">
        <v>1248</v>
      </c>
      <c r="F65" s="181"/>
      <c r="G65" s="179" t="s">
        <v>128</v>
      </c>
      <c r="H65" s="190"/>
      <c r="I65" s="190"/>
      <c r="J65" s="187" t="s">
        <v>2735</v>
      </c>
      <c r="K65" s="187" t="s">
        <v>6576</v>
      </c>
      <c r="L65" s="270" t="str">
        <f>IFERROR(__xludf.DUMMYFUNCTION("IF(
  AND(D65=""Saída"", J65=""Sangria""),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"),"Confirmada")</f>
        <v>Confirmada</v>
      </c>
      <c r="M65" s="274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IFERROR(__xludf.DUMMYFUNCTION("ifna(VALUE(REGEXEXTRACT(E65,""[0-9.]+[,]+[0-9]+"")))"),850.0)</f>
        <v>850</v>
      </c>
      <c r="O65" s="216"/>
      <c r="P65" s="195"/>
      <c r="Q65" s="196"/>
      <c r="R65" s="197"/>
      <c r="S65" s="221"/>
      <c r="T65" s="218" t="str">
        <f t="shared" si="1"/>
        <v/>
      </c>
      <c r="U65" s="284"/>
      <c r="V65" s="284"/>
      <c r="W65" s="285"/>
    </row>
    <row r="66" ht="14.25" customHeight="1">
      <c r="A66" s="178"/>
      <c r="B66" s="12">
        <v>2168096.0</v>
      </c>
      <c r="C66" s="13">
        <v>46148.70144675926</v>
      </c>
      <c r="D66" s="179" t="s">
        <v>152</v>
      </c>
      <c r="E66" s="180" t="s">
        <v>5872</v>
      </c>
      <c r="F66" s="188"/>
      <c r="G66" s="179" t="s">
        <v>158</v>
      </c>
      <c r="H66" s="190"/>
      <c r="I66" s="190"/>
      <c r="J66" s="187" t="s">
        <v>2669</v>
      </c>
      <c r="K66" s="187"/>
      <c r="L66" s="270" t="str">
        <f>IFERROR(__xludf.DUMMYFUNCTION("IF(
  AND(D66=""Saída"", J66=""Sangria""),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2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IFERROR(__xludf.DUMMYFUNCTION("ifna(VALUE(REGEXEXTRACT(E66,""[0-9.]+[,]+[0-9]+"")))"),25.0)</f>
        <v>25</v>
      </c>
      <c r="O66" s="216"/>
      <c r="P66" s="195"/>
      <c r="Q66" s="196"/>
      <c r="R66" s="197"/>
      <c r="S66" s="220"/>
      <c r="T66" s="218" t="str">
        <f t="shared" si="1"/>
        <v/>
      </c>
      <c r="U66" s="284"/>
      <c r="V66" s="284"/>
      <c r="W66" s="285"/>
    </row>
    <row r="67" ht="14.25" customHeight="1">
      <c r="A67" s="178"/>
      <c r="B67" s="12">
        <v>2168407.0</v>
      </c>
      <c r="C67" s="13">
        <v>46148.7871875</v>
      </c>
      <c r="D67" s="179" t="s">
        <v>81</v>
      </c>
      <c r="E67" s="180" t="s">
        <v>7304</v>
      </c>
      <c r="F67" s="181"/>
      <c r="G67" s="179" t="s">
        <v>7305</v>
      </c>
      <c r="H67" s="190"/>
      <c r="I67" s="190"/>
      <c r="J67" s="187" t="s">
        <v>2438</v>
      </c>
      <c r="K67" s="187"/>
      <c r="L67" s="270" t="str">
        <f>IFERROR(__xludf.DUMMYFUNCTION("IF(
  AND(D67=""Saída"", J67=""Sangria""),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73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IFERROR(__xludf.DUMMYFUNCTION("ifna(VALUE(REGEXEXTRACT(E67,""[0-9.]+[,]+[0-9]+"")))"),111.74)</f>
        <v>111.74</v>
      </c>
      <c r="O67" s="222"/>
      <c r="P67" s="223"/>
      <c r="Q67" s="224"/>
      <c r="R67" s="225"/>
      <c r="S67" s="221"/>
      <c r="T67" s="218" t="str">
        <f t="shared" si="1"/>
        <v/>
      </c>
      <c r="U67" s="284"/>
      <c r="V67" s="284"/>
      <c r="W67" s="285"/>
    </row>
    <row r="68">
      <c r="A68" s="178"/>
      <c r="B68" s="12">
        <v>2168658.0</v>
      </c>
      <c r="C68" s="13">
        <v>46148.879837962966</v>
      </c>
      <c r="D68" s="179" t="s">
        <v>81</v>
      </c>
      <c r="E68" s="180" t="s">
        <v>910</v>
      </c>
      <c r="F68" s="181"/>
      <c r="G68" s="179" t="s">
        <v>381</v>
      </c>
      <c r="H68" s="190"/>
      <c r="I68" s="190"/>
      <c r="J68" s="187" t="s">
        <v>2735</v>
      </c>
      <c r="K68" s="187" t="s">
        <v>6576</v>
      </c>
      <c r="L68" s="270" t="str">
        <f>IFERROR(__xludf.DUMMYFUNCTION("IF(
  AND(D68=""Saída"", J68=""Sangria""),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"),"Confirmada")</f>
        <v>Confirmada</v>
      </c>
      <c r="M68" s="272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85">
        <f>IFERROR(__xludf.DUMMYFUNCTION("ifna(VALUE(REGEXEXTRACT(E68,""[0-9.]+[,]+[0-9]+"")))"),1000.0)</f>
        <v>1000</v>
      </c>
      <c r="O68" s="226"/>
      <c r="P68" s="227"/>
      <c r="Q68" s="220"/>
      <c r="R68" s="228" t="str">
        <f t="shared" ref="R68:R104" si="2">IFERROR(VLOOKUP(Q68, $B$4:$C$18, 2, FALSE), "")</f>
        <v/>
      </c>
      <c r="S68" s="220" t="str">
        <f t="shared" ref="S68:S104" si="3">IFERROR(VLOOKUP(Q68, $A$4:$B$18, 2, FALSE), "")</f>
        <v/>
      </c>
      <c r="T68" s="218" t="str">
        <f t="shared" si="1"/>
        <v/>
      </c>
      <c r="U68" s="284"/>
      <c r="V68" s="284"/>
      <c r="W68" s="285"/>
    </row>
    <row r="69" ht="14.25" customHeight="1">
      <c r="A69" s="178"/>
      <c r="B69" s="12">
        <v>2168694.0</v>
      </c>
      <c r="C69" s="13">
        <v>46148.886967592596</v>
      </c>
      <c r="D69" s="179" t="s">
        <v>152</v>
      </c>
      <c r="E69" s="180" t="s">
        <v>485</v>
      </c>
      <c r="F69" s="181"/>
      <c r="G69" s="179" t="s">
        <v>7306</v>
      </c>
      <c r="H69" s="190"/>
      <c r="I69" s="190"/>
      <c r="J69" s="187" t="s">
        <v>5195</v>
      </c>
      <c r="K69" s="187"/>
      <c r="L69" s="270" t="str">
        <f>IFERROR(__xludf.DUMMYFUNCTION("IF(
  AND(D69=""Saída"", J69=""Sangria""),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74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IFERROR(__xludf.DUMMYFUNCTION("ifna(VALUE(REGEXEXTRACT(E69,""[0-9.]+[,]+[0-9]+"")))"),60.0)</f>
        <v>60</v>
      </c>
      <c r="O69" s="229"/>
      <c r="P69" s="230"/>
      <c r="Q69" s="221"/>
      <c r="R69" s="231" t="str">
        <f t="shared" si="2"/>
        <v/>
      </c>
      <c r="S69" s="221" t="str">
        <f t="shared" si="3"/>
        <v/>
      </c>
      <c r="T69" s="218" t="str">
        <f t="shared" si="1"/>
        <v/>
      </c>
      <c r="U69" s="284"/>
      <c r="V69" s="284"/>
      <c r="W69" s="285"/>
    </row>
    <row r="70" ht="14.25" customHeight="1">
      <c r="A70" s="178"/>
      <c r="B70" s="12">
        <v>2170332.0</v>
      </c>
      <c r="C70" s="13">
        <v>46149.85318287037</v>
      </c>
      <c r="D70" s="179" t="s">
        <v>152</v>
      </c>
      <c r="E70" s="180" t="s">
        <v>155</v>
      </c>
      <c r="F70" s="181"/>
      <c r="G70" s="179" t="s">
        <v>158</v>
      </c>
      <c r="H70" s="190"/>
      <c r="I70" s="190"/>
      <c r="J70" s="187" t="s">
        <v>2669</v>
      </c>
      <c r="K70" s="187"/>
      <c r="L70" s="270" t="str">
        <f>IFERROR(__xludf.DUMMYFUNCTION("IF(
  AND(D70=""Saída"", J70=""Sangria""),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2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IFERROR(__xludf.DUMMYFUNCTION("ifna(VALUE(REGEXEXTRACT(E70,""[0-9.]+[,]+[0-9]+"")))"),21.0)</f>
        <v>21</v>
      </c>
      <c r="O70" s="226"/>
      <c r="P70" s="227"/>
      <c r="Q70" s="220"/>
      <c r="R70" s="228" t="str">
        <f t="shared" si="2"/>
        <v/>
      </c>
      <c r="S70" s="220" t="str">
        <f t="shared" si="3"/>
        <v/>
      </c>
      <c r="T70" s="218" t="str">
        <f t="shared" si="1"/>
        <v/>
      </c>
      <c r="U70" s="284"/>
      <c r="V70" s="284"/>
      <c r="W70" s="285"/>
    </row>
    <row r="71" ht="14.25" customHeight="1">
      <c r="A71" s="178"/>
      <c r="B71" s="12">
        <v>2170469.0</v>
      </c>
      <c r="C71" s="13">
        <v>46149.891168981485</v>
      </c>
      <c r="D71" s="179" t="s">
        <v>81</v>
      </c>
      <c r="E71" s="180" t="s">
        <v>5424</v>
      </c>
      <c r="F71" s="188"/>
      <c r="G71" s="179" t="s">
        <v>128</v>
      </c>
      <c r="H71" s="190"/>
      <c r="I71" s="190"/>
      <c r="J71" s="187" t="s">
        <v>2735</v>
      </c>
      <c r="K71" s="187" t="s">
        <v>6576</v>
      </c>
      <c r="L71" s="270" t="str">
        <f>IFERROR(__xludf.DUMMYFUNCTION("IF(
  AND(D71=""Saída"", J71=""Sangria""),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"),"Confirmada")</f>
        <v>Confirmada</v>
      </c>
      <c r="M71" s="274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IFERROR(__xludf.DUMMYFUNCTION("ifna(VALUE(REGEXEXTRACT(E71,""[0-9.]+[,]+[0-9]+"")))"),1500.0)</f>
        <v>1500</v>
      </c>
      <c r="O71" s="229"/>
      <c r="P71" s="230"/>
      <c r="Q71" s="221"/>
      <c r="R71" s="231" t="str">
        <f t="shared" si="2"/>
        <v/>
      </c>
      <c r="S71" s="221" t="str">
        <f t="shared" si="3"/>
        <v/>
      </c>
      <c r="T71" s="218" t="str">
        <f t="shared" si="1"/>
        <v/>
      </c>
      <c r="U71" s="284"/>
      <c r="V71" s="284"/>
      <c r="W71" s="285"/>
    </row>
    <row r="72" ht="14.25" customHeight="1">
      <c r="A72" s="178"/>
      <c r="B72" s="12">
        <v>2172068.0</v>
      </c>
      <c r="C72" s="13">
        <v>46150.878217592595</v>
      </c>
      <c r="D72" s="179" t="s">
        <v>81</v>
      </c>
      <c r="E72" s="180" t="s">
        <v>7307</v>
      </c>
      <c r="F72" s="181"/>
      <c r="G72" s="179" t="s">
        <v>158</v>
      </c>
      <c r="H72" s="190"/>
      <c r="I72" s="190"/>
      <c r="J72" s="187" t="s">
        <v>2669</v>
      </c>
      <c r="K72" s="187"/>
      <c r="L72" s="270" t="str">
        <f>IFERROR(__xludf.DUMMYFUNCTION("IF(
  AND(D72=""Saída"", J72=""Sangria""),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6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IFERROR(__xludf.DUMMYFUNCTION("ifna(VALUE(REGEXEXTRACT(E72,""[0-9.]+[,]+[0-9]+"")))"),475.0)</f>
        <v>475</v>
      </c>
      <c r="O72" s="226"/>
      <c r="P72" s="227"/>
      <c r="Q72" s="220"/>
      <c r="R72" s="228" t="str">
        <f t="shared" si="2"/>
        <v/>
      </c>
      <c r="S72" s="220" t="str">
        <f t="shared" si="3"/>
        <v/>
      </c>
      <c r="T72" s="218" t="str">
        <f t="shared" si="1"/>
        <v/>
      </c>
      <c r="U72" s="275"/>
      <c r="V72" s="275"/>
      <c r="W72" s="286"/>
    </row>
    <row r="73" ht="14.25" customHeight="1">
      <c r="A73" s="178"/>
      <c r="B73" s="12">
        <v>2172070.0</v>
      </c>
      <c r="C73" s="13">
        <v>46150.87905092593</v>
      </c>
      <c r="D73" s="179" t="s">
        <v>81</v>
      </c>
      <c r="E73" s="180" t="s">
        <v>834</v>
      </c>
      <c r="F73" s="188"/>
      <c r="G73" s="179" t="s">
        <v>3549</v>
      </c>
      <c r="H73" s="190"/>
      <c r="I73" s="190"/>
      <c r="J73" s="187" t="s">
        <v>3151</v>
      </c>
      <c r="K73" s="187"/>
      <c r="L73" s="270" t="str">
        <f>IFERROR(__xludf.DUMMYFUNCTION("IF(
  AND(D73=""Saída"", J73=""Sangria""),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76" t="str">
        <f>IFERROR(__xludf.DUMMYFUNCTION("IF(J73=""Compra de Mercadorias"",
   IF(
      COUNTIF(ARRAYFORMULA(TRIM(CLEAN(TO_TEXT(Notas!BS:BS)))), TRIM(CLEAN(TO_TEXT(B73)))) &gt; 0,
      ""Encontrada"",
      ""Não Encontrada""
   ),
"""")"),"Não Encontrada")</f>
        <v>Não Encontrada</v>
      </c>
      <c r="N73" s="185">
        <f>IFERROR(__xludf.DUMMYFUNCTION("ifna(VALUE(REGEXEXTRACT(E73,""[0-9.]+[,]+[0-9]+"")))"),15.0)</f>
        <v>15</v>
      </c>
      <c r="O73" s="229"/>
      <c r="P73" s="221"/>
      <c r="Q73" s="221"/>
      <c r="R73" s="231" t="str">
        <f t="shared" si="2"/>
        <v/>
      </c>
      <c r="S73" s="221" t="str">
        <f t="shared" si="3"/>
        <v/>
      </c>
      <c r="T73" s="218" t="str">
        <f t="shared" si="1"/>
        <v/>
      </c>
      <c r="U73" s="25"/>
      <c r="V73" s="25"/>
      <c r="W73" s="287"/>
    </row>
    <row r="74" ht="14.25" customHeight="1">
      <c r="A74" s="178"/>
      <c r="B74" s="12">
        <v>2173460.0</v>
      </c>
      <c r="C74" s="13">
        <v>46151.84894675926</v>
      </c>
      <c r="D74" s="179" t="s">
        <v>81</v>
      </c>
      <c r="E74" s="180" t="s">
        <v>7308</v>
      </c>
      <c r="F74" s="181"/>
      <c r="G74" s="179" t="s">
        <v>7049</v>
      </c>
      <c r="H74" s="190"/>
      <c r="I74" s="190"/>
      <c r="J74" s="187" t="s">
        <v>2019</v>
      </c>
      <c r="K74" s="187" t="s">
        <v>6745</v>
      </c>
      <c r="L74" s="270" t="str">
        <f>IFERROR(__xludf.DUMMYFUNCTION("IF(
  AND(D74=""Saída"", J74=""Sangria""),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72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IFERROR(__xludf.DUMMYFUNCTION("ifna(VALUE(REGEXEXTRACT(E74,""[0-9.]+[,]+[0-9]+"")))"),9.18)</f>
        <v>9.18</v>
      </c>
      <c r="O74" s="226"/>
      <c r="P74" s="220"/>
      <c r="Q74" s="220"/>
      <c r="R74" s="228" t="str">
        <f t="shared" si="2"/>
        <v/>
      </c>
      <c r="S74" s="220" t="str">
        <f t="shared" si="3"/>
        <v/>
      </c>
      <c r="T74" s="218" t="str">
        <f t="shared" si="1"/>
        <v/>
      </c>
      <c r="U74" s="25"/>
      <c r="V74" s="25"/>
      <c r="W74" s="287"/>
    </row>
    <row r="75" ht="14.25" customHeight="1">
      <c r="A75" s="178"/>
      <c r="B75" s="12">
        <v>2174271.0</v>
      </c>
      <c r="C75" s="13">
        <v>46152.545648148145</v>
      </c>
      <c r="D75" s="179" t="s">
        <v>81</v>
      </c>
      <c r="E75" s="180" t="s">
        <v>7309</v>
      </c>
      <c r="F75" s="181"/>
      <c r="G75" s="179" t="s">
        <v>211</v>
      </c>
      <c r="H75" s="190"/>
      <c r="I75" s="190"/>
      <c r="J75" s="187" t="s">
        <v>3151</v>
      </c>
      <c r="K75" s="187"/>
      <c r="L75" s="270" t="str">
        <f>IFERROR(__xludf.DUMMYFUNCTION("IF(
  AND(D75=""Saída"", J75=""Sangria""),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74" t="str">
        <f>IFERROR(__xludf.DUMMYFUNCTION("IF(J75=""Compra de Mercadorias"",
   IF(
      COUNTIF(ARRAYFORMULA(TRIM(CLEAN(TO_TEXT(Notas!BS:BS)))), TRIM(CLEAN(TO_TEXT(B75)))) &gt; 0,
      ""Encontrada"",
      ""Não Encontrada""
   ),
"""")"),"Não Encontrada")</f>
        <v>Não Encontrada</v>
      </c>
      <c r="N75" s="185">
        <f>IFERROR(__xludf.DUMMYFUNCTION("ifna(VALUE(REGEXEXTRACT(E75,""[0-9.]+[,]+[0-9]+"")))"),119.63)</f>
        <v>119.63</v>
      </c>
      <c r="O75" s="229"/>
      <c r="P75" s="221"/>
      <c r="Q75" s="221"/>
      <c r="R75" s="231" t="str">
        <f t="shared" si="2"/>
        <v/>
      </c>
      <c r="S75" s="221" t="str">
        <f t="shared" si="3"/>
        <v/>
      </c>
      <c r="T75" s="218" t="str">
        <f t="shared" si="1"/>
        <v/>
      </c>
      <c r="U75" s="25"/>
      <c r="V75" s="25"/>
      <c r="W75" s="287"/>
    </row>
    <row r="76" ht="14.25" customHeight="1">
      <c r="A76" s="178"/>
      <c r="B76" s="12">
        <v>2174347.0</v>
      </c>
      <c r="C76" s="13">
        <v>46152.5943287037</v>
      </c>
      <c r="D76" s="179" t="s">
        <v>81</v>
      </c>
      <c r="E76" s="180" t="s">
        <v>5685</v>
      </c>
      <c r="F76" s="181"/>
      <c r="G76" s="179" t="s">
        <v>506</v>
      </c>
      <c r="H76" s="190"/>
      <c r="I76" s="190"/>
      <c r="J76" s="187" t="s">
        <v>1782</v>
      </c>
      <c r="K76" s="187"/>
      <c r="L76" s="270" t="str">
        <f>IFERROR(__xludf.DUMMYFUNCTION("IF(
  AND(D76=""Saída"", J76=""Sangria""),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2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85">
        <f>IFERROR(__xludf.DUMMYFUNCTION("ifna(VALUE(REGEXEXTRACT(E76,""[0-9.]+[,]+[0-9]+"")))"),45.0)</f>
        <v>45</v>
      </c>
      <c r="O76" s="226"/>
      <c r="P76" s="220"/>
      <c r="Q76" s="220"/>
      <c r="R76" s="228" t="str">
        <f t="shared" si="2"/>
        <v/>
      </c>
      <c r="S76" s="220" t="str">
        <f t="shared" si="3"/>
        <v/>
      </c>
      <c r="T76" s="288" t="str">
        <f t="shared" si="1"/>
        <v/>
      </c>
      <c r="U76" s="25"/>
      <c r="V76" s="25"/>
      <c r="W76" s="25"/>
    </row>
    <row r="77" ht="14.25" customHeight="1">
      <c r="A77" s="178"/>
      <c r="B77" s="12">
        <v>2174614.0</v>
      </c>
      <c r="C77" s="13">
        <v>46152.71539351852</v>
      </c>
      <c r="D77" s="179" t="s">
        <v>81</v>
      </c>
      <c r="E77" s="180" t="s">
        <v>5263</v>
      </c>
      <c r="F77" s="181"/>
      <c r="G77" s="179" t="s">
        <v>7202</v>
      </c>
      <c r="H77" s="190"/>
      <c r="I77" s="190"/>
      <c r="J77" s="187" t="s">
        <v>1782</v>
      </c>
      <c r="K77" s="187"/>
      <c r="L77" s="270" t="str">
        <f>IFERROR(__xludf.DUMMYFUNCTION("IF(
  AND(D77=""Saída"", J77=""Sangria""),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74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IFERROR(__xludf.DUMMYFUNCTION("ifna(VALUE(REGEXEXTRACT(E77,""[0-9.]+[,]+[0-9]+"")))"),180.0)</f>
        <v>180</v>
      </c>
      <c r="O77" s="229"/>
      <c r="P77" s="221"/>
      <c r="Q77" s="221"/>
      <c r="R77" s="231" t="str">
        <f t="shared" si="2"/>
        <v/>
      </c>
      <c r="S77" s="221" t="str">
        <f t="shared" si="3"/>
        <v/>
      </c>
      <c r="T77" s="288" t="str">
        <f t="shared" si="1"/>
        <v/>
      </c>
      <c r="U77" s="25"/>
      <c r="V77" s="25"/>
      <c r="W77" s="25"/>
    </row>
    <row r="78" ht="14.25" customHeight="1">
      <c r="A78" s="178"/>
      <c r="B78" s="12">
        <v>2176587.0</v>
      </c>
      <c r="C78" s="13">
        <v>46153.86177083333</v>
      </c>
      <c r="D78" s="179" t="s">
        <v>81</v>
      </c>
      <c r="E78" s="180" t="s">
        <v>5496</v>
      </c>
      <c r="F78" s="181"/>
      <c r="G78" s="179" t="s">
        <v>7310</v>
      </c>
      <c r="H78" s="190"/>
      <c r="I78" s="190"/>
      <c r="J78" s="187" t="s">
        <v>3151</v>
      </c>
      <c r="K78" s="187"/>
      <c r="L78" s="270" t="str">
        <f>IFERROR(__xludf.DUMMYFUNCTION("IF(
  AND(D78=""Saída"", J78=""Sangria""),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72" t="str">
        <f>IFERROR(__xludf.DUMMYFUNCTION("IF(J78=""Compra de Mercadorias"",
   IF(
      COUNTIF(ARRAYFORMULA(TRIM(CLEAN(TO_TEXT(Notas!BS:BS)))), TRIM(CLEAN(TO_TEXT(B78)))) &gt; 0,
      ""Encontrada"",
      ""Não Encontrada""
   ),
"""")"),"Não Encontrada")</f>
        <v>Não Encontrada</v>
      </c>
      <c r="N78" s="185">
        <f>IFERROR(__xludf.DUMMYFUNCTION("ifna(VALUE(REGEXEXTRACT(E78,""[0-9.]+[,]+[0-9]+"")))"),24.0)</f>
        <v>24</v>
      </c>
      <c r="O78" s="226"/>
      <c r="P78" s="220"/>
      <c r="Q78" s="220"/>
      <c r="R78" s="228" t="str">
        <f t="shared" si="2"/>
        <v/>
      </c>
      <c r="S78" s="220" t="str">
        <f t="shared" si="3"/>
        <v/>
      </c>
      <c r="T78" s="288" t="str">
        <f t="shared" si="1"/>
        <v/>
      </c>
      <c r="U78" s="25"/>
      <c r="V78" s="25"/>
      <c r="W78" s="25"/>
    </row>
    <row r="79" ht="14.25" customHeight="1">
      <c r="A79" s="178"/>
      <c r="B79" s="12">
        <v>2176612.0</v>
      </c>
      <c r="C79" s="13">
        <v>46153.876226851855</v>
      </c>
      <c r="D79" s="179" t="s">
        <v>81</v>
      </c>
      <c r="E79" s="180" t="s">
        <v>4812</v>
      </c>
      <c r="F79" s="181"/>
      <c r="G79" s="179" t="s">
        <v>5184</v>
      </c>
      <c r="H79" s="190"/>
      <c r="I79" s="190"/>
      <c r="J79" s="187" t="s">
        <v>3151</v>
      </c>
      <c r="K79" s="187"/>
      <c r="L79" s="270" t="str">
        <f>IFERROR(__xludf.DUMMYFUNCTION("IF(
  AND(D79=""Saída"", J79=""Sangria""),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74" t="str">
        <f>IFERROR(__xludf.DUMMYFUNCTION("IF(J79=""Compra de Mercadorias"",
   IF(
      COUNTIF(ARRAYFORMULA(TRIM(CLEAN(TO_TEXT(Notas!BS:BS)))), TRIM(CLEAN(TO_TEXT(B79)))) &gt; 0,
      ""Encontrada"",
      ""Não Encontrada""
   ),
"""")"),"Não Encontrada")</f>
        <v>Não Encontrada</v>
      </c>
      <c r="N79" s="185">
        <f>IFERROR(__xludf.DUMMYFUNCTION("ifna(VALUE(REGEXEXTRACT(E79,""[0-9.]+[,]+[0-9]+"")))"),13.98)</f>
        <v>13.98</v>
      </c>
      <c r="O79" s="229"/>
      <c r="P79" s="221"/>
      <c r="Q79" s="221"/>
      <c r="R79" s="231" t="str">
        <f t="shared" si="2"/>
        <v/>
      </c>
      <c r="S79" s="221" t="str">
        <f t="shared" si="3"/>
        <v/>
      </c>
      <c r="T79" s="288" t="str">
        <f t="shared" si="1"/>
        <v/>
      </c>
      <c r="U79" s="25"/>
      <c r="V79" s="25"/>
      <c r="W79" s="25"/>
    </row>
    <row r="80" ht="14.25" customHeight="1">
      <c r="A80" s="178"/>
      <c r="B80" s="12">
        <v>2176613.0</v>
      </c>
      <c r="C80" s="13">
        <v>46153.87657407407</v>
      </c>
      <c r="D80" s="179" t="s">
        <v>81</v>
      </c>
      <c r="E80" s="180" t="s">
        <v>7285</v>
      </c>
      <c r="F80" s="181"/>
      <c r="G80" s="179" t="s">
        <v>7311</v>
      </c>
      <c r="H80" s="190"/>
      <c r="I80" s="190"/>
      <c r="J80" s="187" t="s">
        <v>3151</v>
      </c>
      <c r="K80" s="187"/>
      <c r="L80" s="270" t="str">
        <f>IFERROR(__xludf.DUMMYFUNCTION("IF(
  AND(D80=""Saída"", J80=""Sangria""),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72" t="str">
        <f>IFERROR(__xludf.DUMMYFUNCTION("IF(J80=""Compra de Mercadorias"",
   IF(
      COUNTIF(ARRAYFORMULA(TRIM(CLEAN(TO_TEXT(Notas!BS:BS)))), TRIM(CLEAN(TO_TEXT(B80)))) &gt; 0,
      ""Encontrada"",
      ""Não Encontrada""
   ),
"""")"),"Não Encontrada")</f>
        <v>Não Encontrada</v>
      </c>
      <c r="N80" s="185">
        <f>IFERROR(__xludf.DUMMYFUNCTION("ifna(VALUE(REGEXEXTRACT(E80,""[0-9.]+[,]+[0-9]+"")))"),5.99)</f>
        <v>5.99</v>
      </c>
      <c r="O80" s="226"/>
      <c r="P80" s="220"/>
      <c r="Q80" s="220"/>
      <c r="R80" s="228" t="str">
        <f t="shared" si="2"/>
        <v/>
      </c>
      <c r="S80" s="220" t="str">
        <f t="shared" si="3"/>
        <v/>
      </c>
      <c r="T80" s="218" t="str">
        <f t="shared" si="1"/>
        <v/>
      </c>
      <c r="U80" s="25"/>
      <c r="V80" s="25"/>
      <c r="W80" s="25"/>
    </row>
    <row r="81" ht="14.25" customHeight="1">
      <c r="A81" s="178"/>
      <c r="B81" s="12">
        <v>2176616.0</v>
      </c>
      <c r="C81" s="13">
        <v>46153.87730324074</v>
      </c>
      <c r="D81" s="179" t="s">
        <v>81</v>
      </c>
      <c r="E81" s="180" t="s">
        <v>184</v>
      </c>
      <c r="F81" s="181"/>
      <c r="G81" s="179" t="s">
        <v>128</v>
      </c>
      <c r="H81" s="190"/>
      <c r="I81" s="190"/>
      <c r="J81" s="187" t="s">
        <v>2735</v>
      </c>
      <c r="K81" s="187" t="s">
        <v>6576</v>
      </c>
      <c r="L81" s="270" t="str">
        <f>IFERROR(__xludf.DUMMYFUNCTION("IF(
  AND(D81=""Saída"", J81=""Sangria""),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"),"Confirmada")</f>
        <v>Confirmada</v>
      </c>
      <c r="M81" s="274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IFERROR(__xludf.DUMMYFUNCTION("ifna(VALUE(REGEXEXTRACT(E81,""[0-9.]+[,]+[0-9]+"")))"),450.0)</f>
        <v>450</v>
      </c>
      <c r="O81" s="229"/>
      <c r="P81" s="221"/>
      <c r="Q81" s="221"/>
      <c r="R81" s="231" t="str">
        <f t="shared" si="2"/>
        <v/>
      </c>
      <c r="S81" s="221" t="str">
        <f t="shared" si="3"/>
        <v/>
      </c>
      <c r="T81" s="218" t="str">
        <f t="shared" si="1"/>
        <v/>
      </c>
      <c r="U81" s="185"/>
      <c r="V81" s="185"/>
      <c r="W81" s="185"/>
    </row>
    <row r="82" ht="14.25" customHeight="1">
      <c r="A82" s="178"/>
      <c r="B82" s="12">
        <v>2176627.0</v>
      </c>
      <c r="C82" s="13">
        <v>46153.88025462963</v>
      </c>
      <c r="D82" s="179" t="s">
        <v>81</v>
      </c>
      <c r="E82" s="180" t="s">
        <v>7312</v>
      </c>
      <c r="F82" s="181"/>
      <c r="G82" s="179" t="s">
        <v>6838</v>
      </c>
      <c r="H82" s="190"/>
      <c r="I82" s="190"/>
      <c r="J82" s="187" t="s">
        <v>2019</v>
      </c>
      <c r="K82" s="187" t="s">
        <v>6745</v>
      </c>
      <c r="L82" s="270" t="str">
        <f>IFERROR(__xludf.DUMMYFUNCTION("IF(
  AND(D82=""Saída"", J82=""Sangria""),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2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IFERROR(__xludf.DUMMYFUNCTION("ifna(VALUE(REGEXEXTRACT(E82,""[0-9.]+[,]+[0-9]+"")))"),13.82)</f>
        <v>13.82</v>
      </c>
      <c r="O82" s="226"/>
      <c r="P82" s="220"/>
      <c r="Q82" s="220"/>
      <c r="R82" s="228" t="str">
        <f t="shared" si="2"/>
        <v/>
      </c>
      <c r="S82" s="220" t="str">
        <f t="shared" si="3"/>
        <v/>
      </c>
      <c r="T82" s="218" t="str">
        <f t="shared" si="1"/>
        <v/>
      </c>
      <c r="U82" s="185"/>
      <c r="V82" s="185"/>
      <c r="W82" s="185"/>
    </row>
    <row r="83" ht="14.25" customHeight="1">
      <c r="A83" s="178"/>
      <c r="B83" s="12">
        <v>2177785.0</v>
      </c>
      <c r="C83" s="13">
        <v>46154.878530092596</v>
      </c>
      <c r="D83" s="179" t="s">
        <v>81</v>
      </c>
      <c r="E83" s="180" t="s">
        <v>162</v>
      </c>
      <c r="F83" s="188"/>
      <c r="G83" s="179" t="s">
        <v>128</v>
      </c>
      <c r="H83" s="190"/>
      <c r="I83" s="190"/>
      <c r="J83" s="187" t="s">
        <v>2735</v>
      </c>
      <c r="K83" s="187" t="s">
        <v>6576</v>
      </c>
      <c r="L83" s="270" t="str">
        <f>IFERROR(__xludf.DUMMYFUNCTION("IF(
  AND(D83=""Saída"", J83=""Sangria""),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"),"Confirmada")</f>
        <v>Confirmada</v>
      </c>
      <c r="M83" s="274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IFERROR(__xludf.DUMMYFUNCTION("ifna(VALUE(REGEXEXTRACT(E83,""[0-9.]+[,]+[0-9]+"")))"),150.0)</f>
        <v>150</v>
      </c>
      <c r="O83" s="229"/>
      <c r="P83" s="221"/>
      <c r="Q83" s="221"/>
      <c r="R83" s="231" t="str">
        <f t="shared" si="2"/>
        <v/>
      </c>
      <c r="S83" s="221" t="str">
        <f t="shared" si="3"/>
        <v/>
      </c>
      <c r="T83" s="232" t="str">
        <f t="shared" ref="T83:T104" si="4">IFERROR(VLOOKUP(Q83, $A$4:$B$18, 2, FALSE), "")</f>
        <v/>
      </c>
      <c r="U83" s="185"/>
      <c r="V83" s="185"/>
      <c r="W83" s="185"/>
    </row>
    <row r="84" ht="14.25" customHeight="1">
      <c r="A84" s="178"/>
      <c r="B84" s="12">
        <v>2178301.0</v>
      </c>
      <c r="C84" s="13">
        <v>46155.56181712963</v>
      </c>
      <c r="D84" s="179" t="s">
        <v>81</v>
      </c>
      <c r="E84" s="180" t="s">
        <v>155</v>
      </c>
      <c r="F84" s="181"/>
      <c r="G84" s="179" t="s">
        <v>7313</v>
      </c>
      <c r="H84" s="190"/>
      <c r="I84" s="190"/>
      <c r="J84" s="187" t="s">
        <v>3375</v>
      </c>
      <c r="K84" s="187"/>
      <c r="L84" s="270" t="str">
        <f>IFERROR(__xludf.DUMMYFUNCTION("IF(
  AND(D84=""Saída"", J84=""Sangria""),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2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IFERROR(__xludf.DUMMYFUNCTION("ifna(VALUE(REGEXEXTRACT(E84,""[0-9.]+[,]+[0-9]+"")))"),21.0)</f>
        <v>21</v>
      </c>
      <c r="O84" s="226"/>
      <c r="P84" s="220"/>
      <c r="Q84" s="220"/>
      <c r="R84" s="228" t="str">
        <f t="shared" si="2"/>
        <v/>
      </c>
      <c r="S84" s="220" t="str">
        <f t="shared" si="3"/>
        <v/>
      </c>
      <c r="T84" s="232" t="str">
        <f t="shared" si="4"/>
        <v/>
      </c>
      <c r="U84" s="185"/>
      <c r="V84" s="185"/>
      <c r="W84" s="185"/>
    </row>
    <row r="85" ht="14.25" customHeight="1">
      <c r="A85" s="178"/>
      <c r="B85" s="12">
        <v>2178386.0</v>
      </c>
      <c r="C85" s="13">
        <v>46155.61368055556</v>
      </c>
      <c r="D85" s="179" t="s">
        <v>81</v>
      </c>
      <c r="E85" s="180" t="s">
        <v>335</v>
      </c>
      <c r="F85" s="181"/>
      <c r="G85" s="179" t="s">
        <v>574</v>
      </c>
      <c r="H85" s="190"/>
      <c r="I85" s="190"/>
      <c r="J85" s="187" t="s">
        <v>3375</v>
      </c>
      <c r="K85" s="187"/>
      <c r="L85" s="270" t="str">
        <f>IFERROR(__xludf.DUMMYFUNCTION("IF(
  AND(D85=""Saída"", J85=""Sangria""),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74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85">
        <f>IFERROR(__xludf.DUMMYFUNCTION("ifna(VALUE(REGEXEXTRACT(E85,""[0-9.]+[,]+[0-9]+"")))"),10.0)</f>
        <v>10</v>
      </c>
      <c r="O85" s="229"/>
      <c r="P85" s="221"/>
      <c r="Q85" s="221"/>
      <c r="R85" s="231" t="str">
        <f t="shared" si="2"/>
        <v/>
      </c>
      <c r="S85" s="221" t="str">
        <f t="shared" si="3"/>
        <v/>
      </c>
      <c r="T85" s="232" t="str">
        <f t="shared" si="4"/>
        <v/>
      </c>
      <c r="U85" s="185"/>
      <c r="V85" s="185"/>
      <c r="W85" s="185"/>
    </row>
    <row r="86" ht="14.25" customHeight="1">
      <c r="A86" s="178"/>
      <c r="B86" s="12">
        <v>2178658.0</v>
      </c>
      <c r="C86" s="13">
        <v>46155.74230324074</v>
      </c>
      <c r="D86" s="179" t="s">
        <v>81</v>
      </c>
      <c r="E86" s="180" t="s">
        <v>7314</v>
      </c>
      <c r="F86" s="181"/>
      <c r="G86" s="179" t="s">
        <v>7315</v>
      </c>
      <c r="H86" s="190"/>
      <c r="I86" s="190"/>
      <c r="J86" s="187" t="s">
        <v>2438</v>
      </c>
      <c r="K86" s="187"/>
      <c r="L86" s="270" t="str">
        <f>IFERROR(__xludf.DUMMYFUNCTION("IF(
  AND(D86=""Saída"", J86=""Sangria""),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72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IFERROR(__xludf.DUMMYFUNCTION("ifna(VALUE(REGEXEXTRACT(E86,""[0-9.]+[,]+[0-9]+"")))"),88.54)</f>
        <v>88.54</v>
      </c>
      <c r="O86" s="226"/>
      <c r="P86" s="220"/>
      <c r="Q86" s="220"/>
      <c r="R86" s="228" t="str">
        <f t="shared" si="2"/>
        <v/>
      </c>
      <c r="S86" s="220" t="str">
        <f t="shared" si="3"/>
        <v/>
      </c>
      <c r="T86" s="232" t="str">
        <f t="shared" si="4"/>
        <v/>
      </c>
      <c r="U86" s="185"/>
      <c r="V86" s="185"/>
      <c r="W86" s="185"/>
    </row>
    <row r="87" ht="14.25" customHeight="1">
      <c r="A87" s="178"/>
      <c r="B87" s="12">
        <v>2178894.0</v>
      </c>
      <c r="C87" s="13">
        <v>46155.86331018519</v>
      </c>
      <c r="D87" s="179" t="s">
        <v>81</v>
      </c>
      <c r="E87" s="180" t="s">
        <v>127</v>
      </c>
      <c r="F87" s="181"/>
      <c r="G87" s="179" t="s">
        <v>128</v>
      </c>
      <c r="H87" s="190"/>
      <c r="I87" s="190"/>
      <c r="J87" s="187" t="s">
        <v>2735</v>
      </c>
      <c r="K87" s="187" t="s">
        <v>6576</v>
      </c>
      <c r="L87" s="270" t="str">
        <f>IFERROR(__xludf.DUMMYFUNCTION("IF(
  AND(D87=""Saída"", J87=""Sangria""),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"),"Confirmada")</f>
        <v>Confirmada</v>
      </c>
      <c r="M87" s="274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IFERROR(__xludf.DUMMYFUNCTION("ifna(VALUE(REGEXEXTRACT(E87,""[0-9.]+[,]+[0-9]+"")))"),250.0)</f>
        <v>250</v>
      </c>
      <c r="O87" s="229"/>
      <c r="P87" s="221"/>
      <c r="Q87" s="221"/>
      <c r="R87" s="231" t="str">
        <f t="shared" si="2"/>
        <v/>
      </c>
      <c r="S87" s="221" t="str">
        <f t="shared" si="3"/>
        <v/>
      </c>
      <c r="T87" s="232" t="str">
        <f t="shared" si="4"/>
        <v/>
      </c>
      <c r="U87" s="185"/>
      <c r="V87" s="185"/>
      <c r="W87" s="185"/>
    </row>
    <row r="88" ht="14.25" customHeight="1">
      <c r="A88" s="178"/>
      <c r="B88" s="12">
        <v>2180005.0</v>
      </c>
      <c r="C88" s="13">
        <v>46156.77809027778</v>
      </c>
      <c r="D88" s="179" t="s">
        <v>81</v>
      </c>
      <c r="E88" s="180" t="s">
        <v>7316</v>
      </c>
      <c r="F88" s="181"/>
      <c r="G88" s="179" t="s">
        <v>290</v>
      </c>
      <c r="H88" s="190"/>
      <c r="I88" s="190"/>
      <c r="J88" s="187" t="s">
        <v>3151</v>
      </c>
      <c r="K88" s="187"/>
      <c r="L88" s="270" t="str">
        <f>IFERROR(__xludf.DUMMYFUNCTION("IF(
  AND(D88=""Saída"", J88=""Sangria""),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72" t="str">
        <f>IFERROR(__xludf.DUMMYFUNCTION("IF(J88=""Compra de Mercadorias"",
   IF(
      COUNTIF(ARRAYFORMULA(TRIM(CLEAN(TO_TEXT(Notas!BS:BS)))), TRIM(CLEAN(TO_TEXT(B88)))) &gt; 0,
      ""Encontrada"",
      ""Não Encontrada""
   ),
"""")"),"Não Encontrada")</f>
        <v>Não Encontrada</v>
      </c>
      <c r="N88" s="185">
        <f>IFERROR(__xludf.DUMMYFUNCTION("ifna(VALUE(REGEXEXTRACT(E88,""[0-9.]+[,]+[0-9]+"")))"),90.2)</f>
        <v>90.2</v>
      </c>
      <c r="O88" s="226"/>
      <c r="P88" s="220"/>
      <c r="Q88" s="220"/>
      <c r="R88" s="228" t="str">
        <f t="shared" si="2"/>
        <v/>
      </c>
      <c r="S88" s="220" t="str">
        <f t="shared" si="3"/>
        <v/>
      </c>
      <c r="T88" s="232" t="str">
        <f t="shared" si="4"/>
        <v/>
      </c>
      <c r="U88" s="185"/>
      <c r="V88" s="185"/>
      <c r="W88" s="185"/>
    </row>
    <row r="89" ht="14.25" customHeight="1">
      <c r="A89" s="178"/>
      <c r="B89" s="12">
        <v>2180008.0</v>
      </c>
      <c r="C89" s="13">
        <v>46156.778402777774</v>
      </c>
      <c r="D89" s="179" t="s">
        <v>81</v>
      </c>
      <c r="E89" s="180" t="s">
        <v>416</v>
      </c>
      <c r="F89" s="181"/>
      <c r="G89" s="179" t="s">
        <v>128</v>
      </c>
      <c r="H89" s="190"/>
      <c r="I89" s="190"/>
      <c r="J89" s="187" t="s">
        <v>2735</v>
      </c>
      <c r="K89" s="187" t="s">
        <v>6576</v>
      </c>
      <c r="L89" s="270" t="str">
        <f>IFERROR(__xludf.DUMMYFUNCTION("IF(
  AND(D89=""Saída"", J89=""Sangria""),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"),"Confirmada")</f>
        <v>Confirmada</v>
      </c>
      <c r="M89" s="274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85">
        <f>IFERROR(__xludf.DUMMYFUNCTION("ifna(VALUE(REGEXEXTRACT(E89,""[0-9.]+[,]+[0-9]+"")))"),100.0)</f>
        <v>100</v>
      </c>
      <c r="O89" s="229"/>
      <c r="P89" s="221"/>
      <c r="Q89" s="221"/>
      <c r="R89" s="231" t="str">
        <f t="shared" si="2"/>
        <v/>
      </c>
      <c r="S89" s="221" t="str">
        <f t="shared" si="3"/>
        <v/>
      </c>
      <c r="T89" s="232" t="str">
        <f t="shared" si="4"/>
        <v/>
      </c>
      <c r="U89" s="185"/>
      <c r="V89" s="185"/>
      <c r="W89" s="185"/>
    </row>
    <row r="90" ht="14.25" customHeight="1">
      <c r="A90" s="178"/>
      <c r="B90" s="12">
        <v>2180071.0</v>
      </c>
      <c r="C90" s="13">
        <v>46156.818078703705</v>
      </c>
      <c r="D90" s="179" t="s">
        <v>81</v>
      </c>
      <c r="E90" s="180" t="s">
        <v>4138</v>
      </c>
      <c r="F90" s="188"/>
      <c r="G90" s="179" t="s">
        <v>92</v>
      </c>
      <c r="H90" s="190"/>
      <c r="I90" s="190"/>
      <c r="J90" s="187" t="s">
        <v>3375</v>
      </c>
      <c r="K90" s="187"/>
      <c r="L90" s="270" t="str">
        <f>IFERROR(__xludf.DUMMYFUNCTION("IF(
  AND(D90=""Saída"", J90=""Sangria""),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2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85">
        <f>IFERROR(__xludf.DUMMYFUNCTION("ifna(VALUE(REGEXEXTRACT(E90,""[0-9.]+[,]+[0-9]+"")))"),30.0)</f>
        <v>30</v>
      </c>
      <c r="O90" s="226"/>
      <c r="P90" s="220"/>
      <c r="Q90" s="220"/>
      <c r="R90" s="228" t="str">
        <f t="shared" si="2"/>
        <v/>
      </c>
      <c r="S90" s="220" t="str">
        <f t="shared" si="3"/>
        <v/>
      </c>
      <c r="T90" s="232" t="str">
        <f t="shared" si="4"/>
        <v/>
      </c>
      <c r="U90" s="185"/>
      <c r="V90" s="185"/>
      <c r="W90" s="185"/>
    </row>
    <row r="91" ht="14.25" customHeight="1">
      <c r="A91" s="178"/>
      <c r="B91" s="12">
        <v>2180229.0</v>
      </c>
      <c r="C91" s="13">
        <v>46156.87908564815</v>
      </c>
      <c r="D91" s="179" t="s">
        <v>81</v>
      </c>
      <c r="E91" s="180" t="s">
        <v>7317</v>
      </c>
      <c r="F91" s="181"/>
      <c r="G91" s="179" t="s">
        <v>6838</v>
      </c>
      <c r="H91" s="190"/>
      <c r="I91" s="190"/>
      <c r="J91" s="187" t="s">
        <v>2019</v>
      </c>
      <c r="K91" s="187" t="s">
        <v>6745</v>
      </c>
      <c r="L91" s="270" t="str">
        <f>IFERROR(__xludf.DUMMYFUNCTION("IF(
  AND(D91=""Saída"", J91=""Sangria""),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74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85">
        <f>IFERROR(__xludf.DUMMYFUNCTION("ifna(VALUE(REGEXEXTRACT(E91,""[0-9.]+[,]+[0-9]+"")))"),6.54)</f>
        <v>6.54</v>
      </c>
      <c r="O91" s="229"/>
      <c r="P91" s="221"/>
      <c r="Q91" s="221"/>
      <c r="R91" s="231" t="str">
        <f t="shared" si="2"/>
        <v/>
      </c>
      <c r="S91" s="221" t="str">
        <f t="shared" si="3"/>
        <v/>
      </c>
      <c r="T91" s="232" t="str">
        <f t="shared" si="4"/>
        <v/>
      </c>
      <c r="U91" s="185"/>
      <c r="V91" s="185"/>
      <c r="W91" s="185"/>
    </row>
    <row r="92" ht="14.25" customHeight="1">
      <c r="A92" s="178"/>
      <c r="B92" s="12">
        <v>2180231.0</v>
      </c>
      <c r="C92" s="13">
        <v>46156.87949074074</v>
      </c>
      <c r="D92" s="179" t="s">
        <v>81</v>
      </c>
      <c r="E92" s="180" t="s">
        <v>86</v>
      </c>
      <c r="F92" s="181"/>
      <c r="G92" s="179" t="s">
        <v>574</v>
      </c>
      <c r="H92" s="190"/>
      <c r="I92" s="190"/>
      <c r="J92" s="187" t="s">
        <v>3375</v>
      </c>
      <c r="K92" s="187"/>
      <c r="L92" s="270" t="str">
        <f>IFERROR(__xludf.DUMMYFUNCTION("IF(
  AND(D92=""Saída"", J92=""Sangria""),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2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85">
        <f>IFERROR(__xludf.DUMMYFUNCTION("ifna(VALUE(REGEXEXTRACT(E92,""[0-9.]+[,]+[0-9]+"")))"),9.0)</f>
        <v>9</v>
      </c>
      <c r="O92" s="226"/>
      <c r="P92" s="220"/>
      <c r="Q92" s="220"/>
      <c r="R92" s="228" t="str">
        <f t="shared" si="2"/>
        <v/>
      </c>
      <c r="S92" s="220" t="str">
        <f t="shared" si="3"/>
        <v/>
      </c>
      <c r="T92" s="232" t="str">
        <f t="shared" si="4"/>
        <v/>
      </c>
      <c r="U92" s="185"/>
      <c r="V92" s="185"/>
      <c r="W92" s="185"/>
    </row>
    <row r="93" ht="14.25" customHeight="1">
      <c r="A93" s="178"/>
      <c r="B93" s="12">
        <v>2181541.0</v>
      </c>
      <c r="C93" s="13">
        <v>46157.880844907406</v>
      </c>
      <c r="D93" s="179" t="s">
        <v>81</v>
      </c>
      <c r="E93" s="180" t="s">
        <v>146</v>
      </c>
      <c r="F93" s="181"/>
      <c r="G93" s="179" t="s">
        <v>128</v>
      </c>
      <c r="H93" s="190"/>
      <c r="I93" s="190"/>
      <c r="J93" s="187" t="s">
        <v>2735</v>
      </c>
      <c r="K93" s="187" t="s">
        <v>6576</v>
      </c>
      <c r="L93" s="270" t="str">
        <f>IFERROR(__xludf.DUMMYFUNCTION("IF(
  AND(D93=""Saída"", J93=""Sangria""),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"),"Confirmada")</f>
        <v>Confirmada</v>
      </c>
      <c r="M93" s="274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IFERROR(__xludf.DUMMYFUNCTION("ifna(VALUE(REGEXEXTRACT(E93,""[0-9.]+[,]+[0-9]+"")))"),400.0)</f>
        <v>400</v>
      </c>
      <c r="O93" s="229"/>
      <c r="P93" s="221"/>
      <c r="Q93" s="221"/>
      <c r="R93" s="231" t="str">
        <f t="shared" si="2"/>
        <v/>
      </c>
      <c r="S93" s="221" t="str">
        <f t="shared" si="3"/>
        <v/>
      </c>
      <c r="T93" s="232" t="str">
        <f t="shared" si="4"/>
        <v/>
      </c>
      <c r="U93" s="185"/>
      <c r="V93" s="185"/>
      <c r="W93" s="185"/>
    </row>
    <row r="94" ht="14.25" customHeight="1">
      <c r="A94" s="178"/>
      <c r="B94" s="12">
        <v>2181549.0</v>
      </c>
      <c r="C94" s="13">
        <v>46157.88453703704</v>
      </c>
      <c r="D94" s="179" t="s">
        <v>81</v>
      </c>
      <c r="E94" s="180" t="s">
        <v>350</v>
      </c>
      <c r="F94" s="181"/>
      <c r="G94" s="179" t="s">
        <v>574</v>
      </c>
      <c r="H94" s="190"/>
      <c r="I94" s="190"/>
      <c r="J94" s="187" t="s">
        <v>3375</v>
      </c>
      <c r="K94" s="187"/>
      <c r="L94" s="270" t="str">
        <f>IFERROR(__xludf.DUMMYFUNCTION("IF(
  AND(D94=""Saída"", J94=""Sangria""),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6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IFERROR(__xludf.DUMMYFUNCTION("ifna(VALUE(REGEXEXTRACT(E94,""[0-9.]+[,]+[0-9]+"")))"),12.0)</f>
        <v>12</v>
      </c>
      <c r="O94" s="226"/>
      <c r="P94" s="220"/>
      <c r="Q94" s="220"/>
      <c r="R94" s="228" t="str">
        <f t="shared" si="2"/>
        <v/>
      </c>
      <c r="S94" s="220" t="str">
        <f t="shared" si="3"/>
        <v/>
      </c>
      <c r="T94" s="232" t="str">
        <f t="shared" si="4"/>
        <v/>
      </c>
      <c r="U94" s="185"/>
      <c r="V94" s="185"/>
      <c r="W94" s="185"/>
    </row>
    <row r="95" ht="14.25" customHeight="1">
      <c r="A95" s="178"/>
      <c r="B95" s="12">
        <v>2182889.0</v>
      </c>
      <c r="C95" s="13">
        <v>46158.82603009259</v>
      </c>
      <c r="D95" s="179" t="s">
        <v>81</v>
      </c>
      <c r="E95" s="180" t="s">
        <v>7318</v>
      </c>
      <c r="F95" s="181"/>
      <c r="G95" s="179" t="s">
        <v>114</v>
      </c>
      <c r="H95" s="190"/>
      <c r="I95" s="190"/>
      <c r="J95" s="187" t="s">
        <v>3151</v>
      </c>
      <c r="K95" s="187"/>
      <c r="L95" s="270" t="str">
        <f>IFERROR(__xludf.DUMMYFUNCTION("IF(
  AND(D95=""Saída"", J95=""Sangria""),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74" t="str">
        <f>IFERROR(__xludf.DUMMYFUNCTION("IF(J95=""Compra de Mercadorias"",
   IF(
      COUNTIF(ARRAYFORMULA(TRIM(CLEAN(TO_TEXT(Notas!BS:BS)))), TRIM(CLEAN(TO_TEXT(B95)))) &gt; 0,
      ""Encontrada"",
      ""Não Encontrada""
   ),
"""")"),"Não Encontrada")</f>
        <v>Não Encontrada</v>
      </c>
      <c r="N95" s="185">
        <f>IFERROR(__xludf.DUMMYFUNCTION("ifna(VALUE(REGEXEXTRACT(E95,""[0-9.]+[,]+[0-9]+"")))"),94.41)</f>
        <v>94.41</v>
      </c>
      <c r="O95" s="229"/>
      <c r="P95" s="221"/>
      <c r="Q95" s="221"/>
      <c r="R95" s="231" t="str">
        <f t="shared" si="2"/>
        <v/>
      </c>
      <c r="S95" s="221" t="str">
        <f t="shared" si="3"/>
        <v/>
      </c>
      <c r="T95" s="232" t="str">
        <f t="shared" si="4"/>
        <v/>
      </c>
      <c r="U95" s="185"/>
      <c r="V95" s="185"/>
      <c r="W95" s="185"/>
    </row>
    <row r="96" ht="14.25" customHeight="1">
      <c r="A96" s="178"/>
      <c r="B96" s="12">
        <v>2183119.0</v>
      </c>
      <c r="C96" s="13">
        <v>46158.89083333333</v>
      </c>
      <c r="D96" s="179" t="s">
        <v>81</v>
      </c>
      <c r="E96" s="180" t="s">
        <v>7189</v>
      </c>
      <c r="F96" s="181"/>
      <c r="G96" s="179" t="s">
        <v>6779</v>
      </c>
      <c r="H96" s="190"/>
      <c r="I96" s="190"/>
      <c r="J96" s="187" t="s">
        <v>2019</v>
      </c>
      <c r="K96" s="187" t="s">
        <v>6745</v>
      </c>
      <c r="L96" s="270" t="str">
        <f>IFERROR(__xludf.DUMMYFUNCTION("IF(
  AND(D96=""Saída"", J96=""Sangria""),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2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IFERROR(__xludf.DUMMYFUNCTION("ifna(VALUE(REGEXEXTRACT(E96,""[0-9.]+[,]+[0-9]+"")))"),6.0)</f>
        <v>6</v>
      </c>
      <c r="O96" s="226"/>
      <c r="P96" s="220"/>
      <c r="Q96" s="220"/>
      <c r="R96" s="228" t="str">
        <f t="shared" si="2"/>
        <v/>
      </c>
      <c r="S96" s="220" t="str">
        <f t="shared" si="3"/>
        <v/>
      </c>
      <c r="T96" s="232" t="str">
        <f t="shared" si="4"/>
        <v/>
      </c>
      <c r="U96" s="185"/>
      <c r="V96" s="185"/>
      <c r="W96" s="185"/>
    </row>
    <row r="97" ht="14.25" customHeight="1">
      <c r="A97" s="178"/>
      <c r="B97" s="12">
        <v>2183121.0</v>
      </c>
      <c r="C97" s="13">
        <v>46158.89103009259</v>
      </c>
      <c r="D97" s="179" t="s">
        <v>81</v>
      </c>
      <c r="E97" s="180" t="s">
        <v>200</v>
      </c>
      <c r="F97" s="181"/>
      <c r="G97" s="179" t="s">
        <v>381</v>
      </c>
      <c r="H97" s="190"/>
      <c r="I97" s="190"/>
      <c r="J97" s="187" t="s">
        <v>2735</v>
      </c>
      <c r="K97" s="187" t="s">
        <v>6576</v>
      </c>
      <c r="L97" s="270" t="str">
        <f>IFERROR(__xludf.DUMMYFUNCTION("IF(
  AND(D97=""Saída"", J97=""Sangria""),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"),"Confirmada")</f>
        <v>Confirmada</v>
      </c>
      <c r="M97" s="274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IFERROR(__xludf.DUMMYFUNCTION("ifna(VALUE(REGEXEXTRACT(E97,""[0-9.]+[,]+[0-9]+"")))"),300.0)</f>
        <v>300</v>
      </c>
      <c r="O97" s="229"/>
      <c r="P97" s="221"/>
      <c r="Q97" s="221"/>
      <c r="R97" s="231" t="str">
        <f t="shared" si="2"/>
        <v/>
      </c>
      <c r="S97" s="221" t="str">
        <f t="shared" si="3"/>
        <v/>
      </c>
      <c r="T97" s="232" t="str">
        <f t="shared" si="4"/>
        <v/>
      </c>
      <c r="U97" s="185"/>
      <c r="V97" s="185"/>
      <c r="W97" s="185"/>
    </row>
    <row r="98" ht="14.25" customHeight="1">
      <c r="A98" s="178"/>
      <c r="B98" s="12">
        <v>2183124.0</v>
      </c>
      <c r="C98" s="13">
        <v>46158.891863425924</v>
      </c>
      <c r="D98" s="179" t="s">
        <v>81</v>
      </c>
      <c r="E98" s="180" t="s">
        <v>86</v>
      </c>
      <c r="F98" s="181"/>
      <c r="G98" s="179" t="s">
        <v>563</v>
      </c>
      <c r="H98" s="190"/>
      <c r="I98" s="190"/>
      <c r="J98" s="187" t="s">
        <v>3375</v>
      </c>
      <c r="K98" s="187"/>
      <c r="L98" s="270" t="str">
        <f>IFERROR(__xludf.DUMMYFUNCTION("IF(
  AND(D98=""Saída"", J98=""Sangria""),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2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IFERROR(__xludf.DUMMYFUNCTION("ifna(VALUE(REGEXEXTRACT(E98,""[0-9.]+[,]+[0-9]+"")))"),9.0)</f>
        <v>9</v>
      </c>
      <c r="O98" s="226"/>
      <c r="P98" s="220"/>
      <c r="Q98" s="220"/>
      <c r="R98" s="228" t="str">
        <f t="shared" si="2"/>
        <v/>
      </c>
      <c r="S98" s="220" t="str">
        <f t="shared" si="3"/>
        <v/>
      </c>
      <c r="T98" s="232" t="str">
        <f t="shared" si="4"/>
        <v/>
      </c>
      <c r="U98" s="185"/>
      <c r="V98" s="185"/>
      <c r="W98" s="185"/>
    </row>
    <row r="99" ht="14.25" customHeight="1">
      <c r="A99" s="178"/>
      <c r="B99" s="12">
        <v>2184215.0</v>
      </c>
      <c r="C99" s="13">
        <v>46159.68540509259</v>
      </c>
      <c r="D99" s="179" t="s">
        <v>152</v>
      </c>
      <c r="E99" s="180" t="s">
        <v>5420</v>
      </c>
      <c r="F99" s="181"/>
      <c r="G99" s="179" t="s">
        <v>158</v>
      </c>
      <c r="H99" s="190"/>
      <c r="I99" s="190"/>
      <c r="J99" s="187" t="s">
        <v>2669</v>
      </c>
      <c r="K99" s="187"/>
      <c r="L99" s="270" t="str">
        <f>IFERROR(__xludf.DUMMYFUNCTION("IF(
  AND(D99=""Saída"", J99=""Sangria""),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74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IFERROR(__xludf.DUMMYFUNCTION("ifna(VALUE(REGEXEXTRACT(E99,""[0-9.]+[,]+[0-9]+"")))"),26.0)</f>
        <v>26</v>
      </c>
      <c r="O99" s="235"/>
      <c r="P99" s="236"/>
      <c r="Q99" s="236"/>
      <c r="R99" s="237" t="str">
        <f t="shared" si="2"/>
        <v/>
      </c>
      <c r="S99" s="236" t="str">
        <f t="shared" si="3"/>
        <v/>
      </c>
      <c r="T99" s="232" t="str">
        <f t="shared" si="4"/>
        <v/>
      </c>
      <c r="U99" s="185"/>
      <c r="V99" s="185"/>
      <c r="W99" s="185"/>
    </row>
    <row r="100" ht="14.25" customHeight="1">
      <c r="A100" s="178"/>
      <c r="B100" s="12">
        <v>2185109.0</v>
      </c>
      <c r="C100" s="13">
        <v>46159.908101851855</v>
      </c>
      <c r="D100" s="179" t="s">
        <v>81</v>
      </c>
      <c r="E100" s="180" t="s">
        <v>576</v>
      </c>
      <c r="F100" s="181"/>
      <c r="G100" s="179" t="s">
        <v>7049</v>
      </c>
      <c r="H100" s="190"/>
      <c r="I100" s="190"/>
      <c r="J100" s="187" t="s">
        <v>2019</v>
      </c>
      <c r="K100" s="187" t="s">
        <v>6745</v>
      </c>
      <c r="L100" s="270" t="str">
        <f>IFERROR(__xludf.DUMMYFUNCTION("IF(
  AND(D100=""Saída"", J100=""Sangria""),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72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IFERROR(__xludf.DUMMYFUNCTION("ifna(VALUE(REGEXEXTRACT(E100,""[0-9.]+[,]+[0-9]+"")))"),18.0)</f>
        <v>18</v>
      </c>
      <c r="O100" s="235"/>
      <c r="P100" s="236"/>
      <c r="Q100" s="236"/>
      <c r="R100" s="237" t="str">
        <f t="shared" si="2"/>
        <v/>
      </c>
      <c r="S100" s="236" t="str">
        <f t="shared" si="3"/>
        <v/>
      </c>
      <c r="T100" s="232" t="str">
        <f t="shared" si="4"/>
        <v/>
      </c>
      <c r="U100" s="185"/>
      <c r="V100" s="185"/>
      <c r="W100" s="185"/>
    </row>
    <row r="101" ht="14.25" customHeight="1">
      <c r="A101" s="178"/>
      <c r="B101" s="12">
        <v>2185152.0</v>
      </c>
      <c r="C101" s="13">
        <v>46159.9141087963</v>
      </c>
      <c r="D101" s="179" t="s">
        <v>81</v>
      </c>
      <c r="E101" s="180" t="s">
        <v>1248</v>
      </c>
      <c r="F101" s="181"/>
      <c r="G101" s="179" t="s">
        <v>7105</v>
      </c>
      <c r="H101" s="190"/>
      <c r="I101" s="190"/>
      <c r="J101" s="187" t="s">
        <v>2735</v>
      </c>
      <c r="K101" s="187" t="s">
        <v>2018</v>
      </c>
      <c r="L101" s="270" t="str">
        <f>IFERROR(__xludf.DUMMYFUNCTION("IF(
  AND(D101=""Saída"", J101=""Sangria""),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"),"Confirmada")</f>
        <v>Confirmada</v>
      </c>
      <c r="M101" s="276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85">
        <f>IFERROR(__xludf.DUMMYFUNCTION("ifna(VALUE(REGEXEXTRACT(E101,""[0-9.]+[,]+[0-9]+"")))"),850.0)</f>
        <v>850</v>
      </c>
      <c r="O101" s="235"/>
      <c r="P101" s="236"/>
      <c r="Q101" s="236"/>
      <c r="R101" s="237" t="str">
        <f t="shared" si="2"/>
        <v/>
      </c>
      <c r="S101" s="236" t="str">
        <f t="shared" si="3"/>
        <v/>
      </c>
      <c r="T101" s="232" t="str">
        <f t="shared" si="4"/>
        <v/>
      </c>
      <c r="U101" s="185"/>
      <c r="V101" s="185"/>
      <c r="W101" s="185"/>
    </row>
    <row r="102" ht="14.25" customHeight="1">
      <c r="A102" s="178"/>
      <c r="B102" s="12">
        <v>2185163.0</v>
      </c>
      <c r="C102" s="13">
        <v>46159.91475694445</v>
      </c>
      <c r="D102" s="179" t="s">
        <v>81</v>
      </c>
      <c r="E102" s="180" t="s">
        <v>416</v>
      </c>
      <c r="F102" s="181"/>
      <c r="G102" s="179" t="s">
        <v>7319</v>
      </c>
      <c r="H102" s="190"/>
      <c r="I102" s="190"/>
      <c r="J102" s="187" t="s">
        <v>1782</v>
      </c>
      <c r="K102" s="187"/>
      <c r="L102" s="270" t="str">
        <f>IFERROR(__xludf.DUMMYFUNCTION("IF(
  AND(D102=""Saída"", J102=""Sangria""),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2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IFERROR(__xludf.DUMMYFUNCTION("ifna(VALUE(REGEXEXTRACT(E102,""[0-9.]+[,]+[0-9]+"")))"),100.0)</f>
        <v>100</v>
      </c>
      <c r="O102" s="235"/>
      <c r="P102" s="236"/>
      <c r="Q102" s="236"/>
      <c r="R102" s="237" t="str">
        <f t="shared" si="2"/>
        <v/>
      </c>
      <c r="S102" s="236" t="str">
        <f t="shared" si="3"/>
        <v/>
      </c>
      <c r="T102" s="232" t="str">
        <f t="shared" si="4"/>
        <v/>
      </c>
      <c r="U102" s="185"/>
      <c r="V102" s="185"/>
      <c r="W102" s="185"/>
    </row>
    <row r="103" ht="14.25" customHeight="1">
      <c r="A103" s="178"/>
      <c r="B103" s="12">
        <v>2186460.0</v>
      </c>
      <c r="C103" s="13">
        <v>46160.85826388889</v>
      </c>
      <c r="D103" s="179" t="s">
        <v>81</v>
      </c>
      <c r="E103" s="180" t="s">
        <v>7320</v>
      </c>
      <c r="F103" s="181"/>
      <c r="G103" s="179" t="s">
        <v>6838</v>
      </c>
      <c r="H103" s="190"/>
      <c r="I103" s="190"/>
      <c r="J103" s="187" t="s">
        <v>2019</v>
      </c>
      <c r="K103" s="187" t="s">
        <v>6745</v>
      </c>
      <c r="L103" s="270" t="str">
        <f>IFERROR(__xludf.DUMMYFUNCTION("IF(
  AND(D103=""Saída"", J103=""Sangria""),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74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85">
        <f>IFERROR(__xludf.DUMMYFUNCTION("ifna(VALUE(REGEXEXTRACT(E103,""[0-9.]+[,]+[0-9]+"")))"),11.83)</f>
        <v>11.83</v>
      </c>
      <c r="O103" s="235"/>
      <c r="P103" s="236"/>
      <c r="Q103" s="236"/>
      <c r="R103" s="237" t="str">
        <f t="shared" si="2"/>
        <v/>
      </c>
      <c r="S103" s="236" t="str">
        <f t="shared" si="3"/>
        <v/>
      </c>
      <c r="T103" s="232" t="str">
        <f t="shared" si="4"/>
        <v/>
      </c>
      <c r="U103" s="185"/>
      <c r="V103" s="185"/>
      <c r="W103" s="185"/>
    </row>
    <row r="104" ht="14.25" customHeight="1">
      <c r="A104" s="178"/>
      <c r="B104" s="12">
        <v>2186483.0</v>
      </c>
      <c r="C104" s="13">
        <v>46160.87152777778</v>
      </c>
      <c r="D104" s="179" t="s">
        <v>81</v>
      </c>
      <c r="E104" s="180" t="s">
        <v>457</v>
      </c>
      <c r="F104" s="188"/>
      <c r="G104" s="179" t="s">
        <v>128</v>
      </c>
      <c r="H104" s="190"/>
      <c r="I104" s="190"/>
      <c r="J104" s="187" t="s">
        <v>2735</v>
      </c>
      <c r="K104" s="187" t="s">
        <v>6576</v>
      </c>
      <c r="L104" s="270" t="str">
        <f>IFERROR(__xludf.DUMMYFUNCTION("IF(
  AND(D104=""Saída"", J104=""Sangria""),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"),"Confirmada")</f>
        <v>Confirmada</v>
      </c>
      <c r="M104" s="272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85">
        <f>IFERROR(__xludf.DUMMYFUNCTION("ifna(VALUE(REGEXEXTRACT(E104,""[0-9.]+[,]+[0-9]+"")))"),200.0)</f>
        <v>200</v>
      </c>
      <c r="O104" s="239"/>
      <c r="P104" s="240"/>
      <c r="Q104" s="240"/>
      <c r="R104" s="241" t="str">
        <f t="shared" si="2"/>
        <v/>
      </c>
      <c r="S104" s="240" t="str">
        <f t="shared" si="3"/>
        <v/>
      </c>
      <c r="T104" s="242" t="str">
        <f t="shared" si="4"/>
        <v/>
      </c>
      <c r="U104" s="185"/>
      <c r="V104" s="185"/>
      <c r="W104" s="185"/>
    </row>
    <row r="105" ht="14.25" customHeight="1">
      <c r="A105" s="178"/>
      <c r="B105" s="12">
        <v>2187601.0</v>
      </c>
      <c r="C105" s="13">
        <v>46161.81928240741</v>
      </c>
      <c r="D105" s="179" t="s">
        <v>81</v>
      </c>
      <c r="E105" s="180" t="s">
        <v>7321</v>
      </c>
      <c r="F105" s="181"/>
      <c r="G105" s="179" t="s">
        <v>193</v>
      </c>
      <c r="H105" s="190"/>
      <c r="I105" s="190"/>
      <c r="J105" s="187" t="s">
        <v>3151</v>
      </c>
      <c r="K105" s="187"/>
      <c r="L105" s="270" t="str">
        <f>IFERROR(__xludf.DUMMYFUNCTION("IF(
  AND(D105=""Saída"", J105=""Sangria""),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73" t="str">
        <f>IFERROR(__xludf.DUMMYFUNCTION("IF(J105=""Compra de Mercadorias"",
   IF(
      COUNTIF(ARRAYFORMULA(TRIM(CLEAN(TO_TEXT(Notas!BS:BS)))), TRIM(CLEAN(TO_TEXT(B105)))) &gt; 0,
      ""Encontrada"",
      ""Não Encontrada""
   ),
"""")"),"Não Encontrada")</f>
        <v>Não Encontrada</v>
      </c>
      <c r="N105" s="185">
        <f>IFERROR(__xludf.DUMMYFUNCTION("ifna(VALUE(REGEXEXTRACT(E105,""[0-9.]+[,]+[0-9]+"")))"),4.34)</f>
        <v>4.34</v>
      </c>
      <c r="O105" s="25"/>
      <c r="P105" s="25"/>
      <c r="Q105" s="25"/>
      <c r="R105" s="25"/>
      <c r="S105" s="25"/>
      <c r="T105" s="25"/>
      <c r="U105" s="185"/>
      <c r="V105" s="185"/>
      <c r="W105" s="185"/>
    </row>
    <row r="106" ht="14.25" customHeight="1">
      <c r="A106" s="178"/>
      <c r="B106" s="12">
        <v>2187710.0</v>
      </c>
      <c r="C106" s="13">
        <v>46161.87702546296</v>
      </c>
      <c r="D106" s="179" t="s">
        <v>81</v>
      </c>
      <c r="E106" s="180" t="s">
        <v>416</v>
      </c>
      <c r="F106" s="188"/>
      <c r="G106" s="179" t="s">
        <v>3104</v>
      </c>
      <c r="H106" s="190"/>
      <c r="I106" s="190"/>
      <c r="J106" s="187" t="s">
        <v>2735</v>
      </c>
      <c r="K106" s="187" t="s">
        <v>6576</v>
      </c>
      <c r="L106" s="270" t="str">
        <f>IFERROR(__xludf.DUMMYFUNCTION("IF(
  AND(D106=""Saída"", J106=""Sangria""),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"),"Confirmada")</f>
        <v>Confirmada</v>
      </c>
      <c r="M106" s="272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IFERROR(__xludf.DUMMYFUNCTION("ifna(VALUE(REGEXEXTRACT(E106,""[0-9.]+[,]+[0-9]+"")))"),100.0)</f>
        <v>100</v>
      </c>
      <c r="O106" s="289" t="s">
        <v>6698</v>
      </c>
      <c r="W106" s="185"/>
    </row>
    <row r="107" ht="14.25" customHeight="1">
      <c r="A107" s="178"/>
      <c r="B107" s="12">
        <v>2187724.0</v>
      </c>
      <c r="C107" s="13">
        <v>46161.88148148148</v>
      </c>
      <c r="D107" s="179" t="s">
        <v>81</v>
      </c>
      <c r="E107" s="180" t="s">
        <v>350</v>
      </c>
      <c r="F107" s="181"/>
      <c r="G107" s="179" t="s">
        <v>574</v>
      </c>
      <c r="H107" s="190"/>
      <c r="I107" s="190"/>
      <c r="J107" s="187" t="s">
        <v>3375</v>
      </c>
      <c r="K107" s="187"/>
      <c r="L107" s="270" t="str">
        <f>IFERROR(__xludf.DUMMYFUNCTION("IF(
  AND(D107=""Saída"", J107=""Sangria""),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74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IFERROR(__xludf.DUMMYFUNCTION("ifna(VALUE(REGEXEXTRACT(E107,""[0-9.]+[,]+[0-9]+"")))"),12.0)</f>
        <v>12</v>
      </c>
      <c r="O107" s="290" t="str">
        <f>IFERROR(__xludf.DUMMYFUNCTION("QUERY(B28:M507,""Select B,C,D,E,G,H,I,M where M = 'Não Encontrada'"",1)"),"ID")</f>
        <v>ID</v>
      </c>
      <c r="P107" s="290" t="str">
        <f>IFERROR(__xludf.DUMMYFUNCTION("""COMPUTED_VALUE"""),"Data")</f>
        <v>Data</v>
      </c>
      <c r="Q107" s="290" t="str">
        <f>IFERROR(__xludf.DUMMYFUNCTION("""COMPUTED_VALUE"""),"Entrada/Saída")</f>
        <v>Entrada/Saída</v>
      </c>
      <c r="R107" s="291" t="str">
        <f>IFERROR(__xludf.DUMMYFUNCTION("""COMPUTED_VALUE"""),"Valor ")</f>
        <v>Valor </v>
      </c>
      <c r="S107" s="290" t="str">
        <f>IFERROR(__xludf.DUMMYFUNCTION("""COMPUTED_VALUE"""),"Descrição")</f>
        <v>Descrição</v>
      </c>
      <c r="V107" s="292" t="str">
        <f>IFERROR(__xludf.DUMMYFUNCTION("""COMPUTED_VALUE"""),"Nota")</f>
        <v>Nota</v>
      </c>
      <c r="W107" s="185"/>
    </row>
    <row r="108" ht="14.25" customHeight="1">
      <c r="A108" s="178"/>
      <c r="B108" s="12">
        <v>2188932.0</v>
      </c>
      <c r="C108" s="13">
        <v>46162.88443287037</v>
      </c>
      <c r="D108" s="179" t="s">
        <v>81</v>
      </c>
      <c r="E108" s="180" t="s">
        <v>7322</v>
      </c>
      <c r="F108" s="188"/>
      <c r="G108" s="179" t="s">
        <v>114</v>
      </c>
      <c r="H108" s="190"/>
      <c r="I108" s="190"/>
      <c r="J108" s="187" t="s">
        <v>3151</v>
      </c>
      <c r="K108" s="187"/>
      <c r="L108" s="270" t="str">
        <f>IFERROR(__xludf.DUMMYFUNCTION("IF(
  AND(D108=""Saída"", J108=""Sangria""),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2" t="str">
        <f>IFERROR(__xludf.DUMMYFUNCTION("IF(J108=""Compra de Mercadorias"",
   IF(
      COUNTIF(ARRAYFORMULA(TRIM(CLEAN(TO_TEXT(Notas!BS:BS)))), TRIM(CLEAN(TO_TEXT(B108)))) &gt; 0,
      ""Encontrada"",
      ""Não Encontrada""
   ),
"""")"),"Não Encontrada")</f>
        <v>Não Encontrada</v>
      </c>
      <c r="N108" s="185">
        <f>IFERROR(__xludf.DUMMYFUNCTION("ifna(VALUE(REGEXEXTRACT(E108,""[0-9.]+[,]+[0-9]+"")))"),75.49)</f>
        <v>75.49</v>
      </c>
      <c r="O108" s="293">
        <f>IFERROR(__xludf.DUMMYFUNCTION("""COMPUTED_VALUE"""),2154165.0)</f>
        <v>2154165</v>
      </c>
      <c r="P108" s="294">
        <f>IFERROR(__xludf.DUMMYFUNCTION("""COMPUTED_VALUE"""),46140.89148148148)</f>
        <v>46140.89148</v>
      </c>
      <c r="Q108" s="293" t="str">
        <f>IFERROR(__xludf.DUMMYFUNCTION("""COMPUTED_VALUE"""),"Saída")</f>
        <v>Saída</v>
      </c>
      <c r="R108" s="295" t="str">
        <f>IFERROR(__xludf.DUMMYFUNCTION("""COMPUTED_VALUE"""),"R$ 5,99")</f>
        <v>R$ 5,99</v>
      </c>
      <c r="S108" s="293" t="str">
        <f>IFERROR(__xludf.DUMMYFUNCTION("""COMPUTED_VALUE"""),"café funcionários")</f>
        <v>café funcionários</v>
      </c>
      <c r="V108" s="296" t="str">
        <f>IFERROR(__xludf.DUMMYFUNCTION("""COMPUTED_VALUE"""),"Não Encontrada")</f>
        <v>Não Encontrada</v>
      </c>
      <c r="W108" s="185"/>
    </row>
    <row r="109" ht="14.25" customHeight="1">
      <c r="A109" s="178"/>
      <c r="B109" s="12">
        <v>2188933.0</v>
      </c>
      <c r="C109" s="13">
        <v>46162.8846412037</v>
      </c>
      <c r="D109" s="179" t="s">
        <v>81</v>
      </c>
      <c r="E109" s="180" t="s">
        <v>7323</v>
      </c>
      <c r="F109" s="181"/>
      <c r="G109" s="179" t="s">
        <v>211</v>
      </c>
      <c r="H109" s="190"/>
      <c r="I109" s="190"/>
      <c r="J109" s="187" t="s">
        <v>3151</v>
      </c>
      <c r="K109" s="187"/>
      <c r="L109" s="270" t="str">
        <f>IFERROR(__xludf.DUMMYFUNCTION("IF(
  AND(D109=""Saída"", J109=""Sangria""),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74" t="str">
        <f>IFERROR(__xludf.DUMMYFUNCTION("IF(J109=""Compra de Mercadorias"",
   IF(
      COUNTIF(ARRAYFORMULA(TRIM(CLEAN(TO_TEXT(Notas!BS:BS)))), TRIM(CLEAN(TO_TEXT(B109)))) &gt; 0,
      ""Encontrada"",
      ""Não Encontrada""
   ),
"""")"),"Não Encontrada")</f>
        <v>Não Encontrada</v>
      </c>
      <c r="N109" s="185">
        <f>IFERROR(__xludf.DUMMYFUNCTION("ifna(VALUE(REGEXEXTRACT(E109,""[0-9.]+[,]+[0-9]+"")))"),163.76)</f>
        <v>163.76</v>
      </c>
      <c r="O109" s="297">
        <f>IFERROR(__xludf.DUMMYFUNCTION("""COMPUTED_VALUE"""),2154166.0)</f>
        <v>2154166</v>
      </c>
      <c r="P109" s="298">
        <f>IFERROR(__xludf.DUMMYFUNCTION("""COMPUTED_VALUE"""),46140.89184027778)</f>
        <v>46140.89184</v>
      </c>
      <c r="Q109" s="297" t="str">
        <f>IFERROR(__xludf.DUMMYFUNCTION("""COMPUTED_VALUE"""),"Saída")</f>
        <v>Saída</v>
      </c>
      <c r="R109" s="299" t="str">
        <f>IFERROR(__xludf.DUMMYFUNCTION("""COMPUTED_VALUE"""),"R$ 11,80")</f>
        <v>R$ 11,80</v>
      </c>
      <c r="S109" s="297" t="str">
        <f>IFERROR(__xludf.DUMMYFUNCTION("""COMPUTED_VALUE"""),"bobina termica")</f>
        <v>bobina termica</v>
      </c>
      <c r="V109" s="300" t="str">
        <f>IFERROR(__xludf.DUMMYFUNCTION("""COMPUTED_VALUE"""),"Não Encontrada")</f>
        <v>Não Encontrada</v>
      </c>
      <c r="W109" s="185"/>
    </row>
    <row r="110" ht="14.25" customHeight="1">
      <c r="A110" s="178"/>
      <c r="B110" s="12">
        <v>2188942.0</v>
      </c>
      <c r="C110" s="13">
        <v>46162.88707175926</v>
      </c>
      <c r="D110" s="179" t="s">
        <v>81</v>
      </c>
      <c r="E110" s="180" t="s">
        <v>7324</v>
      </c>
      <c r="F110" s="181"/>
      <c r="G110" s="179" t="s">
        <v>7325</v>
      </c>
      <c r="H110" s="190"/>
      <c r="I110" s="190"/>
      <c r="J110" s="187" t="s">
        <v>3151</v>
      </c>
      <c r="K110" s="187"/>
      <c r="L110" s="270" t="str">
        <f>IFERROR(__xludf.DUMMYFUNCTION("IF(
  AND(D110=""Saída"", J110=""Sangria""),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2" t="str">
        <f>IFERROR(__xludf.DUMMYFUNCTION("IF(J110=""Compra de Mercadorias"",
   IF(
      COUNTIF(ARRAYFORMULA(TRIM(CLEAN(TO_TEXT(Notas!BS:BS)))), TRIM(CLEAN(TO_TEXT(B110)))) &gt; 0,
      ""Encontrada"",
      ""Não Encontrada""
   ),
"""")"),"Não Encontrada")</f>
        <v>Não Encontrada</v>
      </c>
      <c r="N110" s="185">
        <f>IFERROR(__xludf.DUMMYFUNCTION("ifna(VALUE(REGEXEXTRACT(E110,""[0-9.]+[,]+[0-9]+"")))"),24.98)</f>
        <v>24.98</v>
      </c>
      <c r="O110" s="293">
        <f>IFERROR(__xludf.DUMMYFUNCTION("""COMPUTED_VALUE"""),2154363.0)</f>
        <v>2154363</v>
      </c>
      <c r="P110" s="294">
        <f>IFERROR(__xludf.DUMMYFUNCTION("""COMPUTED_VALUE"""),46140.923668981486)</f>
        <v>46140.92367</v>
      </c>
      <c r="Q110" s="293" t="str">
        <f>IFERROR(__xludf.DUMMYFUNCTION("""COMPUTED_VALUE"""),"Saída")</f>
        <v>Saída</v>
      </c>
      <c r="R110" s="295" t="str">
        <f>IFERROR(__xludf.DUMMYFUNCTION("""COMPUTED_VALUE"""),"R$ 314,12")</f>
        <v>R$ 314,12</v>
      </c>
      <c r="S110" s="293" t="str">
        <f>IFERROR(__xludf.DUMMYFUNCTION("""COMPUTED_VALUE"""),"PGTO FRUTARIA MARTA ESQUECIDO DE LANÇAR NO TBA")</f>
        <v>PGTO FRUTARIA MARTA ESQUECIDO DE LANÇAR NO TBA</v>
      </c>
      <c r="V110" s="296" t="str">
        <f>IFERROR(__xludf.DUMMYFUNCTION("""COMPUTED_VALUE"""),"Não Encontrada")</f>
        <v>Não Encontrada</v>
      </c>
      <c r="W110" s="185"/>
    </row>
    <row r="111" ht="14.25" customHeight="1">
      <c r="A111" s="178"/>
      <c r="B111" s="12">
        <v>2188975.0</v>
      </c>
      <c r="C111" s="13">
        <v>46162.890543981484</v>
      </c>
      <c r="D111" s="179" t="s">
        <v>81</v>
      </c>
      <c r="E111" s="180" t="s">
        <v>3809</v>
      </c>
      <c r="F111" s="181"/>
      <c r="G111" s="179" t="s">
        <v>128</v>
      </c>
      <c r="H111" s="190"/>
      <c r="I111" s="190"/>
      <c r="J111" s="187" t="s">
        <v>2735</v>
      </c>
      <c r="K111" s="187" t="s">
        <v>6576</v>
      </c>
      <c r="L111" s="270" t="str">
        <f>IFERROR(__xludf.DUMMYFUNCTION("IF(
  AND(D111=""Saída"", J111=""Sangria""),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"),"Confirmada")</f>
        <v>Confirmada</v>
      </c>
      <c r="M111" s="274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>
        <f>IFERROR(__xludf.DUMMYFUNCTION("ifna(VALUE(REGEXEXTRACT(E111,""[0-9.]+[,]+[0-9]+"")))"),390.0)</f>
        <v>390</v>
      </c>
      <c r="O111" s="297">
        <f>IFERROR(__xludf.DUMMYFUNCTION("""COMPUTED_VALUE"""),2157217.0)</f>
        <v>2157217</v>
      </c>
      <c r="P111" s="298">
        <f>IFERROR(__xludf.DUMMYFUNCTION("""COMPUTED_VALUE"""),46142.91122685185)</f>
        <v>46142.91123</v>
      </c>
      <c r="Q111" s="297" t="str">
        <f>IFERROR(__xludf.DUMMYFUNCTION("""COMPUTED_VALUE"""),"Saída")</f>
        <v>Saída</v>
      </c>
      <c r="R111" s="299" t="str">
        <f>IFERROR(__xludf.DUMMYFUNCTION("""COMPUTED_VALUE"""),"R$ 8,68")</f>
        <v>R$ 8,68</v>
      </c>
      <c r="S111" s="297" t="str">
        <f>IFERROR(__xludf.DUMMYFUNCTION("""COMPUTED_VALUE"""),"FRUTAS")</f>
        <v>FRUTAS</v>
      </c>
      <c r="V111" s="300" t="str">
        <f>IFERROR(__xludf.DUMMYFUNCTION("""COMPUTED_VALUE"""),"Não Encontrada")</f>
        <v>Não Encontrada</v>
      </c>
      <c r="W111" s="185"/>
    </row>
    <row r="112" ht="14.25" customHeight="1">
      <c r="A112" s="178"/>
      <c r="B112" s="12">
        <v>2190114.0</v>
      </c>
      <c r="C112" s="13">
        <v>46163.86625</v>
      </c>
      <c r="D112" s="179" t="s">
        <v>81</v>
      </c>
      <c r="E112" s="180" t="s">
        <v>200</v>
      </c>
      <c r="F112" s="181"/>
      <c r="G112" s="179" t="s">
        <v>128</v>
      </c>
      <c r="H112" s="190"/>
      <c r="I112" s="190"/>
      <c r="J112" s="187" t="s">
        <v>2735</v>
      </c>
      <c r="K112" s="187" t="s">
        <v>6576</v>
      </c>
      <c r="L112" s="270" t="str">
        <f>IFERROR(__xludf.DUMMYFUNCTION("IF(
  AND(D112=""Saída"", J112=""Sangria""),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"),"Confirmada")</f>
        <v>Confirmada</v>
      </c>
      <c r="M112" s="276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>
        <f>IFERROR(__xludf.DUMMYFUNCTION("ifna(VALUE(REGEXEXTRACT(E112,""[0-9.]+[,]+[0-9]+"")))"),300.0)</f>
        <v>300</v>
      </c>
      <c r="O112" s="293">
        <f>IFERROR(__xludf.DUMMYFUNCTION("""COMPUTED_VALUE"""),2157226.0)</f>
        <v>2157226</v>
      </c>
      <c r="P112" s="294">
        <f>IFERROR(__xludf.DUMMYFUNCTION("""COMPUTED_VALUE"""),46142.91306712963)</f>
        <v>46142.91307</v>
      </c>
      <c r="Q112" s="293" t="str">
        <f>IFERROR(__xludf.DUMMYFUNCTION("""COMPUTED_VALUE"""),"Saída")</f>
        <v>Saída</v>
      </c>
      <c r="R112" s="295" t="str">
        <f>IFERROR(__xludf.DUMMYFUNCTION("""COMPUTED_VALUE"""),"R$ 25,00")</f>
        <v>R$ 25,00</v>
      </c>
      <c r="S112" s="293" t="str">
        <f>IFERROR(__xludf.DUMMYFUNCTION("""COMPUTED_VALUE"""),"CAFE FUNCIONARIOS DIA TRABALHADOR")</f>
        <v>CAFE FUNCIONARIOS DIA TRABALHADOR</v>
      </c>
      <c r="V112" s="296" t="str">
        <f>IFERROR(__xludf.DUMMYFUNCTION("""COMPUTED_VALUE"""),"Não Encontrada")</f>
        <v>Não Encontrada</v>
      </c>
      <c r="W112" s="185"/>
    </row>
    <row r="113" ht="14.25" customHeight="1">
      <c r="A113" s="178"/>
      <c r="B113" s="12">
        <v>2190944.0</v>
      </c>
      <c r="C113" s="13">
        <v>46164.676030092596</v>
      </c>
      <c r="D113" s="179" t="s">
        <v>152</v>
      </c>
      <c r="E113" s="180" t="s">
        <v>5344</v>
      </c>
      <c r="F113" s="181"/>
      <c r="G113" s="179" t="s">
        <v>267</v>
      </c>
      <c r="H113" s="190"/>
      <c r="I113" s="190"/>
      <c r="J113" s="187" t="s">
        <v>2669</v>
      </c>
      <c r="K113" s="187"/>
      <c r="L113" s="270" t="str">
        <f>IFERROR(__xludf.DUMMYFUNCTION("IF(
  AND(D113=""Saída"", J113=""Sangria""),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74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>
        <f>IFERROR(__xludf.DUMMYFUNCTION("ifna(VALUE(REGEXEXTRACT(E113,""[0-9.]+[,]+[0-9]+"")))"),11.5)</f>
        <v>11.5</v>
      </c>
      <c r="O113" s="297">
        <f>IFERROR(__xludf.DUMMYFUNCTION("""COMPUTED_VALUE"""),2157484.0)</f>
        <v>2157484</v>
      </c>
      <c r="P113" s="298">
        <f>IFERROR(__xludf.DUMMYFUNCTION("""COMPUTED_VALUE"""),46142.94703703704)</f>
        <v>46142.94704</v>
      </c>
      <c r="Q113" s="297" t="str">
        <f>IFERROR(__xludf.DUMMYFUNCTION("""COMPUTED_VALUE"""),"Saída")</f>
        <v>Saída</v>
      </c>
      <c r="R113" s="299" t="str">
        <f>IFERROR(__xludf.DUMMYFUNCTION("""COMPUTED_VALUE"""),"R$ 101,61")</f>
        <v>R$ 101,61</v>
      </c>
      <c r="S113" s="297" t="str">
        <f>IFERROR(__xludf.DUMMYFUNCTION("""COMPUTED_VALUE"""),"CAFE FUNCIONARIOS DIA DOS TRABALHADOR")</f>
        <v>CAFE FUNCIONARIOS DIA DOS TRABALHADOR</v>
      </c>
      <c r="V113" s="300" t="str">
        <f>IFERROR(__xludf.DUMMYFUNCTION("""COMPUTED_VALUE"""),"Não Encontrada")</f>
        <v>Não Encontrada</v>
      </c>
      <c r="W113" s="185"/>
    </row>
    <row r="114" ht="14.25" customHeight="1">
      <c r="A114" s="178"/>
      <c r="B114" s="12">
        <v>2191357.0</v>
      </c>
      <c r="C114" s="13">
        <v>46164.87489583333</v>
      </c>
      <c r="D114" s="179" t="s">
        <v>81</v>
      </c>
      <c r="E114" s="180" t="s">
        <v>6515</v>
      </c>
      <c r="F114" s="181"/>
      <c r="G114" s="179" t="s">
        <v>193</v>
      </c>
      <c r="H114" s="190"/>
      <c r="I114" s="190"/>
      <c r="J114" s="187" t="s">
        <v>3151</v>
      </c>
      <c r="K114" s="187"/>
      <c r="L114" s="270" t="str">
        <f>IFERROR(__xludf.DUMMYFUNCTION("IF(
  AND(D114=""Saída"", J114=""Sangria""),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2" t="str">
        <f>IFERROR(__xludf.DUMMYFUNCTION("IF(J114=""Compra de Mercadorias"",
   IF(
      COUNTIF(ARRAYFORMULA(TRIM(CLEAN(TO_TEXT(Notas!BS:BS)))), TRIM(CLEAN(TO_TEXT(B114)))) &gt; 0,
      ""Encontrada"",
      ""Não Encontrada""
   ),
"""")"),"Não Encontrada")</f>
        <v>Não Encontrada</v>
      </c>
      <c r="N114" s="185">
        <f>IFERROR(__xludf.DUMMYFUNCTION("ifna(VALUE(REGEXEXTRACT(E114,""[0-9.]+[,]+[0-9]+"")))"),15.98)</f>
        <v>15.98</v>
      </c>
      <c r="O114" s="293">
        <f>IFERROR(__xludf.DUMMYFUNCTION("""COMPUTED_VALUE"""),2164132.0)</f>
        <v>2164132</v>
      </c>
      <c r="P114" s="294">
        <f>IFERROR(__xludf.DUMMYFUNCTION("""COMPUTED_VALUE"""),46145.9478125)</f>
        <v>46145.94781</v>
      </c>
      <c r="Q114" s="293" t="str">
        <f>IFERROR(__xludf.DUMMYFUNCTION("""COMPUTED_VALUE"""),"Saída")</f>
        <v>Saída</v>
      </c>
      <c r="R114" s="295" t="str">
        <f>IFERROR(__xludf.DUMMYFUNCTION("""COMPUTED_VALUE"""),"R$ 91,64")</f>
        <v>R$ 91,64</v>
      </c>
      <c r="S114" s="293" t="str">
        <f>IFERROR(__xludf.DUMMYFUNCTION("""COMPUTED_VALUE"""),"café funcionarios")</f>
        <v>café funcionarios</v>
      </c>
      <c r="V114" s="296" t="str">
        <f>IFERROR(__xludf.DUMMYFUNCTION("""COMPUTED_VALUE"""),"Não Encontrada")</f>
        <v>Não Encontrada</v>
      </c>
      <c r="W114" s="185"/>
    </row>
    <row r="115" ht="14.25" customHeight="1">
      <c r="A115" s="178"/>
      <c r="B115" s="12">
        <v>2191358.0</v>
      </c>
      <c r="C115" s="13">
        <v>46164.87509259259</v>
      </c>
      <c r="D115" s="179" t="s">
        <v>81</v>
      </c>
      <c r="E115" s="180" t="s">
        <v>5844</v>
      </c>
      <c r="F115" s="181"/>
      <c r="G115" s="179" t="s">
        <v>193</v>
      </c>
      <c r="H115" s="190"/>
      <c r="I115" s="190"/>
      <c r="J115" s="187" t="s">
        <v>3151</v>
      </c>
      <c r="K115" s="187"/>
      <c r="L115" s="270" t="str">
        <f>IFERROR(__xludf.DUMMYFUNCTION("IF(
  AND(D115=""Saída"", J115=""Sangria""),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74" t="str">
        <f>IFERROR(__xludf.DUMMYFUNCTION("IF(J115=""Compra de Mercadorias"",
   IF(
      COUNTIF(ARRAYFORMULA(TRIM(CLEAN(TO_TEXT(Notas!BS:BS)))), TRIM(CLEAN(TO_TEXT(B115)))) &gt; 0,
      ""Encontrada"",
      ""Não Encontrada""
   ),
"""")"),"Não Encontrada")</f>
        <v>Não Encontrada</v>
      </c>
      <c r="N115" s="185">
        <f>IFERROR(__xludf.DUMMYFUNCTION("ifna(VALUE(REGEXEXTRACT(E115,""[0-9.]+[,]+[0-9]+"")))"),4.99)</f>
        <v>4.99</v>
      </c>
      <c r="O115" s="301">
        <f>IFERROR(__xludf.DUMMYFUNCTION("""COMPUTED_VALUE"""),2166228.0)</f>
        <v>2166228</v>
      </c>
      <c r="P115" s="302">
        <f>IFERROR(__xludf.DUMMYFUNCTION("""COMPUTED_VALUE"""),46147.672627314816)</f>
        <v>46147.67263</v>
      </c>
      <c r="Q115" s="301" t="str">
        <f>IFERROR(__xludf.DUMMYFUNCTION("""COMPUTED_VALUE"""),"Saída")</f>
        <v>Saída</v>
      </c>
      <c r="R115" s="303" t="str">
        <f>IFERROR(__xludf.DUMMYFUNCTION("""COMPUTED_VALUE"""),"R$ 93,23")</f>
        <v>R$ 93,23</v>
      </c>
      <c r="S115" s="301" t="str">
        <f>IFERROR(__xludf.DUMMYFUNCTION("""COMPUTED_VALUE"""),"FRUTAS E CAFE FUNCIONARIOS")</f>
        <v>FRUTAS E CAFE FUNCIONARIOS</v>
      </c>
      <c r="V115" s="304" t="str">
        <f>IFERROR(__xludf.DUMMYFUNCTION("""COMPUTED_VALUE"""),"Não Encontrada")</f>
        <v>Não Encontrada</v>
      </c>
      <c r="W115" s="185"/>
    </row>
    <row r="116" ht="14.25" customHeight="1">
      <c r="A116" s="178"/>
      <c r="B116" s="12">
        <v>2191359.0</v>
      </c>
      <c r="C116" s="13">
        <v>46164.875451388885</v>
      </c>
      <c r="D116" s="179" t="s">
        <v>81</v>
      </c>
      <c r="E116" s="180" t="s">
        <v>1334</v>
      </c>
      <c r="F116" s="181"/>
      <c r="G116" s="179" t="s">
        <v>290</v>
      </c>
      <c r="H116" s="190"/>
      <c r="I116" s="190"/>
      <c r="J116" s="187" t="s">
        <v>3151</v>
      </c>
      <c r="K116" s="187"/>
      <c r="L116" s="270" t="str">
        <f>IFERROR(__xludf.DUMMYFUNCTION("IF(
  AND(D116=""Saída"", J116=""Sangria""),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2" t="str">
        <f>IFERROR(__xludf.DUMMYFUNCTION("IF(J116=""Compra de Mercadorias"",
   IF(
      COUNTIF(ARRAYFORMULA(TRIM(CLEAN(TO_TEXT(Notas!BS:BS)))), TRIM(CLEAN(TO_TEXT(B116)))) &gt; 0,
      ""Encontrada"",
      ""Não Encontrada""
   ),
"""")"),"Não Encontrada")</f>
        <v>Não Encontrada</v>
      </c>
      <c r="N116" s="185">
        <f>IFERROR(__xludf.DUMMYFUNCTION("ifna(VALUE(REGEXEXTRACT(E116,""[0-9.]+[,]+[0-9]+"")))"),48.0)</f>
        <v>48</v>
      </c>
      <c r="O116" s="305">
        <f>IFERROR(__xludf.DUMMYFUNCTION("""COMPUTED_VALUE"""),2172070.0)</f>
        <v>2172070</v>
      </c>
      <c r="P116" s="306">
        <f>IFERROR(__xludf.DUMMYFUNCTION("""COMPUTED_VALUE"""),46150.87905092593)</f>
        <v>46150.87905</v>
      </c>
      <c r="Q116" s="305" t="str">
        <f>IFERROR(__xludf.DUMMYFUNCTION("""COMPUTED_VALUE"""),"Saída")</f>
        <v>Saída</v>
      </c>
      <c r="R116" s="307" t="str">
        <f>IFERROR(__xludf.DUMMYFUNCTION("""COMPUTED_VALUE"""),"R$ 15,00")</f>
        <v>R$ 15,00</v>
      </c>
      <c r="S116" s="305" t="str">
        <f>IFERROR(__xludf.DUMMYFUNCTION("""COMPUTED_VALUE"""),"impressao")</f>
        <v>impressao</v>
      </c>
      <c r="V116" s="308" t="str">
        <f>IFERROR(__xludf.DUMMYFUNCTION("""COMPUTED_VALUE"""),"Não Encontrada")</f>
        <v>Não Encontrada</v>
      </c>
      <c r="W116" s="185"/>
    </row>
    <row r="117" ht="14.25" customHeight="1">
      <c r="A117" s="178"/>
      <c r="B117" s="12">
        <v>2191372.0</v>
      </c>
      <c r="C117" s="13">
        <v>46164.87929398148</v>
      </c>
      <c r="D117" s="179" t="s">
        <v>81</v>
      </c>
      <c r="E117" s="180" t="s">
        <v>416</v>
      </c>
      <c r="F117" s="181"/>
      <c r="G117" s="179" t="s">
        <v>128</v>
      </c>
      <c r="H117" s="190"/>
      <c r="I117" s="190"/>
      <c r="J117" s="187" t="s">
        <v>2735</v>
      </c>
      <c r="K117" s="187" t="s">
        <v>6576</v>
      </c>
      <c r="L117" s="270" t="str">
        <f>IFERROR(__xludf.DUMMYFUNCTION("IF(
  AND(D117=""Saída"", J117=""Sangria""),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"),"Confirmada")</f>
        <v>Confirmada</v>
      </c>
      <c r="M117" s="274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85">
        <f>IFERROR(__xludf.DUMMYFUNCTION("ifna(VALUE(REGEXEXTRACT(E117,""[0-9.]+[,]+[0-9]+"")))"),100.0)</f>
        <v>100</v>
      </c>
      <c r="O117" s="301">
        <f>IFERROR(__xludf.DUMMYFUNCTION("""COMPUTED_VALUE"""),2174271.0)</f>
        <v>2174271</v>
      </c>
      <c r="P117" s="302">
        <f>IFERROR(__xludf.DUMMYFUNCTION("""COMPUTED_VALUE"""),46152.54564814815)</f>
        <v>46152.54565</v>
      </c>
      <c r="Q117" s="301" t="str">
        <f>IFERROR(__xludf.DUMMYFUNCTION("""COMPUTED_VALUE"""),"Saída")</f>
        <v>Saída</v>
      </c>
      <c r="R117" s="303" t="str">
        <f>IFERROR(__xludf.DUMMYFUNCTION("""COMPUTED_VALUE"""),"R$ 119,63")</f>
        <v>R$ 119,63</v>
      </c>
      <c r="S117" s="301" t="str">
        <f>IFERROR(__xludf.DUMMYFUNCTION("""COMPUTED_VALUE"""),"frutas e cafe funcionarios")</f>
        <v>frutas e cafe funcionarios</v>
      </c>
      <c r="V117" s="304" t="str">
        <f>IFERROR(__xludf.DUMMYFUNCTION("""COMPUTED_VALUE"""),"Não Encontrada")</f>
        <v>Não Encontrada</v>
      </c>
      <c r="W117" s="185"/>
    </row>
    <row r="118" ht="14.25" customHeight="1">
      <c r="A118" s="178"/>
      <c r="B118" s="12">
        <v>2194851.0</v>
      </c>
      <c r="C118" s="13">
        <v>46166.94425925926</v>
      </c>
      <c r="D118" s="179" t="s">
        <v>81</v>
      </c>
      <c r="E118" s="180" t="s">
        <v>1228</v>
      </c>
      <c r="F118" s="181"/>
      <c r="G118" s="179" t="s">
        <v>381</v>
      </c>
      <c r="H118" s="190"/>
      <c r="I118" s="190"/>
      <c r="J118" s="187" t="s">
        <v>2735</v>
      </c>
      <c r="K118" s="187" t="s">
        <v>6576</v>
      </c>
      <c r="L118" s="270" t="str">
        <f>IFERROR(__xludf.DUMMYFUNCTION("IF(
  AND(D118=""Saída"", J118=""Sangria""),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"),"Confirmada")</f>
        <v>Confirmada</v>
      </c>
      <c r="M118" s="272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>
        <f>IFERROR(__xludf.DUMMYFUNCTION("ifna(VALUE(REGEXEXTRACT(E118,""[0-9.]+[,]+[0-9]+"")))"),950.0)</f>
        <v>950</v>
      </c>
      <c r="O118" s="305">
        <f>IFERROR(__xludf.DUMMYFUNCTION("""COMPUTED_VALUE"""),2176587.0)</f>
        <v>2176587</v>
      </c>
      <c r="P118" s="306">
        <f>IFERROR(__xludf.DUMMYFUNCTION("""COMPUTED_VALUE"""),46153.86177083333)</f>
        <v>46153.86177</v>
      </c>
      <c r="Q118" s="305" t="str">
        <f>IFERROR(__xludf.DUMMYFUNCTION("""COMPUTED_VALUE"""),"Saída")</f>
        <v>Saída</v>
      </c>
      <c r="R118" s="307" t="str">
        <f>IFERROR(__xludf.DUMMYFUNCTION("""COMPUTED_VALUE"""),"R$ 24,00")</f>
        <v>R$ 24,00</v>
      </c>
      <c r="S118" s="305" t="str">
        <f>IFERROR(__xludf.DUMMYFUNCTION("""COMPUTED_VALUE"""),"impressões")</f>
        <v>impressões</v>
      </c>
      <c r="V118" s="308" t="str">
        <f>IFERROR(__xludf.DUMMYFUNCTION("""COMPUTED_VALUE"""),"Não Encontrada")</f>
        <v>Não Encontrada</v>
      </c>
      <c r="W118" s="185"/>
    </row>
    <row r="119" ht="14.25" customHeight="1">
      <c r="A119" s="178"/>
      <c r="B119" s="12">
        <v>2194859.0</v>
      </c>
      <c r="C119" s="13">
        <v>46166.9453125</v>
      </c>
      <c r="D119" s="179" t="s">
        <v>81</v>
      </c>
      <c r="E119" s="180" t="s">
        <v>335</v>
      </c>
      <c r="F119" s="181"/>
      <c r="G119" s="179" t="s">
        <v>7326</v>
      </c>
      <c r="H119" s="190"/>
      <c r="I119" s="190"/>
      <c r="J119" s="187" t="s">
        <v>3375</v>
      </c>
      <c r="K119" s="187"/>
      <c r="L119" s="270" t="str">
        <f>IFERROR(__xludf.DUMMYFUNCTION("IF(
  AND(D119=""Saída"", J119=""Sangria""),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74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>
        <f>IFERROR(__xludf.DUMMYFUNCTION("ifna(VALUE(REGEXEXTRACT(E119,""[0-9.]+[,]+[0-9]+"")))"),10.0)</f>
        <v>10</v>
      </c>
      <c r="O119" s="301">
        <f>IFERROR(__xludf.DUMMYFUNCTION("""COMPUTED_VALUE"""),2176612.0)</f>
        <v>2176612</v>
      </c>
      <c r="P119" s="302">
        <f>IFERROR(__xludf.DUMMYFUNCTION("""COMPUTED_VALUE"""),46153.87622685185)</f>
        <v>46153.87623</v>
      </c>
      <c r="Q119" s="301" t="str">
        <f>IFERROR(__xludf.DUMMYFUNCTION("""COMPUTED_VALUE"""),"Saída")</f>
        <v>Saída</v>
      </c>
      <c r="R119" s="303" t="str">
        <f>IFERROR(__xludf.DUMMYFUNCTION("""COMPUTED_VALUE"""),"R$ 13,98")</f>
        <v>R$ 13,98</v>
      </c>
      <c r="S119" s="301" t="str">
        <f>IFERROR(__xludf.DUMMYFUNCTION("""COMPUTED_VALUE"""),"café funcionários")</f>
        <v>café funcionários</v>
      </c>
      <c r="V119" s="304" t="str">
        <f>IFERROR(__xludf.DUMMYFUNCTION("""COMPUTED_VALUE"""),"Não Encontrada")</f>
        <v>Não Encontrada</v>
      </c>
      <c r="W119" s="185"/>
    </row>
    <row r="120" ht="14.25" customHeight="1">
      <c r="A120" s="178"/>
      <c r="B120" s="12">
        <v>2194876.0</v>
      </c>
      <c r="C120" s="13">
        <v>46166.94799768519</v>
      </c>
      <c r="D120" s="179" t="s">
        <v>81</v>
      </c>
      <c r="E120" s="180" t="s">
        <v>7327</v>
      </c>
      <c r="F120" s="188"/>
      <c r="G120" s="179" t="s">
        <v>427</v>
      </c>
      <c r="H120" s="190"/>
      <c r="I120" s="190"/>
      <c r="J120" s="187" t="s">
        <v>1782</v>
      </c>
      <c r="K120" s="187"/>
      <c r="L120" s="270" t="str">
        <f>IFERROR(__xludf.DUMMYFUNCTION("IF(
  AND(D120=""Saída"", J120=""Sangria""),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2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>
        <f>IFERROR(__xludf.DUMMYFUNCTION("ifna(VALUE(REGEXEXTRACT(E120,""[0-9.]+[,]+[0-9]+"")))"),127.0)</f>
        <v>127</v>
      </c>
      <c r="O120" s="305">
        <f>IFERROR(__xludf.DUMMYFUNCTION("""COMPUTED_VALUE"""),2176613.0)</f>
        <v>2176613</v>
      </c>
      <c r="P120" s="306">
        <f>IFERROR(__xludf.DUMMYFUNCTION("""COMPUTED_VALUE"""),46153.87657407408)</f>
        <v>46153.87657</v>
      </c>
      <c r="Q120" s="305" t="str">
        <f>IFERROR(__xludf.DUMMYFUNCTION("""COMPUTED_VALUE"""),"Saída")</f>
        <v>Saída</v>
      </c>
      <c r="R120" s="307" t="str">
        <f>IFERROR(__xludf.DUMMYFUNCTION("""COMPUTED_VALUE"""),"R$ 5,99")</f>
        <v>R$ 5,99</v>
      </c>
      <c r="S120" s="305" t="str">
        <f>IFERROR(__xludf.DUMMYFUNCTION("""COMPUTED_VALUE"""),"material escritório")</f>
        <v>material escritório</v>
      </c>
      <c r="V120" s="308" t="str">
        <f>IFERROR(__xludf.DUMMYFUNCTION("""COMPUTED_VALUE"""),"Não Encontrada")</f>
        <v>Não Encontrada</v>
      </c>
      <c r="W120" s="185"/>
    </row>
    <row r="121" ht="14.25" customHeight="1">
      <c r="A121" s="178"/>
      <c r="B121" s="12">
        <v>2195928.0</v>
      </c>
      <c r="C121" s="13">
        <v>46167.86445601852</v>
      </c>
      <c r="D121" s="179" t="s">
        <v>81</v>
      </c>
      <c r="E121" s="180" t="s">
        <v>457</v>
      </c>
      <c r="F121" s="188"/>
      <c r="G121" s="179" t="s">
        <v>128</v>
      </c>
      <c r="H121" s="190"/>
      <c r="I121" s="190"/>
      <c r="J121" s="187" t="s">
        <v>2735</v>
      </c>
      <c r="K121" s="187" t="s">
        <v>6576</v>
      </c>
      <c r="L121" s="270" t="str">
        <f>IFERROR(__xludf.DUMMYFUNCTION("IF(
  AND(D121=""Saída"", J121=""Sangria""),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"),"Confirmada")</f>
        <v>Confirmada</v>
      </c>
      <c r="M121" s="274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85">
        <f>IFERROR(__xludf.DUMMYFUNCTION("ifna(VALUE(REGEXEXTRACT(E121,""[0-9.]+[,]+[0-9]+"")))"),200.0)</f>
        <v>200</v>
      </c>
      <c r="O121" s="301">
        <f>IFERROR(__xludf.DUMMYFUNCTION("""COMPUTED_VALUE"""),2180005.0)</f>
        <v>2180005</v>
      </c>
      <c r="P121" s="302">
        <f>IFERROR(__xludf.DUMMYFUNCTION("""COMPUTED_VALUE"""),46156.778090277774)</f>
        <v>46156.77809</v>
      </c>
      <c r="Q121" s="301" t="str">
        <f>IFERROR(__xludf.DUMMYFUNCTION("""COMPUTED_VALUE"""),"Saída")</f>
        <v>Saída</v>
      </c>
      <c r="R121" s="303" t="str">
        <f>IFERROR(__xludf.DUMMYFUNCTION("""COMPUTED_VALUE"""),"R$ 90,20")</f>
        <v>R$ 90,20</v>
      </c>
      <c r="S121" s="301" t="str">
        <f>IFERROR(__xludf.DUMMYFUNCTION("""COMPUTED_VALUE"""),"manutenção loja")</f>
        <v>manutenção loja</v>
      </c>
      <c r="V121" s="304" t="str">
        <f>IFERROR(__xludf.DUMMYFUNCTION("""COMPUTED_VALUE"""),"Não Encontrada")</f>
        <v>Não Encontrada</v>
      </c>
      <c r="W121" s="185"/>
    </row>
    <row r="122" ht="14.25" customHeight="1">
      <c r="A122" s="178"/>
      <c r="B122" s="12"/>
      <c r="C122" s="13"/>
      <c r="D122" s="179"/>
      <c r="E122" s="180"/>
      <c r="F122" s="181"/>
      <c r="G122" s="179"/>
      <c r="H122" s="190"/>
      <c r="I122" s="190"/>
      <c r="J122" s="187"/>
      <c r="K122" s="187"/>
      <c r="L122" s="270" t="str">
        <f>IFERROR(__xludf.DUMMYFUNCTION("IF(
  AND(D122=""Saída"", J122=""Sangria""),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2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 t="str">
        <f>IFERROR(__xludf.DUMMYFUNCTION("ifna(VALUE(REGEXEXTRACT(E122,""[0-9.]+[,]+[0-9]+"")))"),"")</f>
        <v/>
      </c>
      <c r="O122" s="305">
        <f>IFERROR(__xludf.DUMMYFUNCTION("""COMPUTED_VALUE"""),2182889.0)</f>
        <v>2182889</v>
      </c>
      <c r="P122" s="306">
        <f>IFERROR(__xludf.DUMMYFUNCTION("""COMPUTED_VALUE"""),46158.82603009259)</f>
        <v>46158.82603</v>
      </c>
      <c r="Q122" s="305" t="str">
        <f>IFERROR(__xludf.DUMMYFUNCTION("""COMPUTED_VALUE"""),"Saída")</f>
        <v>Saída</v>
      </c>
      <c r="R122" s="307" t="str">
        <f>IFERROR(__xludf.DUMMYFUNCTION("""COMPUTED_VALUE"""),"R$ 94,41")</f>
        <v>R$ 94,41</v>
      </c>
      <c r="S122" s="305" t="str">
        <f>IFERROR(__xludf.DUMMYFUNCTION("""COMPUTED_VALUE"""),"frutas")</f>
        <v>frutas</v>
      </c>
      <c r="V122" s="308" t="str">
        <f>IFERROR(__xludf.DUMMYFUNCTION("""COMPUTED_VALUE"""),"Não Encontrada")</f>
        <v>Não Encontrada</v>
      </c>
      <c r="W122" s="185"/>
    </row>
    <row r="123" ht="14.25" customHeight="1">
      <c r="A123" s="178"/>
      <c r="B123" s="12"/>
      <c r="C123" s="13"/>
      <c r="D123" s="179"/>
      <c r="E123" s="180"/>
      <c r="F123" s="188"/>
      <c r="G123" s="179"/>
      <c r="H123" s="190"/>
      <c r="I123" s="190"/>
      <c r="J123" s="187"/>
      <c r="K123" s="187"/>
      <c r="L123" s="270" t="str">
        <f>IFERROR(__xludf.DUMMYFUNCTION("IF(
  AND(D123=""Saída"", J123=""Sangria""),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74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 t="str">
        <f>IFERROR(__xludf.DUMMYFUNCTION("ifna(VALUE(REGEXEXTRACT(E123,""[0-9.]+[,]+[0-9]+"")))"),"")</f>
        <v/>
      </c>
      <c r="O123" s="301">
        <f>IFERROR(__xludf.DUMMYFUNCTION("""COMPUTED_VALUE"""),2187601.0)</f>
        <v>2187601</v>
      </c>
      <c r="P123" s="302">
        <f>IFERROR(__xludf.DUMMYFUNCTION("""COMPUTED_VALUE"""),46161.81928240741)</f>
        <v>46161.81928</v>
      </c>
      <c r="Q123" s="301" t="str">
        <f>IFERROR(__xludf.DUMMYFUNCTION("""COMPUTED_VALUE"""),"Saída")</f>
        <v>Saída</v>
      </c>
      <c r="R123" s="303" t="str">
        <f>IFERROR(__xludf.DUMMYFUNCTION("""COMPUTED_VALUE"""),"R$ 4,34")</f>
        <v>R$ 4,34</v>
      </c>
      <c r="S123" s="301" t="str">
        <f>IFERROR(__xludf.DUMMYFUNCTION("""COMPUTED_VALUE"""),"cafe funcionarios")</f>
        <v>cafe funcionarios</v>
      </c>
      <c r="V123" s="304" t="str">
        <f>IFERROR(__xludf.DUMMYFUNCTION("""COMPUTED_VALUE"""),"Não Encontrada")</f>
        <v>Não Encontrada</v>
      </c>
      <c r="W123" s="185"/>
    </row>
    <row r="124" ht="14.25" customHeight="1">
      <c r="A124" s="178"/>
      <c r="B124" s="12"/>
      <c r="C124" s="13"/>
      <c r="D124" s="179"/>
      <c r="E124" s="180"/>
      <c r="F124" s="181"/>
      <c r="G124" s="179"/>
      <c r="H124" s="190"/>
      <c r="I124" s="190"/>
      <c r="J124" s="187"/>
      <c r="K124" s="187"/>
      <c r="L124" s="270" t="str">
        <f>IFERROR(__xludf.DUMMYFUNCTION("IF(
  AND(D124=""Saída"", J124=""Sangria""),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2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 t="str">
        <f>IFERROR(__xludf.DUMMYFUNCTION("ifna(VALUE(REGEXEXTRACT(E124,""[0-9.]+[,]+[0-9]+"")))"),"")</f>
        <v/>
      </c>
      <c r="O124" s="305">
        <f>IFERROR(__xludf.DUMMYFUNCTION("""COMPUTED_VALUE"""),2188932.0)</f>
        <v>2188932</v>
      </c>
      <c r="P124" s="306">
        <f>IFERROR(__xludf.DUMMYFUNCTION("""COMPUTED_VALUE"""),46162.88443287037)</f>
        <v>46162.88443</v>
      </c>
      <c r="Q124" s="305" t="str">
        <f>IFERROR(__xludf.DUMMYFUNCTION("""COMPUTED_VALUE"""),"Saída")</f>
        <v>Saída</v>
      </c>
      <c r="R124" s="307" t="str">
        <f>IFERROR(__xludf.DUMMYFUNCTION("""COMPUTED_VALUE"""),"R$ 75,49")</f>
        <v>R$ 75,49</v>
      </c>
      <c r="S124" s="305" t="str">
        <f>IFERROR(__xludf.DUMMYFUNCTION("""COMPUTED_VALUE"""),"frutas")</f>
        <v>frutas</v>
      </c>
      <c r="V124" s="308" t="str">
        <f>IFERROR(__xludf.DUMMYFUNCTION("""COMPUTED_VALUE"""),"Não Encontrada")</f>
        <v>Não Encontrada</v>
      </c>
      <c r="W124" s="185"/>
    </row>
    <row r="125" ht="14.25" customHeight="1">
      <c r="A125" s="178"/>
      <c r="B125" s="12"/>
      <c r="C125" s="13"/>
      <c r="D125" s="179"/>
      <c r="E125" s="180"/>
      <c r="F125" s="181"/>
      <c r="G125" s="179"/>
      <c r="H125" s="190"/>
      <c r="I125" s="190"/>
      <c r="J125" s="187"/>
      <c r="K125" s="187"/>
      <c r="L125" s="270" t="str">
        <f>IFERROR(__xludf.DUMMYFUNCTION("IF(
  AND(D125=""Saída"", J125=""Sangria""),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74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 t="str">
        <f>IFERROR(__xludf.DUMMYFUNCTION("ifna(VALUE(REGEXEXTRACT(E125,""[0-9.]+[,]+[0-9]+"")))"),"")</f>
        <v/>
      </c>
      <c r="O125" s="301">
        <f>IFERROR(__xludf.DUMMYFUNCTION("""COMPUTED_VALUE"""),2188933.0)</f>
        <v>2188933</v>
      </c>
      <c r="P125" s="302">
        <f>IFERROR(__xludf.DUMMYFUNCTION("""COMPUTED_VALUE"""),46162.8846412037)</f>
        <v>46162.88464</v>
      </c>
      <c r="Q125" s="301" t="str">
        <f>IFERROR(__xludf.DUMMYFUNCTION("""COMPUTED_VALUE"""),"Saída")</f>
        <v>Saída</v>
      </c>
      <c r="R125" s="303" t="str">
        <f>IFERROR(__xludf.DUMMYFUNCTION("""COMPUTED_VALUE"""),"R$ 163,76")</f>
        <v>R$ 163,76</v>
      </c>
      <c r="S125" s="301" t="str">
        <f>IFERROR(__xludf.DUMMYFUNCTION("""COMPUTED_VALUE"""),"frutas e cafe funcionarios")</f>
        <v>frutas e cafe funcionarios</v>
      </c>
      <c r="V125" s="304" t="str">
        <f>IFERROR(__xludf.DUMMYFUNCTION("""COMPUTED_VALUE"""),"Não Encontrada")</f>
        <v>Não Encontrada</v>
      </c>
      <c r="W125" s="185"/>
    </row>
    <row r="126" ht="14.25" customHeight="1">
      <c r="A126" s="178"/>
      <c r="B126" s="12"/>
      <c r="C126" s="13"/>
      <c r="D126" s="179"/>
      <c r="E126" s="180"/>
      <c r="F126" s="181"/>
      <c r="G126" s="179"/>
      <c r="H126" s="190"/>
      <c r="I126" s="190"/>
      <c r="J126" s="187"/>
      <c r="K126" s="187"/>
      <c r="L126" s="270" t="str">
        <f>IFERROR(__xludf.DUMMYFUNCTION("IF(
  AND(D126=""Saída"", J126=""Sangria""),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2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 t="str">
        <f>IFERROR(__xludf.DUMMYFUNCTION("ifna(VALUE(REGEXEXTRACT(E126,""[0-9.]+[,]+[0-9]+"")))"),"")</f>
        <v/>
      </c>
      <c r="O126" s="305">
        <f>IFERROR(__xludf.DUMMYFUNCTION("""COMPUTED_VALUE"""),2188942.0)</f>
        <v>2188942</v>
      </c>
      <c r="P126" s="306">
        <f>IFERROR(__xludf.DUMMYFUNCTION("""COMPUTED_VALUE"""),46162.88707175926)</f>
        <v>46162.88707</v>
      </c>
      <c r="Q126" s="305" t="str">
        <f>IFERROR(__xludf.DUMMYFUNCTION("""COMPUTED_VALUE"""),"Saída")</f>
        <v>Saída</v>
      </c>
      <c r="R126" s="307" t="str">
        <f>IFERROR(__xludf.DUMMYFUNCTION("""COMPUTED_VALUE"""),"R$ 24,98")</f>
        <v>R$ 24,98</v>
      </c>
      <c r="S126" s="305" t="str">
        <f>IFERROR(__xludf.DUMMYFUNCTION("""COMPUTED_VALUE"""),"utensilios cozinha")</f>
        <v>utensilios cozinha</v>
      </c>
      <c r="V126" s="308" t="str">
        <f>IFERROR(__xludf.DUMMYFUNCTION("""COMPUTED_VALUE"""),"Não Encontrada")</f>
        <v>Não Encontrada</v>
      </c>
      <c r="W126" s="185"/>
    </row>
    <row r="127" ht="14.25" customHeight="1">
      <c r="A127" s="178"/>
      <c r="B127" s="12"/>
      <c r="C127" s="13"/>
      <c r="D127" s="179"/>
      <c r="E127" s="180"/>
      <c r="F127" s="188"/>
      <c r="G127" s="179"/>
      <c r="H127" s="190"/>
      <c r="I127" s="190"/>
      <c r="J127" s="187"/>
      <c r="K127" s="187"/>
      <c r="L127" s="270" t="str">
        <f>IFERROR(__xludf.DUMMYFUNCTION("IF(
  AND(D127=""Saída"", J127=""Sangria""),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74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 t="str">
        <f>IFERROR(__xludf.DUMMYFUNCTION("ifna(VALUE(REGEXEXTRACT(E127,""[0-9.]+[,]+[0-9]+"")))"),"")</f>
        <v/>
      </c>
      <c r="O127" s="301">
        <f>IFERROR(__xludf.DUMMYFUNCTION("""COMPUTED_VALUE"""),2191357.0)</f>
        <v>2191357</v>
      </c>
      <c r="P127" s="302">
        <f>IFERROR(__xludf.DUMMYFUNCTION("""COMPUTED_VALUE"""),46164.87489583333)</f>
        <v>46164.8749</v>
      </c>
      <c r="Q127" s="301" t="str">
        <f>IFERROR(__xludf.DUMMYFUNCTION("""COMPUTED_VALUE"""),"Saída")</f>
        <v>Saída</v>
      </c>
      <c r="R127" s="303" t="str">
        <f>IFERROR(__xludf.DUMMYFUNCTION("""COMPUTED_VALUE"""),"R$ 15,98")</f>
        <v>R$ 15,98</v>
      </c>
      <c r="S127" s="301" t="str">
        <f>IFERROR(__xludf.DUMMYFUNCTION("""COMPUTED_VALUE"""),"cafe funcionarios")</f>
        <v>cafe funcionarios</v>
      </c>
      <c r="V127" s="304" t="str">
        <f>IFERROR(__xludf.DUMMYFUNCTION("""COMPUTED_VALUE"""),"Não Encontrada")</f>
        <v>Não Encontrada</v>
      </c>
      <c r="W127" s="185"/>
    </row>
    <row r="128" ht="14.25" customHeight="1">
      <c r="A128" s="178"/>
      <c r="B128" s="12"/>
      <c r="C128" s="13"/>
      <c r="D128" s="179"/>
      <c r="E128" s="180"/>
      <c r="F128" s="181"/>
      <c r="G128" s="179"/>
      <c r="H128" s="190"/>
      <c r="I128" s="190"/>
      <c r="J128" s="187"/>
      <c r="K128" s="187"/>
      <c r="L128" s="270" t="str">
        <f>IFERROR(__xludf.DUMMYFUNCTION("IF(
  AND(D128=""Saída"", J128=""Sangria""),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2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 t="str">
        <f>IFERROR(__xludf.DUMMYFUNCTION("ifna(VALUE(REGEXEXTRACT(E128,""[0-9.]+[,]+[0-9]+"")))"),"")</f>
        <v/>
      </c>
      <c r="O128" s="308">
        <f>IFERROR(__xludf.DUMMYFUNCTION("""COMPUTED_VALUE"""),2191358.0)</f>
        <v>2191358</v>
      </c>
      <c r="P128" s="306">
        <f>IFERROR(__xludf.DUMMYFUNCTION("""COMPUTED_VALUE"""),46164.87509259259)</f>
        <v>46164.87509</v>
      </c>
      <c r="Q128" s="308" t="str">
        <f>IFERROR(__xludf.DUMMYFUNCTION("""COMPUTED_VALUE"""),"Saída")</f>
        <v>Saída</v>
      </c>
      <c r="R128" s="307" t="str">
        <f>IFERROR(__xludf.DUMMYFUNCTION("""COMPUTED_VALUE"""),"R$ 4,99")</f>
        <v>R$ 4,99</v>
      </c>
      <c r="S128" s="308" t="str">
        <f>IFERROR(__xludf.DUMMYFUNCTION("""COMPUTED_VALUE"""),"cafe funcionarios")</f>
        <v>cafe funcionarios</v>
      </c>
      <c r="V128" s="308" t="str">
        <f>IFERROR(__xludf.DUMMYFUNCTION("""COMPUTED_VALUE"""),"Não Encontrada")</f>
        <v>Não Encontrada</v>
      </c>
      <c r="W128" s="185"/>
    </row>
    <row r="129" ht="14.25" customHeight="1">
      <c r="A129" s="178"/>
      <c r="B129" s="12"/>
      <c r="C129" s="13"/>
      <c r="D129" s="179"/>
      <c r="E129" s="180"/>
      <c r="F129" s="181"/>
      <c r="G129" s="179"/>
      <c r="H129" s="190"/>
      <c r="I129" s="190"/>
      <c r="J129" s="187"/>
      <c r="K129" s="187"/>
      <c r="L129" s="270" t="str">
        <f>IFERROR(__xludf.DUMMYFUNCTION("IF(
  AND(D129=""Saída"", J129=""Sangria""),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74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 t="str">
        <f>IFERROR(__xludf.DUMMYFUNCTION("ifna(VALUE(REGEXEXTRACT(E129,""[0-9.]+[,]+[0-9]+"")))"),"")</f>
        <v/>
      </c>
      <c r="O129" s="304">
        <f>IFERROR(__xludf.DUMMYFUNCTION("""COMPUTED_VALUE"""),2191359.0)</f>
        <v>2191359</v>
      </c>
      <c r="P129" s="302">
        <f>IFERROR(__xludf.DUMMYFUNCTION("""COMPUTED_VALUE"""),46164.875451388885)</f>
        <v>46164.87545</v>
      </c>
      <c r="Q129" s="304" t="str">
        <f>IFERROR(__xludf.DUMMYFUNCTION("""COMPUTED_VALUE"""),"Saída")</f>
        <v>Saída</v>
      </c>
      <c r="R129" s="303" t="str">
        <f>IFERROR(__xludf.DUMMYFUNCTION("""COMPUTED_VALUE"""),"R$ 48,00")</f>
        <v>R$ 48,00</v>
      </c>
      <c r="S129" s="304" t="str">
        <f>IFERROR(__xludf.DUMMYFUNCTION("""COMPUTED_VALUE"""),"manutenção loja")</f>
        <v>manutenção loja</v>
      </c>
      <c r="V129" s="304" t="str">
        <f>IFERROR(__xludf.DUMMYFUNCTION("""COMPUTED_VALUE"""),"Não Encontrada")</f>
        <v>Não Encontrada</v>
      </c>
      <c r="W129" s="185"/>
    </row>
    <row r="130" ht="14.25" customHeight="1">
      <c r="A130" s="178"/>
      <c r="B130" s="12"/>
      <c r="C130" s="13"/>
      <c r="D130" s="179"/>
      <c r="E130" s="180"/>
      <c r="F130" s="181"/>
      <c r="G130" s="179"/>
      <c r="H130" s="190"/>
      <c r="I130" s="190"/>
      <c r="J130" s="187"/>
      <c r="K130" s="187"/>
      <c r="L130" s="270" t="str">
        <f>IFERROR(__xludf.DUMMYFUNCTION("IF(
  AND(D130=""Saída"", J130=""Sangria""),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2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 t="str">
        <f>IFERROR(__xludf.DUMMYFUNCTION("ifna(VALUE(REGEXEXTRACT(E130,""[0-9.]+[,]+[0-9]+"")))"),"")</f>
        <v/>
      </c>
      <c r="O130" s="305"/>
      <c r="P130" s="311"/>
      <c r="Q130" s="305"/>
      <c r="R130" s="307"/>
      <c r="S130" s="305"/>
      <c r="V130" s="305"/>
      <c r="W130" s="25"/>
    </row>
    <row r="131" ht="14.25" customHeight="1">
      <c r="A131" s="178"/>
      <c r="B131" s="12"/>
      <c r="C131" s="13"/>
      <c r="D131" s="179"/>
      <c r="E131" s="180"/>
      <c r="F131" s="181"/>
      <c r="G131" s="179"/>
      <c r="H131" s="190"/>
      <c r="I131" s="190"/>
      <c r="J131" s="187"/>
      <c r="K131" s="187"/>
      <c r="L131" s="270" t="str">
        <f>IFERROR(__xludf.DUMMYFUNCTION("IF(
  AND(D131=""Saída"", J131=""Sangria""),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76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 t="str">
        <f>IFERROR(__xludf.DUMMYFUNCTION("ifna(VALUE(REGEXEXTRACT(E131,""[0-9.]+[,]+[0-9]+"")))"),"")</f>
        <v/>
      </c>
      <c r="O131" s="309"/>
      <c r="P131" s="321"/>
      <c r="Q131" s="301"/>
      <c r="R131" s="303"/>
      <c r="S131" s="301"/>
      <c r="V131" s="301"/>
      <c r="W131" s="25"/>
    </row>
    <row r="132" ht="14.25" customHeight="1">
      <c r="A132" s="178"/>
      <c r="B132" s="12"/>
      <c r="C132" s="13"/>
      <c r="D132" s="179"/>
      <c r="E132" s="180"/>
      <c r="F132" s="181"/>
      <c r="G132" s="179"/>
      <c r="H132" s="190"/>
      <c r="I132" s="190"/>
      <c r="J132" s="187"/>
      <c r="K132" s="187"/>
      <c r="L132" s="270" t="str">
        <f>IFERROR(__xludf.DUMMYFUNCTION("IF(
  AND(D132=""Saída"", J132=""Sangria""),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2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85" t="str">
        <f>IFERROR(__xludf.DUMMYFUNCTION("ifna(VALUE(REGEXEXTRACT(E132,""[0-9.]+[,]+[0-9]+"")))"),"")</f>
        <v/>
      </c>
      <c r="O132" s="305"/>
      <c r="P132" s="311"/>
      <c r="Q132" s="305"/>
      <c r="R132" s="307"/>
      <c r="S132" s="305"/>
      <c r="V132" s="305"/>
      <c r="W132" s="25"/>
    </row>
    <row r="133" ht="14.25" customHeight="1">
      <c r="A133" s="178"/>
      <c r="B133" s="12"/>
      <c r="C133" s="13"/>
      <c r="D133" s="179"/>
      <c r="E133" s="180"/>
      <c r="F133" s="181"/>
      <c r="G133" s="179"/>
      <c r="H133" s="190"/>
      <c r="I133" s="190"/>
      <c r="J133" s="187"/>
      <c r="K133" s="187"/>
      <c r="L133" s="270" t="str">
        <f>IFERROR(__xludf.DUMMYFUNCTION("IF(
  AND(D133=""Saída"", J133=""Sangria""),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74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 t="str">
        <f>IFERROR(__xludf.DUMMYFUNCTION("ifna(VALUE(REGEXEXTRACT(E133,""[0-9.]+[,]+[0-9]+"")))"),"")</f>
        <v/>
      </c>
      <c r="O133" s="301"/>
      <c r="P133" s="321"/>
      <c r="Q133" s="301"/>
      <c r="R133" s="303"/>
      <c r="S133" s="301"/>
      <c r="V133" s="301"/>
      <c r="W133" s="25"/>
    </row>
    <row r="134" ht="14.25" customHeight="1">
      <c r="A134" s="178"/>
      <c r="B134" s="12"/>
      <c r="C134" s="13"/>
      <c r="D134" s="179"/>
      <c r="E134" s="180"/>
      <c r="F134" s="181"/>
      <c r="G134" s="179"/>
      <c r="H134" s="190"/>
      <c r="I134" s="190"/>
      <c r="J134" s="187"/>
      <c r="K134" s="187"/>
      <c r="L134" s="270" t="str">
        <f>IFERROR(__xludf.DUMMYFUNCTION("IF(
  AND(D134=""Saída"", J134=""Sangria""),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2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 t="str">
        <f>IFERROR(__xludf.DUMMYFUNCTION("ifna(VALUE(REGEXEXTRACT(E134,""[0-9.]+[,]+[0-9]+"")))"),"")</f>
        <v/>
      </c>
      <c r="O134" s="305"/>
      <c r="P134" s="311"/>
      <c r="Q134" s="305"/>
      <c r="R134" s="307"/>
      <c r="S134" s="305"/>
      <c r="V134" s="305"/>
      <c r="W134" s="25"/>
    </row>
    <row r="135" ht="14.25" customHeight="1">
      <c r="A135" s="178"/>
      <c r="B135" s="12"/>
      <c r="C135" s="13"/>
      <c r="D135" s="179"/>
      <c r="E135" s="180"/>
      <c r="F135" s="181"/>
      <c r="G135" s="179"/>
      <c r="H135" s="190"/>
      <c r="I135" s="190"/>
      <c r="J135" s="187"/>
      <c r="K135" s="187"/>
      <c r="L135" s="270" t="str">
        <f>IFERROR(__xludf.DUMMYFUNCTION("IF(
  AND(D135=""Saída"", J135=""Sangria""),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74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 t="str">
        <f>IFERROR(__xludf.DUMMYFUNCTION("ifna(VALUE(REGEXEXTRACT(E135,""[0-9.]+[,]+[0-9]+"")))"),"")</f>
        <v/>
      </c>
      <c r="O135" s="301"/>
      <c r="P135" s="321"/>
      <c r="Q135" s="301"/>
      <c r="R135" s="301"/>
      <c r="S135" s="301"/>
      <c r="V135" s="301"/>
      <c r="W135" s="25"/>
    </row>
    <row r="136" ht="14.25" customHeight="1">
      <c r="A136" s="178"/>
      <c r="B136" s="12"/>
      <c r="C136" s="13"/>
      <c r="D136" s="179"/>
      <c r="E136" s="180"/>
      <c r="F136" s="181"/>
      <c r="G136" s="179"/>
      <c r="H136" s="190"/>
      <c r="I136" s="190"/>
      <c r="J136" s="187"/>
      <c r="K136" s="187"/>
      <c r="L136" s="270" t="str">
        <f>IFERROR(__xludf.DUMMYFUNCTION("IF(
  AND(D136=""Saída"", J136=""Sangria""),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6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 t="str">
        <f>IFERROR(__xludf.DUMMYFUNCTION("ifna(VALUE(REGEXEXTRACT(E136,""[0-9.]+[,]+[0-9]+"")))"),"")</f>
        <v/>
      </c>
      <c r="O136" s="305"/>
      <c r="P136" s="311"/>
      <c r="Q136" s="305"/>
      <c r="R136" s="305"/>
      <c r="S136" s="305"/>
      <c r="V136" s="305"/>
      <c r="W136" s="25"/>
    </row>
    <row r="137" ht="14.25" customHeight="1">
      <c r="A137" s="178"/>
      <c r="B137" s="12"/>
      <c r="C137" s="13"/>
      <c r="D137" s="179"/>
      <c r="E137" s="180"/>
      <c r="F137" s="181"/>
      <c r="G137" s="179"/>
      <c r="H137" s="190"/>
      <c r="I137" s="190"/>
      <c r="J137" s="187"/>
      <c r="K137" s="187"/>
      <c r="L137" s="270" t="str">
        <f>IFERROR(__xludf.DUMMYFUNCTION("IF(
  AND(D137=""Saída"", J137=""Sangria""),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74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 t="str">
        <f>IFERROR(__xludf.DUMMYFUNCTION("ifna(VALUE(REGEXEXTRACT(E137,""[0-9.]+[,]+[0-9]+"")))"),"")</f>
        <v/>
      </c>
      <c r="O137" s="301"/>
      <c r="P137" s="321"/>
      <c r="Q137" s="301"/>
      <c r="R137" s="301"/>
      <c r="S137" s="301"/>
      <c r="V137" s="301"/>
      <c r="W137" s="25"/>
    </row>
    <row r="138" ht="14.25" customHeight="1">
      <c r="A138" s="178"/>
      <c r="B138" s="12"/>
      <c r="C138" s="13"/>
      <c r="D138" s="179"/>
      <c r="E138" s="180"/>
      <c r="F138" s="188"/>
      <c r="G138" s="179"/>
      <c r="H138" s="190"/>
      <c r="I138" s="190"/>
      <c r="J138" s="187"/>
      <c r="K138" s="187"/>
      <c r="L138" s="270" t="str">
        <f>IFERROR(__xludf.DUMMYFUNCTION("IF(
  AND(D138=""Saída"", J138=""Sangria""),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2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 t="str">
        <f>IFERROR(__xludf.DUMMYFUNCTION("ifna(VALUE(REGEXEXTRACT(E138,""[0-9.]+[,]+[0-9]+"")))"),"")</f>
        <v/>
      </c>
      <c r="O138" s="305"/>
      <c r="P138" s="311"/>
      <c r="Q138" s="305"/>
      <c r="R138" s="305"/>
      <c r="S138" s="305"/>
      <c r="V138" s="305"/>
      <c r="W138" s="25"/>
    </row>
    <row r="139" ht="14.25" customHeight="1">
      <c r="A139" s="178"/>
      <c r="B139" s="12"/>
      <c r="C139" s="13"/>
      <c r="D139" s="179"/>
      <c r="E139" s="180"/>
      <c r="F139" s="181"/>
      <c r="G139" s="179"/>
      <c r="H139" s="190"/>
      <c r="I139" s="190"/>
      <c r="J139" s="187"/>
      <c r="K139" s="187"/>
      <c r="L139" s="270" t="str">
        <f>IFERROR(__xludf.DUMMYFUNCTION("IF(
  AND(D139=""Saída"", J139=""Sangria""),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74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 t="str">
        <f>IFERROR(__xludf.DUMMYFUNCTION("ifna(VALUE(REGEXEXTRACT(E139,""[0-9.]+[,]+[0-9]+"")))"),"")</f>
        <v/>
      </c>
      <c r="O139" s="301"/>
      <c r="P139" s="310"/>
      <c r="Q139" s="301"/>
      <c r="R139" s="301"/>
      <c r="S139" s="301"/>
      <c r="V139" s="301"/>
      <c r="W139" s="25"/>
    </row>
    <row r="140" ht="14.25" customHeight="1">
      <c r="A140" s="178"/>
      <c r="B140" s="12"/>
      <c r="C140" s="13"/>
      <c r="D140" s="179"/>
      <c r="E140" s="180"/>
      <c r="F140" s="181"/>
      <c r="G140" s="179"/>
      <c r="H140" s="190"/>
      <c r="I140" s="190"/>
      <c r="J140" s="187"/>
      <c r="K140" s="187"/>
      <c r="L140" s="270" t="str">
        <f>IFERROR(__xludf.DUMMYFUNCTION("IF(
  AND(D140=""Saída"", J140=""Sangria""),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2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 t="str">
        <f>IFERROR(__xludf.DUMMYFUNCTION("ifna(VALUE(REGEXEXTRACT(E140,""[0-9.]+[,]+[0-9]+"")))"),"")</f>
        <v/>
      </c>
      <c r="O140" s="305"/>
      <c r="P140" s="311"/>
      <c r="Q140" s="305"/>
      <c r="R140" s="305"/>
      <c r="S140" s="305"/>
      <c r="V140" s="305"/>
      <c r="W140" s="25"/>
    </row>
    <row r="141" ht="14.25" customHeight="1">
      <c r="A141" s="178"/>
      <c r="B141" s="12"/>
      <c r="C141" s="13"/>
      <c r="D141" s="179"/>
      <c r="E141" s="180"/>
      <c r="F141" s="181"/>
      <c r="G141" s="179"/>
      <c r="H141" s="190"/>
      <c r="I141" s="190"/>
      <c r="J141" s="187"/>
      <c r="K141" s="187"/>
      <c r="L141" s="270" t="str">
        <f>IFERROR(__xludf.DUMMYFUNCTION("IF(
  AND(D141=""Saída"", J141=""Sangria""),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74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 t="str">
        <f>IFERROR(__xludf.DUMMYFUNCTION("ifna(VALUE(REGEXEXTRACT(E141,""[0-9.]+[,]+[0-9]+"")))"),"")</f>
        <v/>
      </c>
      <c r="O141" s="304"/>
      <c r="P141" s="312"/>
      <c r="Q141" s="304"/>
      <c r="R141" s="304"/>
      <c r="S141" s="304"/>
      <c r="V141" s="304"/>
      <c r="W141" s="185"/>
    </row>
    <row r="142" ht="14.25" customHeight="1">
      <c r="A142" s="178"/>
      <c r="B142" s="12"/>
      <c r="C142" s="13"/>
      <c r="D142" s="179"/>
      <c r="E142" s="180"/>
      <c r="F142" s="181"/>
      <c r="G142" s="179"/>
      <c r="H142" s="190"/>
      <c r="I142" s="190"/>
      <c r="J142" s="187"/>
      <c r="K142" s="187"/>
      <c r="L142" s="270" t="str">
        <f>IFERROR(__xludf.DUMMYFUNCTION("IF(
  AND(D142=""Saída"", J142=""Sangria""),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2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 t="str">
        <f>IFERROR(__xludf.DUMMYFUNCTION("ifna(VALUE(REGEXEXTRACT(E142,""[0-9.]+[,]+[0-9]+"")))"),"")</f>
        <v/>
      </c>
      <c r="O142" s="308"/>
      <c r="P142" s="313"/>
      <c r="Q142" s="308"/>
      <c r="R142" s="308"/>
      <c r="S142" s="308"/>
      <c r="V142" s="308"/>
      <c r="W142" s="185"/>
    </row>
    <row r="143" ht="14.25" customHeight="1">
      <c r="A143" s="178"/>
      <c r="B143" s="12"/>
      <c r="C143" s="13"/>
      <c r="D143" s="179"/>
      <c r="E143" s="180"/>
      <c r="F143" s="181"/>
      <c r="G143" s="179"/>
      <c r="H143" s="190"/>
      <c r="I143" s="190"/>
      <c r="J143" s="187"/>
      <c r="K143" s="187"/>
      <c r="L143" s="270" t="str">
        <f>IFERROR(__xludf.DUMMYFUNCTION("IF(
  AND(D143=""Saída"", J143=""Sangria""),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74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 t="str">
        <f>IFERROR(__xludf.DUMMYFUNCTION("ifna(VALUE(REGEXEXTRACT(E143,""[0-9.]+[,]+[0-9]+"")))"),"")</f>
        <v/>
      </c>
      <c r="O143" s="304"/>
      <c r="P143" s="312"/>
      <c r="Q143" s="304"/>
      <c r="R143" s="304"/>
      <c r="S143" s="304"/>
      <c r="V143" s="304"/>
      <c r="W143" s="185"/>
    </row>
    <row r="144" ht="14.25" customHeight="1">
      <c r="A144" s="178"/>
      <c r="B144" s="12"/>
      <c r="C144" s="13"/>
      <c r="D144" s="179"/>
      <c r="E144" s="180"/>
      <c r="F144" s="181"/>
      <c r="G144" s="179"/>
      <c r="H144" s="190"/>
      <c r="I144" s="190"/>
      <c r="J144" s="187"/>
      <c r="K144" s="187"/>
      <c r="L144" s="270" t="str">
        <f>IFERROR(__xludf.DUMMYFUNCTION("IF(
  AND(D144=""Saída"", J144=""Sangria""),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2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 t="str">
        <f>IFERROR(__xludf.DUMMYFUNCTION("ifna(VALUE(REGEXEXTRACT(E144,""[0-9.]+[,]+[0-9]+"")))"),"")</f>
        <v/>
      </c>
      <c r="O144" s="308"/>
      <c r="P144" s="313"/>
      <c r="Q144" s="308"/>
      <c r="R144" s="308"/>
      <c r="S144" s="308"/>
      <c r="V144" s="308"/>
      <c r="W144" s="185"/>
    </row>
    <row r="145" ht="14.25" customHeight="1">
      <c r="A145" s="178"/>
      <c r="B145" s="12"/>
      <c r="C145" s="13"/>
      <c r="D145" s="179"/>
      <c r="E145" s="180"/>
      <c r="F145" s="181"/>
      <c r="G145" s="179"/>
      <c r="H145" s="190"/>
      <c r="I145" s="190"/>
      <c r="J145" s="187"/>
      <c r="K145" s="187"/>
      <c r="L145" s="270" t="str">
        <f>IFERROR(__xludf.DUMMYFUNCTION("IF(
  AND(D145=""Saída"", J145=""Sangria""),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74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 t="str">
        <f>IFERROR(__xludf.DUMMYFUNCTION("ifna(VALUE(REGEXEXTRACT(E145,""[0-9.]+[,]+[0-9]+"")))"),"")</f>
        <v/>
      </c>
      <c r="O145" s="304"/>
      <c r="P145" s="312"/>
      <c r="Q145" s="304"/>
      <c r="R145" s="304"/>
      <c r="S145" s="304"/>
      <c r="V145" s="304"/>
      <c r="W145" s="185"/>
    </row>
    <row r="146" ht="14.25" customHeight="1">
      <c r="A146" s="178"/>
      <c r="B146" s="12"/>
      <c r="C146" s="13"/>
      <c r="D146" s="179"/>
      <c r="E146" s="180"/>
      <c r="F146" s="181"/>
      <c r="G146" s="179"/>
      <c r="H146" s="190"/>
      <c r="I146" s="190"/>
      <c r="J146" s="187"/>
      <c r="K146" s="187"/>
      <c r="L146" s="270" t="str">
        <f>IFERROR(__xludf.DUMMYFUNCTION("IF(
  AND(D146=""Saída"", J146=""Sangria""),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2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 t="str">
        <f>IFERROR(__xludf.DUMMYFUNCTION("ifna(VALUE(REGEXEXTRACT(E146,""[0-9.]+[,]+[0-9]+"")))"),"")</f>
        <v/>
      </c>
      <c r="O146" s="308"/>
      <c r="P146" s="313"/>
      <c r="Q146" s="308"/>
      <c r="R146" s="308"/>
      <c r="S146" s="308"/>
      <c r="V146" s="308"/>
      <c r="W146" s="185"/>
    </row>
    <row r="147" ht="14.25" customHeight="1">
      <c r="A147" s="178"/>
      <c r="B147" s="12"/>
      <c r="C147" s="13"/>
      <c r="D147" s="179"/>
      <c r="E147" s="180"/>
      <c r="F147" s="181"/>
      <c r="G147" s="179"/>
      <c r="H147" s="190"/>
      <c r="I147" s="190"/>
      <c r="J147" s="187"/>
      <c r="K147" s="187"/>
      <c r="L147" s="270" t="str">
        <f>IFERROR(__xludf.DUMMYFUNCTION("IF(
  AND(D147=""Saída"", J147=""Sangria""),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74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 t="str">
        <f>IFERROR(__xludf.DUMMYFUNCTION("ifna(VALUE(REGEXEXTRACT(E147,""[0-9.]+[,]+[0-9]+"")))"),"")</f>
        <v/>
      </c>
      <c r="O147" s="304"/>
      <c r="P147" s="312"/>
      <c r="Q147" s="304"/>
      <c r="R147" s="304"/>
      <c r="S147" s="304"/>
      <c r="V147" s="304"/>
      <c r="W147" s="185"/>
    </row>
    <row r="148" ht="14.25" customHeight="1">
      <c r="A148" s="178"/>
      <c r="B148" s="12"/>
      <c r="C148" s="13"/>
      <c r="D148" s="179"/>
      <c r="E148" s="180"/>
      <c r="F148" s="181"/>
      <c r="G148" s="179"/>
      <c r="H148" s="190"/>
      <c r="I148" s="190"/>
      <c r="J148" s="187"/>
      <c r="K148" s="187"/>
      <c r="L148" s="270" t="str">
        <f>IFERROR(__xludf.DUMMYFUNCTION("IF(
  AND(D148=""Saída"", J148=""Sangria""),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2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 t="str">
        <f>IFERROR(__xludf.DUMMYFUNCTION("ifna(VALUE(REGEXEXTRACT(E148,""[0-9.]+[,]+[0-9]+"")))"),"")</f>
        <v/>
      </c>
      <c r="O148" s="308"/>
      <c r="P148" s="313"/>
      <c r="Q148" s="308"/>
      <c r="R148" s="308"/>
      <c r="S148" s="308"/>
      <c r="V148" s="308"/>
      <c r="W148" s="185"/>
    </row>
    <row r="149" ht="14.25" customHeight="1">
      <c r="A149" s="178"/>
      <c r="B149" s="12"/>
      <c r="C149" s="13"/>
      <c r="D149" s="179"/>
      <c r="E149" s="180"/>
      <c r="F149" s="181"/>
      <c r="G149" s="179"/>
      <c r="H149" s="190"/>
      <c r="I149" s="190"/>
      <c r="J149" s="187"/>
      <c r="K149" s="187"/>
      <c r="L149" s="270" t="str">
        <f>IFERROR(__xludf.DUMMYFUNCTION("IF(
  AND(D149=""Saída"", J149=""Sangria""),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74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 t="str">
        <f>IFERROR(__xludf.DUMMYFUNCTION("ifna(VALUE(REGEXEXTRACT(E149,""[0-9.]+[,]+[0-9]+"")))"),"")</f>
        <v/>
      </c>
      <c r="O149" s="304"/>
      <c r="P149" s="312"/>
      <c r="Q149" s="304"/>
      <c r="R149" s="304"/>
      <c r="S149" s="304"/>
      <c r="V149" s="304"/>
      <c r="W149" s="185"/>
    </row>
    <row r="150" ht="14.25" customHeight="1">
      <c r="A150" s="178"/>
      <c r="B150" s="12"/>
      <c r="C150" s="13"/>
      <c r="D150" s="179"/>
      <c r="E150" s="180"/>
      <c r="F150" s="181"/>
      <c r="G150" s="179"/>
      <c r="H150" s="190"/>
      <c r="I150" s="190"/>
      <c r="J150" s="187"/>
      <c r="K150" s="187"/>
      <c r="L150" s="270" t="str">
        <f>IFERROR(__xludf.DUMMYFUNCTION("IF(
  AND(D150=""Saída"", J150=""Sangria""),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2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 t="str">
        <f>IFERROR(__xludf.DUMMYFUNCTION("ifna(VALUE(REGEXEXTRACT(E150,""[0-9.]+[,]+[0-9]+"")))"),"")</f>
        <v/>
      </c>
      <c r="O150" s="308"/>
      <c r="P150" s="313"/>
      <c r="Q150" s="308"/>
      <c r="R150" s="308"/>
      <c r="S150" s="308"/>
      <c r="V150" s="308"/>
      <c r="W150" s="185"/>
    </row>
    <row r="151" ht="14.25" customHeight="1">
      <c r="A151" s="178"/>
      <c r="B151" s="12"/>
      <c r="C151" s="13"/>
      <c r="D151" s="179"/>
      <c r="E151" s="180"/>
      <c r="F151" s="181"/>
      <c r="G151" s="179"/>
      <c r="H151" s="190"/>
      <c r="I151" s="190"/>
      <c r="J151" s="187"/>
      <c r="K151" s="187"/>
      <c r="L151" s="270" t="str">
        <f>IFERROR(__xludf.DUMMYFUNCTION("IF(
  AND(D151=""Saída"", J151=""Sangria""),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74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 t="str">
        <f>IFERROR(__xludf.DUMMYFUNCTION("ifna(VALUE(REGEXEXTRACT(E151,""[0-9.]+[,]+[0-9]+"")))"),"")</f>
        <v/>
      </c>
      <c r="O151" s="304"/>
      <c r="P151" s="312"/>
      <c r="Q151" s="304"/>
      <c r="R151" s="304"/>
      <c r="S151" s="304"/>
      <c r="V151" s="304"/>
      <c r="W151" s="185"/>
    </row>
    <row r="152" ht="14.25" customHeight="1">
      <c r="A152" s="178"/>
      <c r="B152" s="12"/>
      <c r="C152" s="13"/>
      <c r="D152" s="179"/>
      <c r="E152" s="180"/>
      <c r="F152" s="181"/>
      <c r="G152" s="179"/>
      <c r="H152" s="190"/>
      <c r="I152" s="190"/>
      <c r="J152" s="187"/>
      <c r="K152" s="187"/>
      <c r="L152" s="270" t="str">
        <f>IFERROR(__xludf.DUMMYFUNCTION("IF(
  AND(D152=""Saída"", J152=""Sangria""),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2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 t="str">
        <f>IFERROR(__xludf.DUMMYFUNCTION("ifna(VALUE(REGEXEXTRACT(E152,""[0-9.]+[,]+[0-9]+"")))"),"")</f>
        <v/>
      </c>
      <c r="O152" s="308"/>
      <c r="P152" s="313"/>
      <c r="Q152" s="308"/>
      <c r="R152" s="308"/>
      <c r="S152" s="308"/>
      <c r="V152" s="308"/>
      <c r="W152" s="185"/>
    </row>
    <row r="153" ht="14.25" customHeight="1">
      <c r="A153" s="178"/>
      <c r="B153" s="12"/>
      <c r="C153" s="13"/>
      <c r="D153" s="179"/>
      <c r="E153" s="180"/>
      <c r="F153" s="181"/>
      <c r="G153" s="179"/>
      <c r="H153" s="190"/>
      <c r="I153" s="190"/>
      <c r="J153" s="187"/>
      <c r="K153" s="187"/>
      <c r="L153" s="270" t="str">
        <f>IFERROR(__xludf.DUMMYFUNCTION("IF(
  AND(D153=""Saída"", J153=""Sangria""),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74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 t="str">
        <f>IFERROR(__xludf.DUMMYFUNCTION("ifna(VALUE(REGEXEXTRACT(E153,""[0-9.]+[,]+[0-9]+"")))"),"")</f>
        <v/>
      </c>
      <c r="O153" s="304"/>
      <c r="P153" s="312"/>
      <c r="Q153" s="304"/>
      <c r="R153" s="304"/>
      <c r="S153" s="304"/>
      <c r="V153" s="304"/>
      <c r="W153" s="185"/>
    </row>
    <row r="154" ht="14.25" customHeight="1">
      <c r="A154" s="178"/>
      <c r="B154" s="12"/>
      <c r="C154" s="13"/>
      <c r="D154" s="179"/>
      <c r="E154" s="180"/>
      <c r="F154" s="181"/>
      <c r="G154" s="179"/>
      <c r="H154" s="190"/>
      <c r="I154" s="190"/>
      <c r="J154" s="187"/>
      <c r="K154" s="187"/>
      <c r="L154" s="270" t="str">
        <f>IFERROR(__xludf.DUMMYFUNCTION("IF(
  AND(D154=""Saída"", J154=""Sangria""),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2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 t="str">
        <f>IFERROR(__xludf.DUMMYFUNCTION("ifna(VALUE(REGEXEXTRACT(E154,""[0-9.]+[,]+[0-9]+"")))"),"")</f>
        <v/>
      </c>
      <c r="O154" s="308"/>
      <c r="P154" s="313"/>
      <c r="Q154" s="308"/>
      <c r="R154" s="308"/>
      <c r="S154" s="308"/>
      <c r="V154" s="308"/>
      <c r="W154" s="185"/>
    </row>
    <row r="155" ht="14.25" customHeight="1">
      <c r="A155" s="178"/>
      <c r="B155" s="12"/>
      <c r="C155" s="13"/>
      <c r="D155" s="179"/>
      <c r="E155" s="180"/>
      <c r="F155" s="181"/>
      <c r="G155" s="179"/>
      <c r="H155" s="190"/>
      <c r="I155" s="190"/>
      <c r="J155" s="187"/>
      <c r="K155" s="187"/>
      <c r="L155" s="270" t="str">
        <f>IFERROR(__xludf.DUMMYFUNCTION("IF(
  AND(D155=""Saída"", J155=""Sangria""),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74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 t="str">
        <f>IFERROR(__xludf.DUMMYFUNCTION("ifna(VALUE(REGEXEXTRACT(E155,""[0-9.]+[,]+[0-9]+"")))"),"")</f>
        <v/>
      </c>
      <c r="O155" s="304"/>
      <c r="P155" s="312"/>
      <c r="Q155" s="304"/>
      <c r="R155" s="304"/>
      <c r="S155" s="304"/>
      <c r="V155" s="304"/>
      <c r="W155" s="185"/>
    </row>
    <row r="156" ht="14.25" customHeight="1">
      <c r="A156" s="178"/>
      <c r="B156" s="12"/>
      <c r="C156" s="13"/>
      <c r="D156" s="179"/>
      <c r="E156" s="180"/>
      <c r="F156" s="181"/>
      <c r="G156" s="179"/>
      <c r="H156" s="190"/>
      <c r="I156" s="190"/>
      <c r="J156" s="187"/>
      <c r="K156" s="187"/>
      <c r="L156" s="270" t="str">
        <f>IFERROR(__xludf.DUMMYFUNCTION("IF(
  AND(D156=""Saída"", J156=""Sangria""),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2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 t="str">
        <f>IFERROR(__xludf.DUMMYFUNCTION("ifna(VALUE(REGEXEXTRACT(E156,""[0-9.]+[,]+[0-9]+"")))"),"")</f>
        <v/>
      </c>
      <c r="O156" s="308"/>
      <c r="P156" s="313"/>
      <c r="Q156" s="308"/>
      <c r="R156" s="308"/>
      <c r="S156" s="308"/>
      <c r="V156" s="308"/>
      <c r="W156" s="185"/>
    </row>
    <row r="157" ht="14.25" customHeight="1">
      <c r="A157" s="178"/>
      <c r="B157" s="12"/>
      <c r="C157" s="13"/>
      <c r="D157" s="179"/>
      <c r="E157" s="180"/>
      <c r="F157" s="181"/>
      <c r="G157" s="179"/>
      <c r="H157" s="190"/>
      <c r="I157" s="190"/>
      <c r="J157" s="187"/>
      <c r="K157" s="187"/>
      <c r="L157" s="270" t="str">
        <f>IFERROR(__xludf.DUMMYFUNCTION("IF(
  AND(D157=""Saída"", J157=""Sangria""),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74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 t="str">
        <f>IFERROR(__xludf.DUMMYFUNCTION("ifna(VALUE(REGEXEXTRACT(E157,""[0-9.]+[,]+[0-9]+"")))"),"")</f>
        <v/>
      </c>
      <c r="O157" s="304"/>
      <c r="P157" s="312"/>
      <c r="Q157" s="304"/>
      <c r="R157" s="304"/>
      <c r="S157" s="304"/>
      <c r="V157" s="304"/>
      <c r="W157" s="185"/>
    </row>
    <row r="158" ht="14.25" customHeight="1">
      <c r="A158" s="178"/>
      <c r="B158" s="12"/>
      <c r="C158" s="13"/>
      <c r="D158" s="179"/>
      <c r="E158" s="180"/>
      <c r="F158" s="181"/>
      <c r="G158" s="179"/>
      <c r="H158" s="190"/>
      <c r="I158" s="190"/>
      <c r="J158" s="187"/>
      <c r="K158" s="187"/>
      <c r="L158" s="270" t="str">
        <f>IFERROR(__xludf.DUMMYFUNCTION("IF(
  AND(D158=""Saída"", J158=""Sangria""),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2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 t="str">
        <f>IFERROR(__xludf.DUMMYFUNCTION("ifna(VALUE(REGEXEXTRACT(E158,""[0-9.]+[,]+[0-9]+"")))"),"")</f>
        <v/>
      </c>
      <c r="O158" s="308"/>
      <c r="P158" s="313"/>
      <c r="Q158" s="308"/>
      <c r="R158" s="308"/>
      <c r="S158" s="308"/>
      <c r="V158" s="308"/>
      <c r="W158" s="185"/>
    </row>
    <row r="159" ht="14.25" customHeight="1">
      <c r="A159" s="178"/>
      <c r="B159" s="12"/>
      <c r="C159" s="13"/>
      <c r="D159" s="179"/>
      <c r="E159" s="180"/>
      <c r="F159" s="188"/>
      <c r="G159" s="179"/>
      <c r="H159" s="190"/>
      <c r="I159" s="190"/>
      <c r="J159" s="187"/>
      <c r="K159" s="187"/>
      <c r="L159" s="270" t="str">
        <f>IFERROR(__xludf.DUMMYFUNCTION("IF(
  AND(D159=""Saída"", J159=""Sangria""),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74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 t="str">
        <f>IFERROR(__xludf.DUMMYFUNCTION("ifna(VALUE(REGEXEXTRACT(E159,""[0-9.]+[,]+[0-9]+"")))"),"")</f>
        <v/>
      </c>
      <c r="O159" s="185"/>
      <c r="P159" s="185"/>
      <c r="Q159" s="185"/>
      <c r="R159" s="185"/>
      <c r="S159" s="185"/>
      <c r="T159" s="185"/>
      <c r="U159" s="185"/>
      <c r="V159" s="185"/>
      <c r="W159" s="185"/>
    </row>
    <row r="160" ht="14.25" customHeight="1">
      <c r="A160" s="178"/>
      <c r="B160" s="12"/>
      <c r="C160" s="13"/>
      <c r="D160" s="179"/>
      <c r="E160" s="180"/>
      <c r="F160" s="181"/>
      <c r="G160" s="179"/>
      <c r="H160" s="190"/>
      <c r="I160" s="190"/>
      <c r="J160" s="187"/>
      <c r="K160" s="187"/>
      <c r="L160" s="270" t="str">
        <f>IFERROR(__xludf.DUMMYFUNCTION("IF(
  AND(D160=""Saída"", J160=""Sangria""),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2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 t="str">
        <f>IFERROR(__xludf.DUMMYFUNCTION("ifna(VALUE(REGEXEXTRACT(E160,""[0-9.]+[,]+[0-9]+"")))"),"")</f>
        <v/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4.25" customHeight="1">
      <c r="A161" s="178"/>
      <c r="B161" s="12"/>
      <c r="C161" s="13"/>
      <c r="D161" s="179"/>
      <c r="E161" s="180"/>
      <c r="F161" s="181"/>
      <c r="G161" s="179"/>
      <c r="H161" s="190"/>
      <c r="I161" s="190"/>
      <c r="J161" s="187"/>
      <c r="K161" s="187"/>
      <c r="L161" s="270" t="str">
        <f>IFERROR(__xludf.DUMMYFUNCTION("IF(
  AND(D161=""Saída"", J161=""Sangria""),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74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 t="str">
        <f>IFERROR(__xludf.DUMMYFUNCTION("ifna(VALUE(REGEXEXTRACT(E161,""[0-9.]+[,]+[0-9]+"")))"),"")</f>
        <v/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2"/>
      <c r="C162" s="13"/>
      <c r="D162" s="179"/>
      <c r="E162" s="180"/>
      <c r="F162" s="181"/>
      <c r="G162" s="179"/>
      <c r="H162" s="190"/>
      <c r="I162" s="190"/>
      <c r="J162" s="187"/>
      <c r="K162" s="187"/>
      <c r="L162" s="270" t="str">
        <f>IFERROR(__xludf.DUMMYFUNCTION("IF(
  AND(D162=""Saída"", J162=""Sangria""),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2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85" t="str">
        <f>IFERROR(__xludf.DUMMYFUNCTION("ifna(VALUE(REGEXEXTRACT(E162,""[0-9.]+[,]+[0-9]+"")))"),"")</f>
        <v/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2"/>
      <c r="C163" s="13"/>
      <c r="D163" s="179"/>
      <c r="E163" s="180"/>
      <c r="F163" s="181"/>
      <c r="G163" s="179"/>
      <c r="H163" s="190"/>
      <c r="I163" s="190"/>
      <c r="J163" s="187"/>
      <c r="K163" s="187"/>
      <c r="L163" s="270" t="str">
        <f>IFERROR(__xludf.DUMMYFUNCTION("IF(
  AND(D163=""Saída"", J163=""Sangria""),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74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85" t="str">
        <f>IFERROR(__xludf.DUMMYFUNCTION("ifna(VALUE(REGEXEXTRACT(E163,""[0-9.]+[,]+[0-9]+"")))"),"")</f>
        <v/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2"/>
      <c r="C164" s="13"/>
      <c r="D164" s="179"/>
      <c r="E164" s="180"/>
      <c r="F164" s="181"/>
      <c r="G164" s="179"/>
      <c r="H164" s="190"/>
      <c r="I164" s="190"/>
      <c r="J164" s="187"/>
      <c r="K164" s="187"/>
      <c r="L164" s="270" t="str">
        <f>IFERROR(__xludf.DUMMYFUNCTION("IF(
  AND(D164=""Saída"", J164=""Sangria""),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2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 t="str">
        <f>IFERROR(__xludf.DUMMYFUNCTION("ifna(VALUE(REGEXEXTRACT(E164,""[0-9.]+[,]+[0-9]+"")))"),"")</f>
        <v/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2"/>
      <c r="C165" s="13"/>
      <c r="D165" s="179"/>
      <c r="E165" s="180"/>
      <c r="F165" s="181"/>
      <c r="G165" s="179"/>
      <c r="H165" s="190"/>
      <c r="I165" s="190"/>
      <c r="J165" s="187"/>
      <c r="K165" s="187"/>
      <c r="L165" s="270" t="str">
        <f>IFERROR(__xludf.DUMMYFUNCTION("IF(
  AND(D165=""Saída"", J165=""Sangria""),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74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85" t="str">
        <f>IFERROR(__xludf.DUMMYFUNCTION("ifna(VALUE(REGEXEXTRACT(E165,""[0-9.]+[,]+[0-9]+"")))"),"")</f>
        <v/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2"/>
      <c r="C166" s="13"/>
      <c r="D166" s="179"/>
      <c r="E166" s="180"/>
      <c r="F166" s="181"/>
      <c r="G166" s="179"/>
      <c r="H166" s="190"/>
      <c r="I166" s="190"/>
      <c r="J166" s="187"/>
      <c r="K166" s="187"/>
      <c r="L166" s="270" t="str">
        <f>IFERROR(__xludf.DUMMYFUNCTION("IF(
  AND(D166=""Saída"", J166=""Sangria""),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2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 t="str">
        <f>IFERROR(__xludf.DUMMYFUNCTION("ifna(VALUE(REGEXEXTRACT(E166,""[0-9.]+[,]+[0-9]+"")))"),"")</f>
        <v/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2"/>
      <c r="C167" s="13"/>
      <c r="D167" s="179"/>
      <c r="E167" s="180"/>
      <c r="F167" s="181"/>
      <c r="G167" s="179"/>
      <c r="H167" s="190"/>
      <c r="I167" s="190"/>
      <c r="J167" s="187"/>
      <c r="K167" s="187"/>
      <c r="L167" s="270" t="str">
        <f>IFERROR(__xludf.DUMMYFUNCTION("IF(
  AND(D167=""Saída"", J167=""Sangria""),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74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 t="str">
        <f>IFERROR(__xludf.DUMMYFUNCTION("ifna(VALUE(REGEXEXTRACT(E167,""[0-9.]+[,]+[0-9]+"")))"),"")</f>
        <v/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2"/>
      <c r="C168" s="13"/>
      <c r="D168" s="179"/>
      <c r="E168" s="180"/>
      <c r="F168" s="181"/>
      <c r="G168" s="179"/>
      <c r="H168" s="190"/>
      <c r="I168" s="190"/>
      <c r="J168" s="187"/>
      <c r="K168" s="187"/>
      <c r="L168" s="270" t="str">
        <f>IFERROR(__xludf.DUMMYFUNCTION("IF(
  AND(D168=""Saída"", J168=""Sangria""),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2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 t="str">
        <f>IFERROR(__xludf.DUMMYFUNCTION("ifna(VALUE(REGEXEXTRACT(E168,""[0-9.]+[,]+[0-9]+"")))"),"")</f>
        <v/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2"/>
      <c r="C169" s="13"/>
      <c r="D169" s="179"/>
      <c r="E169" s="180"/>
      <c r="F169" s="181"/>
      <c r="G169" s="179"/>
      <c r="H169" s="190"/>
      <c r="I169" s="190"/>
      <c r="J169" s="187"/>
      <c r="K169" s="187"/>
      <c r="L169" s="270" t="str">
        <f>IFERROR(__xludf.DUMMYFUNCTION("IF(
  AND(D169=""Saída"", J169=""Sangria""),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74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 t="str">
        <f>IFERROR(__xludf.DUMMYFUNCTION("ifna(VALUE(REGEXEXTRACT(E169,""[0-9.]+[,]+[0-9]+"")))"),"")</f>
        <v/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2"/>
      <c r="C170" s="13"/>
      <c r="D170" s="179"/>
      <c r="E170" s="180"/>
      <c r="F170" s="188"/>
      <c r="G170" s="179"/>
      <c r="H170" s="190"/>
      <c r="I170" s="190"/>
      <c r="J170" s="187"/>
      <c r="K170" s="187"/>
      <c r="L170" s="270" t="str">
        <f>IFERROR(__xludf.DUMMYFUNCTION("IF(
  AND(D170=""Saída"", J170=""Sangria""),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2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 t="str">
        <f>IFERROR(__xludf.DUMMYFUNCTION("ifna(VALUE(REGEXEXTRACT(E170,""[0-9.]+[,]+[0-9]+"")))"),"")</f>
        <v/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2"/>
      <c r="C171" s="13"/>
      <c r="D171" s="179"/>
      <c r="E171" s="180"/>
      <c r="F171" s="181"/>
      <c r="G171" s="179"/>
      <c r="H171" s="190"/>
      <c r="I171" s="190"/>
      <c r="J171" s="187"/>
      <c r="K171" s="187"/>
      <c r="L171" s="270" t="str">
        <f>IFERROR(__xludf.DUMMYFUNCTION("IF(
  AND(D171=""Saída"", J171=""Sangria""),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74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 t="str">
        <f>IFERROR(__xludf.DUMMYFUNCTION("ifna(VALUE(REGEXEXTRACT(E171,""[0-9.]+[,]+[0-9]+"")))"),"")</f>
        <v/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2"/>
      <c r="C172" s="13"/>
      <c r="D172" s="179"/>
      <c r="E172" s="180"/>
      <c r="F172" s="181"/>
      <c r="G172" s="179"/>
      <c r="H172" s="190"/>
      <c r="I172" s="190"/>
      <c r="J172" s="187"/>
      <c r="K172" s="187"/>
      <c r="L172" s="270" t="str">
        <f>IFERROR(__xludf.DUMMYFUNCTION("IF(
  AND(D172=""Saída"", J172=""Sangria""),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2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 t="str">
        <f>IFERROR(__xludf.DUMMYFUNCTION("ifna(VALUE(REGEXEXTRACT(E172,""[0-9.]+[,]+[0-9]+"")))"),"")</f>
        <v/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2"/>
      <c r="C173" s="13"/>
      <c r="D173" s="179"/>
      <c r="E173" s="180"/>
      <c r="F173" s="188"/>
      <c r="G173" s="179"/>
      <c r="H173" s="190"/>
      <c r="I173" s="190"/>
      <c r="J173" s="187"/>
      <c r="K173" s="187"/>
      <c r="L173" s="270" t="str">
        <f>IFERROR(__xludf.DUMMYFUNCTION("IF(
  AND(D173=""Saída"", J173=""Sangria""),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74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 t="str">
        <f>IFERROR(__xludf.DUMMYFUNCTION("ifna(VALUE(REGEXEXTRACT(E173,""[0-9.]+[,]+[0-9]+"")))"),"")</f>
        <v/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2"/>
      <c r="C174" s="13"/>
      <c r="D174" s="179"/>
      <c r="E174" s="180"/>
      <c r="F174" s="181"/>
      <c r="G174" s="179"/>
      <c r="H174" s="190"/>
      <c r="I174" s="190"/>
      <c r="J174" s="187"/>
      <c r="K174" s="187"/>
      <c r="L174" s="270" t="str">
        <f>IFERROR(__xludf.DUMMYFUNCTION("IF(
  AND(D174=""Saída"", J174=""Sangria""),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2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 t="str">
        <f>IFERROR(__xludf.DUMMYFUNCTION("ifna(VALUE(REGEXEXTRACT(E174,""[0-9.]+[,]+[0-9]+"")))"),"")</f>
        <v/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2"/>
      <c r="C175" s="13"/>
      <c r="D175" s="179"/>
      <c r="E175" s="180"/>
      <c r="F175" s="181"/>
      <c r="G175" s="179"/>
      <c r="H175" s="190"/>
      <c r="I175" s="190"/>
      <c r="J175" s="187"/>
      <c r="K175" s="187"/>
      <c r="L175" s="270" t="str">
        <f>IFERROR(__xludf.DUMMYFUNCTION("IF(
  AND(D175=""Saída"", J175=""Sangria""),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74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 t="str">
        <f>IFERROR(__xludf.DUMMYFUNCTION("ifna(VALUE(REGEXEXTRACT(E175,""[0-9.]+[,]+[0-9]+"")))"),"")</f>
        <v/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2"/>
      <c r="C176" s="13"/>
      <c r="D176" s="179"/>
      <c r="E176" s="180"/>
      <c r="F176" s="181"/>
      <c r="G176" s="179"/>
      <c r="H176" s="190"/>
      <c r="I176" s="190"/>
      <c r="J176" s="187"/>
      <c r="K176" s="187"/>
      <c r="L176" s="270" t="str">
        <f>IFERROR(__xludf.DUMMYFUNCTION("IF(
  AND(D176=""Saída"", J176=""Sangria""),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2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 t="str">
        <f>IFERROR(__xludf.DUMMYFUNCTION("ifna(VALUE(REGEXEXTRACT(E176,""[0-9.]+[,]+[0-9]+"")))"),"")</f>
        <v/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2"/>
      <c r="C177" s="13"/>
      <c r="D177" s="179"/>
      <c r="E177" s="180"/>
      <c r="F177" s="181"/>
      <c r="G177" s="179"/>
      <c r="H177" s="190"/>
      <c r="I177" s="190"/>
      <c r="J177" s="187"/>
      <c r="K177" s="187"/>
      <c r="L177" s="270" t="str">
        <f>IFERROR(__xludf.DUMMYFUNCTION("IF(
  AND(D177=""Saída"", J177=""Sangria""),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74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 t="str">
        <f>IFERROR(__xludf.DUMMYFUNCTION("ifna(VALUE(REGEXEXTRACT(E177,""[0-9.]+[,]+[0-9]+"")))"),"")</f>
        <v/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2"/>
      <c r="C178" s="13"/>
      <c r="D178" s="179"/>
      <c r="E178" s="180"/>
      <c r="F178" s="188"/>
      <c r="G178" s="179"/>
      <c r="H178" s="190"/>
      <c r="I178" s="190"/>
      <c r="J178" s="187"/>
      <c r="K178" s="187"/>
      <c r="L178" s="270" t="str">
        <f>IFERROR(__xludf.DUMMYFUNCTION("IF(
  AND(D178=""Saída"", J178=""Sangria""),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2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 t="str">
        <f>IFERROR(__xludf.DUMMYFUNCTION("ifna(VALUE(REGEXEXTRACT(E178,""[0-9.]+[,]+[0-9]+"")))"),"")</f>
        <v/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270" t="str">
        <f>IFERROR(__xludf.DUMMYFUNCTION("IF(
  AND(D179=""Saída"", J179=""Sangria""),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74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 t="str">
        <f>IFERROR(__xludf.DUMMYFUNCTION("ifna(VALUE(REGEXEXTRACT(E179,""[0-9.]+[,]+[0-9]+"")))"),"")</f>
        <v/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2"/>
      <c r="C180" s="13"/>
      <c r="D180" s="179"/>
      <c r="E180" s="180"/>
      <c r="F180" s="181"/>
      <c r="G180" s="179"/>
      <c r="H180" s="190"/>
      <c r="I180" s="190"/>
      <c r="J180" s="187"/>
      <c r="K180" s="187"/>
      <c r="L180" s="270" t="str">
        <f>IFERROR(__xludf.DUMMYFUNCTION("IF(
  AND(D180=""Saída"", J180=""Sangria""),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2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 t="str">
        <f>IFERROR(__xludf.DUMMYFUNCTION("ifna(VALUE(REGEXEXTRACT(E180,""[0-9.]+[,]+[0-9]+"")))"),"")</f>
        <v/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2"/>
      <c r="C181" s="13"/>
      <c r="D181" s="179"/>
      <c r="E181" s="180"/>
      <c r="F181" s="188"/>
      <c r="G181" s="179"/>
      <c r="H181" s="190"/>
      <c r="I181" s="190"/>
      <c r="J181" s="187"/>
      <c r="K181" s="187"/>
      <c r="L181" s="270" t="str">
        <f>IFERROR(__xludf.DUMMYFUNCTION("IF(
  AND(D181=""Saída"", J181=""Sangria""),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74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 t="str">
        <f>IFERROR(__xludf.DUMMYFUNCTION("ifna(VALUE(REGEXEXTRACT(E181,""[0-9.]+[,]+[0-9]+"")))"),"")</f>
        <v/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270" t="str">
        <f>IFERROR(__xludf.DUMMYFUNCTION("IF(
  AND(D182=""Saída"", J182=""Sangria""),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2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 t="str">
        <f>IFERROR(__xludf.DUMMYFUNCTION("ifna(VALUE(REGEXEXTRACT(E182,""[0-9.]+[,]+[0-9]+"")))"),"")</f>
        <v/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270" t="str">
        <f>IFERROR(__xludf.DUMMYFUNCTION("IF(
  AND(D183=""Saída"", J183=""Sangria""),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74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 t="str">
        <f>IFERROR(__xludf.DUMMYFUNCTION("ifna(VALUE(REGEXEXTRACT(E183,""[0-9.]+[,]+[0-9]+"")))"),"")</f>
        <v/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2"/>
      <c r="C184" s="13"/>
      <c r="D184" s="179"/>
      <c r="E184" s="180"/>
      <c r="F184" s="181"/>
      <c r="G184" s="179"/>
      <c r="H184" s="190"/>
      <c r="I184" s="190"/>
      <c r="J184" s="187"/>
      <c r="K184" s="187"/>
      <c r="L184" s="270" t="str">
        <f>IFERROR(__xludf.DUMMYFUNCTION("IF(
  AND(D184=""Saída"", J184=""Sangria""),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2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 t="str">
        <f>IFERROR(__xludf.DUMMYFUNCTION("ifna(VALUE(REGEXEXTRACT(E184,""[0-9.]+[,]+[0-9]+"")))"),"")</f>
        <v/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270" t="str">
        <f>IFERROR(__xludf.DUMMYFUNCTION("IF(
  AND(D185=""Saída"", J185=""Sangria""),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74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 t="str">
        <f>IFERROR(__xludf.DUMMYFUNCTION("ifna(VALUE(REGEXEXTRACT(E185,""[0-9.]+[,]+[0-9]+"")))"),"")</f>
        <v/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2"/>
      <c r="C186" s="13"/>
      <c r="D186" s="179"/>
      <c r="E186" s="180"/>
      <c r="F186" s="181"/>
      <c r="G186" s="179"/>
      <c r="H186" s="190"/>
      <c r="I186" s="190"/>
      <c r="J186" s="187"/>
      <c r="K186" s="187"/>
      <c r="L186" s="270" t="str">
        <f>IFERROR(__xludf.DUMMYFUNCTION("IF(
  AND(D186=""Saída"", J186=""Sangria""),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2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 t="str">
        <f>IFERROR(__xludf.DUMMYFUNCTION("ifna(VALUE(REGEXEXTRACT(E186,""[0-9.]+[,]+[0-9]+"")))"),"")</f>
        <v/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270" t="str">
        <f>IFERROR(__xludf.DUMMYFUNCTION("IF(
  AND(D187=""Saída"", J187=""Sangria""),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74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 t="str">
        <f>IFERROR(__xludf.DUMMYFUNCTION("ifna(VALUE(REGEXEXTRACT(E187,""[0-9.]+[,]+[0-9]+"")))"),"")</f>
        <v/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270" t="str">
        <f>IFERROR(__xludf.DUMMYFUNCTION("IF(
  AND(D188=""Saída"", J188=""Sangria""),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2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 t="str">
        <f>IFERROR(__xludf.DUMMYFUNCTION("ifna(VALUE(REGEXEXTRACT(E188,""[0-9.]+[,]+[0-9]+"")))"),"")</f>
        <v/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270" t="str">
        <f>IFERROR(__xludf.DUMMYFUNCTION("IF(
  AND(D189=""Saída"", J189=""Sangria""),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74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 t="str">
        <f>IFERROR(__xludf.DUMMYFUNCTION("ifna(VALUE(REGEXEXTRACT(E189,""[0-9.]+[,]+[0-9]+"")))"),"")</f>
        <v/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2"/>
      <c r="C190" s="13"/>
      <c r="D190" s="179"/>
      <c r="E190" s="180"/>
      <c r="F190" s="188"/>
      <c r="G190" s="179"/>
      <c r="H190" s="190"/>
      <c r="I190" s="190"/>
      <c r="J190" s="187"/>
      <c r="K190" s="187"/>
      <c r="L190" s="270" t="str">
        <f>IFERROR(__xludf.DUMMYFUNCTION("IF(
  AND(D190=""Saída"", J190=""Sangria""),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2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 t="str">
        <f>IFERROR(__xludf.DUMMYFUNCTION("ifna(VALUE(REGEXEXTRACT(E190,""[0-9.]+[,]+[0-9]+"")))"),"")</f>
        <v/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187"/>
      <c r="K191" s="187"/>
      <c r="L191" s="270" t="str">
        <f>IFERROR(__xludf.DUMMYFUNCTION("IF(
  AND(D191=""Saída"", J191=""Sangria""),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74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 t="str">
        <f>IFERROR(__xludf.DUMMYFUNCTION("ifna(VALUE(REGEXEXTRACT(E191,""[0-9.]+[,]+[0-9]+"")))"),"")</f>
        <v/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2"/>
      <c r="C192" s="13"/>
      <c r="D192" s="179"/>
      <c r="E192" s="180"/>
      <c r="F192" s="181"/>
      <c r="G192" s="179"/>
      <c r="H192" s="190"/>
      <c r="I192" s="190"/>
      <c r="J192" s="187"/>
      <c r="K192" s="187"/>
      <c r="L192" s="270" t="str">
        <f>IFERROR(__xludf.DUMMYFUNCTION("IF(
  AND(D192=""Saída"", J192=""Sangria""),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2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 t="str">
        <f>IFERROR(__xludf.DUMMYFUNCTION("ifna(VALUE(REGEXEXTRACT(E192,""[0-9.]+[,]+[0-9]+"")))"),"")</f>
        <v/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270" t="str">
        <f>IFERROR(__xludf.DUMMYFUNCTION("IF(
  AND(D193=""Saída"", J193=""Sangria""),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74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 t="str">
        <f>IFERROR(__xludf.DUMMYFUNCTION("ifna(VALUE(REGEXEXTRACT(E193,""[0-9.]+[,]+[0-9]+"")))"),"")</f>
        <v/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270" t="str">
        <f>IFERROR(__xludf.DUMMYFUNCTION("IF(
  AND(D194=""Saída"", J194=""Sangria""),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2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85" t="str">
        <f>IFERROR(__xludf.DUMMYFUNCTION("ifna(VALUE(REGEXEXTRACT(E194,""[0-9.]+[,]+[0-9]+"")))"),"")</f>
        <v/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2"/>
      <c r="C195" s="13"/>
      <c r="D195" s="179"/>
      <c r="E195" s="180"/>
      <c r="F195" s="181"/>
      <c r="G195" s="179"/>
      <c r="H195" s="190"/>
      <c r="I195" s="190"/>
      <c r="J195" s="187"/>
      <c r="K195" s="187"/>
      <c r="L195" s="270" t="str">
        <f>IFERROR(__xludf.DUMMYFUNCTION("IF(
  AND(D195=""Saída"", J195=""Sangria""),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74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 t="str">
        <f>IFERROR(__xludf.DUMMYFUNCTION("ifna(VALUE(REGEXEXTRACT(E195,""[0-9.]+[,]+[0-9]+"")))"),"")</f>
        <v/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J196" s="187"/>
      <c r="K196" s="187"/>
      <c r="L196" s="270" t="str">
        <f>IFERROR(__xludf.DUMMYFUNCTION("IF(
  AND(D196=""Saída"", J196=""Sangria""),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2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 t="str">
        <f>IFERROR(__xludf.DUMMYFUNCTION("ifna(VALUE(REGEXEXTRACT(E196,""[0-9.]+[,]+[0-9]+"")))"),"")</f>
        <v/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270" t="str">
        <f>IFERROR(__xludf.DUMMYFUNCTION("IF(
  AND(D197=""Saída"", J197=""Sangria""),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74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 t="str">
        <f>IFERROR(__xludf.DUMMYFUNCTION("ifna(VALUE(REGEXEXTRACT(E197,""[0-9.]+[,]+[0-9]+"")))"),"")</f>
        <v/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270" t="str">
        <f>IFERROR(__xludf.DUMMYFUNCTION("IF(
  AND(D198=""Saída"", J198=""Sangria""),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2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 t="str">
        <f>IFERROR(__xludf.DUMMYFUNCTION("ifna(VALUE(REGEXEXTRACT(E198,""[0-9.]+[,]+[0-9]+"")))"),"")</f>
        <v/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270" t="str">
        <f>IFERROR(__xludf.DUMMYFUNCTION("IF(
  AND(D199=""Saída"", J199=""Sangria""),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74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 t="str">
        <f>IFERROR(__xludf.DUMMYFUNCTION("ifna(VALUE(REGEXEXTRACT(E199,""[0-9.]+[,]+[0-9]+"")))"),"")</f>
        <v/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2"/>
      <c r="C200" s="13"/>
      <c r="D200" s="179"/>
      <c r="E200" s="180"/>
      <c r="F200" s="188"/>
      <c r="G200" s="179"/>
      <c r="H200" s="190"/>
      <c r="I200" s="190"/>
      <c r="J200" s="187"/>
      <c r="K200" s="187"/>
      <c r="L200" s="270" t="str">
        <f>IFERROR(__xludf.DUMMYFUNCTION("IF(
  AND(D200=""Saída"", J200=""Sangria""),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2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 t="str">
        <f>IFERROR(__xludf.DUMMYFUNCTION("ifna(VALUE(REGEXEXTRACT(E200,""[0-9.]+[,]+[0-9]+"")))"),"")</f>
        <v/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270" t="str">
        <f>IFERROR(__xludf.DUMMYFUNCTION("IF(
  AND(D201=""Saída"", J201=""Sangria""),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74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 t="str">
        <f>IFERROR(__xludf.DUMMYFUNCTION("ifna(VALUE(REGEXEXTRACT(E201,""[0-9.]+[,]+[0-9]+"")))"),"")</f>
        <v/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270" t="str">
        <f>IFERROR(__xludf.DUMMYFUNCTION("IF(
  AND(D202=""Saída"", J202=""Sangria""),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2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 t="str">
        <f>IFERROR(__xludf.DUMMYFUNCTION("ifna(VALUE(REGEXEXTRACT(E202,""[0-9.]+[,]+[0-9]+"")))"),"")</f>
        <v/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270" t="str">
        <f>IFERROR(__xludf.DUMMYFUNCTION("IF(
  AND(D203=""Saída"", J203=""Sangria""),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74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 t="str">
        <f>IFERROR(__xludf.DUMMYFUNCTION("ifna(VALUE(REGEXEXTRACT(E203,""[0-9.]+[,]+[0-9]+"")))"),"")</f>
        <v/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270" t="str">
        <f>IFERROR(__xludf.DUMMYFUNCTION("IF(
  AND(D204=""Saída"", J204=""Sangria""),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2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 t="str">
        <f>IFERROR(__xludf.DUMMYFUNCTION("ifna(VALUE(REGEXEXTRACT(E204,""[0-9.]+[,]+[0-9]+"")))"),"")</f>
        <v/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2"/>
      <c r="C205" s="13"/>
      <c r="D205" s="179"/>
      <c r="E205" s="180"/>
      <c r="F205" s="181"/>
      <c r="G205" s="179"/>
      <c r="H205" s="190"/>
      <c r="I205" s="190"/>
      <c r="J205" s="187"/>
      <c r="K205" s="187"/>
      <c r="L205" s="270" t="str">
        <f>IFERROR(__xludf.DUMMYFUNCTION("IF(
  AND(D205=""Saída"", J205=""Sangria""),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74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 t="str">
        <f>IFERROR(__xludf.DUMMYFUNCTION("ifna(VALUE(REGEXEXTRACT(E205,""[0-9.]+[,]+[0-9]+"")))"),"")</f>
        <v/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2"/>
      <c r="C206" s="13"/>
      <c r="D206" s="179"/>
      <c r="E206" s="180"/>
      <c r="F206" s="188"/>
      <c r="G206" s="179"/>
      <c r="H206" s="190"/>
      <c r="I206" s="190"/>
      <c r="J206" s="187"/>
      <c r="K206" s="187"/>
      <c r="L206" s="270" t="str">
        <f>IFERROR(__xludf.DUMMYFUNCTION("IF(
  AND(D206=""Saída"", J206=""Sangria""),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2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 t="str">
        <f>IFERROR(__xludf.DUMMYFUNCTION("ifna(VALUE(REGEXEXTRACT(E206,""[0-9.]+[,]+[0-9]+"")))"),"")</f>
        <v/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270" t="str">
        <f>IFERROR(__xludf.DUMMYFUNCTION("IF(
  AND(D207=""Saída"", J207=""Sangria""),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74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270" t="str">
        <f>IFERROR(__xludf.DUMMYFUNCTION("IF(
  AND(D208=""Saída"", J208=""Sangria""),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2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270" t="str">
        <f>IFERROR(__xludf.DUMMYFUNCTION("IF(
  AND(D209=""Saída"", J209=""Sangria""),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74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270" t="str">
        <f>IFERROR(__xludf.DUMMYFUNCTION("IF(
  AND(D210=""Saída"", J210=""Sangria""),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2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270" t="str">
        <f>IFERROR(__xludf.DUMMYFUNCTION("IF(
  AND(D211=""Saída"", J211=""Sangria""),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74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270" t="str">
        <f>IFERROR(__xludf.DUMMYFUNCTION("IF(
  AND(D212=""Saída"", J212=""Sangria""),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2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270" t="str">
        <f>IFERROR(__xludf.DUMMYFUNCTION("IF(
  AND(D213=""Saída"", J213=""Sangria""),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74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270" t="str">
        <f>IFERROR(__xludf.DUMMYFUNCTION("IF(
  AND(D214=""Saída"", J214=""Sangria""),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2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270" t="str">
        <f>IFERROR(__xludf.DUMMYFUNCTION("IF(
  AND(D215=""Saída"", J215=""Sangria""),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74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270" t="str">
        <f>IFERROR(__xludf.DUMMYFUNCTION("IF(
  AND(D216=""Saída"", J216=""Sangria""),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2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270" t="str">
        <f>IFERROR(__xludf.DUMMYFUNCTION("IF(
  AND(D217=""Saída"", J217=""Sangria""),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74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270" t="str">
        <f>IFERROR(__xludf.DUMMYFUNCTION("IF(
  AND(D218=""Saída"", J218=""Sangria""),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2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270" t="str">
        <f>IFERROR(__xludf.DUMMYFUNCTION("IF(
  AND(D219=""Saída"", J219=""Sangria""),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74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270" t="str">
        <f>IFERROR(__xludf.DUMMYFUNCTION("IF(
  AND(D220=""Saída"", J220=""Sangria""),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2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270" t="str">
        <f>IFERROR(__xludf.DUMMYFUNCTION("IF(
  AND(D221=""Saída"", J221=""Sangria""),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74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270" t="str">
        <f>IFERROR(__xludf.DUMMYFUNCTION("IF(
  AND(D222=""Saída"", J222=""Sangria""),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2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270" t="str">
        <f>IFERROR(__xludf.DUMMYFUNCTION("IF(
  AND(D223=""Saída"", J223=""Sangria""),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74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270" t="str">
        <f>IFERROR(__xludf.DUMMYFUNCTION("IF(
  AND(D224=""Saída"", J224=""Sangria""),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2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270" t="str">
        <f>IFERROR(__xludf.DUMMYFUNCTION("IF(
  AND(D225=""Saída"", J225=""Sangria""),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74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270" t="str">
        <f>IFERROR(__xludf.DUMMYFUNCTION("IF(
  AND(D226=""Saída"", J226=""Sangria""),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2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270" t="str">
        <f>IFERROR(__xludf.DUMMYFUNCTION("IF(
  AND(D227=""Saída"", J227=""Sangria""),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74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270" t="str">
        <f>IFERROR(__xludf.DUMMYFUNCTION("IF(
  AND(D228=""Saída"", J228=""Sangria""),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2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270" t="str">
        <f>IFERROR(__xludf.DUMMYFUNCTION("IF(
  AND(D229=""Saída"", J229=""Sangria""),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74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270" t="str">
        <f>IFERROR(__xludf.DUMMYFUNCTION("IF(
  AND(D230=""Saída"", J230=""Sangria""),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2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270" t="str">
        <f>IFERROR(__xludf.DUMMYFUNCTION("IF(
  AND(D231=""Saída"", J231=""Sangria""),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74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270" t="str">
        <f>IFERROR(__xludf.DUMMYFUNCTION("IF(
  AND(D232=""Saída"", J232=""Sangria""),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2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270" t="str">
        <f>IFERROR(__xludf.DUMMYFUNCTION("IF(
  AND(D233=""Saída"", J233=""Sangria""),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74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270" t="str">
        <f>IFERROR(__xludf.DUMMYFUNCTION("IF(
  AND(D234=""Saída"", J234=""Sangria""),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2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270" t="str">
        <f>IFERROR(__xludf.DUMMYFUNCTION("IF(
  AND(D235=""Saída"", J235=""Sangria""),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74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270" t="str">
        <f>IFERROR(__xludf.DUMMYFUNCTION("IF(
  AND(D236=""Saída"", J236=""Sangria""),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2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270" t="str">
        <f>IFERROR(__xludf.DUMMYFUNCTION("IF(
  AND(D237=""Saída"", J237=""Sangria""),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74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270" t="str">
        <f>IFERROR(__xludf.DUMMYFUNCTION("IF(
  AND(D238=""Saída"", J238=""Sangria""),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2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270" t="str">
        <f>IFERROR(__xludf.DUMMYFUNCTION("IF(
  AND(D239=""Saída"", J239=""Sangria""),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74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270" t="str">
        <f>IFERROR(__xludf.DUMMYFUNCTION("IF(
  AND(D240=""Saída"", J240=""Sangria""),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2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270" t="str">
        <f>IFERROR(__xludf.DUMMYFUNCTION("IF(
  AND(D241=""Saída"", J241=""Sangria""),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74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270" t="str">
        <f>IFERROR(__xludf.DUMMYFUNCTION("IF(
  AND(D242=""Saída"", J242=""Sangria""),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2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270" t="str">
        <f>IFERROR(__xludf.DUMMYFUNCTION("IF(
  AND(D243=""Saída"", J243=""Sangria""),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74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270" t="str">
        <f>IFERROR(__xludf.DUMMYFUNCTION("IF(
  AND(D244=""Saída"", J244=""Sangria""),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2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270" t="str">
        <f>IFERROR(__xludf.DUMMYFUNCTION("IF(
  AND(D245=""Saída"", J245=""Sangria""),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74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270" t="str">
        <f>IFERROR(__xludf.DUMMYFUNCTION("IF(
  AND(D246=""Saída"", J246=""Sangria""),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2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270" t="str">
        <f>IFERROR(__xludf.DUMMYFUNCTION("IF(
  AND(D247=""Saída"", J247=""Sangria""),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74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270" t="str">
        <f>IFERROR(__xludf.DUMMYFUNCTION("IF(
  AND(D248=""Saída"", J248=""Sangria""),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2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270" t="str">
        <f>IFERROR(__xludf.DUMMYFUNCTION("IF(
  AND(D249=""Saída"", J249=""Sangria""),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74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270" t="str">
        <f>IFERROR(__xludf.DUMMYFUNCTION("IF(
  AND(D250=""Saída"", J250=""Sangria""),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2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270" t="str">
        <f>IFERROR(__xludf.DUMMYFUNCTION("IF(
  AND(D251=""Saída"", J251=""Sangria""),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74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270" t="str">
        <f>IFERROR(__xludf.DUMMYFUNCTION("IF(
  AND(D252=""Saída"", J252=""Sangria""),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2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270" t="str">
        <f>IFERROR(__xludf.DUMMYFUNCTION("IF(
  AND(D253=""Saída"", J253=""Sangria""),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74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270" t="str">
        <f>IFERROR(__xludf.DUMMYFUNCTION("IF(
  AND(D254=""Saída"", J254=""Sangria""),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2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270" t="str">
        <f>IFERROR(__xludf.DUMMYFUNCTION("IF(
  AND(D255=""Saída"", J255=""Sangria""),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74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270" t="str">
        <f>IFERROR(__xludf.DUMMYFUNCTION("IF(
  AND(D256=""Saída"", J256=""Sangria""),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2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270" t="str">
        <f>IFERROR(__xludf.DUMMYFUNCTION("IF(
  AND(D257=""Saída"", J257=""Sangria""),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74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270" t="str">
        <f>IFERROR(__xludf.DUMMYFUNCTION("IF(
  AND(D258=""Saída"", J258=""Sangria""),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2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270" t="str">
        <f>IFERROR(__xludf.DUMMYFUNCTION("IF(
  AND(D259=""Saída"", J259=""Sangria""),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74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270" t="str">
        <f>IFERROR(__xludf.DUMMYFUNCTION("IF(
  AND(D260=""Saída"", J260=""Sangria""),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2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270" t="str">
        <f>IFERROR(__xludf.DUMMYFUNCTION("IF(
  AND(D261=""Saída"", J261=""Sangria""),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74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270" t="str">
        <f>IFERROR(__xludf.DUMMYFUNCTION("IF(
  AND(D262=""Saída"", J262=""Sangria""),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2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270" t="str">
        <f>IFERROR(__xludf.DUMMYFUNCTION("IF(
  AND(D263=""Saída"", J263=""Sangria""),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74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270" t="str">
        <f>IFERROR(__xludf.DUMMYFUNCTION("IF(
  AND(D264=""Saída"", J264=""Sangria""),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2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270" t="str">
        <f>IFERROR(__xludf.DUMMYFUNCTION("IF(
  AND(D265=""Saída"", J265=""Sangria""),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74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270" t="str">
        <f>IFERROR(__xludf.DUMMYFUNCTION("IF(
  AND(D266=""Saída"", J266=""Sangria""),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2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270" t="str">
        <f>IFERROR(__xludf.DUMMYFUNCTION("IF(
  AND(D267=""Saída"", J267=""Sangria""),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74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270" t="str">
        <f>IFERROR(__xludf.DUMMYFUNCTION("IF(
  AND(D268=""Saída"", J268=""Sangria""),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2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270" t="str">
        <f>IFERROR(__xludf.DUMMYFUNCTION("IF(
  AND(D269=""Saída"", J269=""Sangria""),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74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270" t="str">
        <f>IFERROR(__xludf.DUMMYFUNCTION("IF(
  AND(D270=""Saída"", J270=""Sangria""),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2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270" t="str">
        <f>IFERROR(__xludf.DUMMYFUNCTION("IF(
  AND(D271=""Saída"", J271=""Sangria""),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74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270" t="str">
        <f>IFERROR(__xludf.DUMMYFUNCTION("IF(
  AND(D272=""Saída"", J272=""Sangria""),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2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270" t="str">
        <f>IFERROR(__xludf.DUMMYFUNCTION("IF(
  AND(D273=""Saída"", J273=""Sangria""),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74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270" t="str">
        <f>IFERROR(__xludf.DUMMYFUNCTION("IF(
  AND(D274=""Saída"", J274=""Sangria""),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2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270" t="str">
        <f>IFERROR(__xludf.DUMMYFUNCTION("IF(
  AND(D275=""Saída"", J275=""Sangria""),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74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270" t="str">
        <f>IFERROR(__xludf.DUMMYFUNCTION("IF(
  AND(D276=""Saída"", J276=""Sangria""),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2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270" t="str">
        <f>IFERROR(__xludf.DUMMYFUNCTION("IF(
  AND(D277=""Saída"", J277=""Sangria""),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74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270" t="str">
        <f>IFERROR(__xludf.DUMMYFUNCTION("IF(
  AND(D278=""Saída"", J278=""Sangria""),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2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270" t="str">
        <f>IFERROR(__xludf.DUMMYFUNCTION("IF(
  AND(D279=""Saída"", J279=""Sangria""),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74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270" t="str">
        <f>IFERROR(__xludf.DUMMYFUNCTION("IF(
  AND(D280=""Saída"", J280=""Sangria""),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2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270" t="str">
        <f>IFERROR(__xludf.DUMMYFUNCTION("IF(
  AND(D281=""Saída"", J281=""Sangria""),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74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270" t="str">
        <f>IFERROR(__xludf.DUMMYFUNCTION("IF(
  AND(D282=""Saída"", J282=""Sangria""),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2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270" t="str">
        <f>IFERROR(__xludf.DUMMYFUNCTION("IF(
  AND(D283=""Saída"", J283=""Sangria""),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74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270" t="str">
        <f>IFERROR(__xludf.DUMMYFUNCTION("IF(
  AND(D284=""Saída"", J284=""Sangria""),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2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270" t="str">
        <f>IFERROR(__xludf.DUMMYFUNCTION("IF(
  AND(D285=""Saída"", J285=""Sangria""),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74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270" t="str">
        <f>IFERROR(__xludf.DUMMYFUNCTION("IF(
  AND(D286=""Saída"", J286=""Sangria""),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2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270" t="str">
        <f>IFERROR(__xludf.DUMMYFUNCTION("IF(
  AND(D287=""Saída"", J287=""Sangria""),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74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270" t="str">
        <f>IFERROR(__xludf.DUMMYFUNCTION("IF(
  AND(D288=""Saída"", J288=""Sangria""),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2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270" t="str">
        <f>IFERROR(__xludf.DUMMYFUNCTION("IF(
  AND(D289=""Saída"", J289=""Sangria""),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74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270" t="str">
        <f>IFERROR(__xludf.DUMMYFUNCTION("IF(
  AND(D290=""Saída"", J290=""Sangria""),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2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270" t="str">
        <f>IFERROR(__xludf.DUMMYFUNCTION("IF(
  AND(D291=""Saída"", J291=""Sangria""),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74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270" t="str">
        <f>IFERROR(__xludf.DUMMYFUNCTION("IF(
  AND(D292=""Saída"", J292=""Sangria""),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2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270" t="str">
        <f>IFERROR(__xludf.DUMMYFUNCTION("IF(
  AND(D293=""Saída"", J293=""Sangria""),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74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270" t="str">
        <f>IFERROR(__xludf.DUMMYFUNCTION("IF(
  AND(D294=""Saída"", J294=""Sangria""),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2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270" t="str">
        <f>IFERROR(__xludf.DUMMYFUNCTION("IF(
  AND(D295=""Saída"", J295=""Sangria""),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74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270" t="str">
        <f>IFERROR(__xludf.DUMMYFUNCTION("IF(
  AND(D296=""Saída"", J296=""Sangria""),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2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270" t="str">
        <f>IFERROR(__xludf.DUMMYFUNCTION("IF(
  AND(D297=""Saída"", J297=""Sangria""),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74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270" t="str">
        <f>IFERROR(__xludf.DUMMYFUNCTION("IF(
  AND(D298=""Saída"", J298=""Sangria""),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2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270" t="str">
        <f>IFERROR(__xludf.DUMMYFUNCTION("IF(
  AND(D299=""Saída"", J299=""Sangria""),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74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270" t="str">
        <f>IFERROR(__xludf.DUMMYFUNCTION("IF(
  AND(D300=""Saída"", J300=""Sangria""),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2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270" t="str">
        <f>IFERROR(__xludf.DUMMYFUNCTION("IF(
  AND(D301=""Saída"", J301=""Sangria""),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74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270" t="str">
        <f>IFERROR(__xludf.DUMMYFUNCTION("IF(
  AND(D302=""Saída"", J302=""Sangria""),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2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270" t="str">
        <f>IFERROR(__xludf.DUMMYFUNCTION("IF(
  AND(D303=""Saída"", J303=""Sangria""),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74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270" t="str">
        <f>IFERROR(__xludf.DUMMYFUNCTION("IF(
  AND(D304=""Saída"", J304=""Sangria""),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2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270" t="str">
        <f>IFERROR(__xludf.DUMMYFUNCTION("IF(
  AND(D305=""Saída"", J305=""Sangria""),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74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270" t="str">
        <f>IFERROR(__xludf.DUMMYFUNCTION("IF(
  AND(D306=""Saída"", J306=""Sangria""),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2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270" t="str">
        <f>IFERROR(__xludf.DUMMYFUNCTION("IF(
  AND(D307=""Saída"", J307=""Sangria""),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74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270" t="str">
        <f>IFERROR(__xludf.DUMMYFUNCTION("IF(
  AND(D308=""Saída"", J308=""Sangria""),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2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270" t="str">
        <f>IFERROR(__xludf.DUMMYFUNCTION("IF(
  AND(D309=""Saída"", J309=""Sangria""),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74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270" t="str">
        <f>IFERROR(__xludf.DUMMYFUNCTION("IF(
  AND(D310=""Saída"", J310=""Sangria""),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2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270" t="str">
        <f>IFERROR(__xludf.DUMMYFUNCTION("IF(
  AND(D311=""Saída"", J311=""Sangria""),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74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270" t="str">
        <f>IFERROR(__xludf.DUMMYFUNCTION("IF(
  AND(D312=""Saída"", J312=""Sangria""),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2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270" t="str">
        <f>IFERROR(__xludf.DUMMYFUNCTION("IF(
  AND(D313=""Saída"", J313=""Sangria""),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74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270" t="str">
        <f>IFERROR(__xludf.DUMMYFUNCTION("IF(
  AND(D314=""Saída"", J314=""Sangria""),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2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270" t="str">
        <f>IFERROR(__xludf.DUMMYFUNCTION("IF(
  AND(D315=""Saída"", J315=""Sangria""),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74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270" t="str">
        <f>IFERROR(__xludf.DUMMYFUNCTION("IF(
  AND(D316=""Saída"", J316=""Sangria""),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2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270" t="str">
        <f>IFERROR(__xludf.DUMMYFUNCTION("IF(
  AND(D317=""Saída"", J317=""Sangria""),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74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270" t="str">
        <f>IFERROR(__xludf.DUMMYFUNCTION("IF(
  AND(D318=""Saída"", J318=""Sangria""),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2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270" t="str">
        <f>IFERROR(__xludf.DUMMYFUNCTION("IF(
  AND(D319=""Saída"", J319=""Sangria""),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74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270" t="str">
        <f>IFERROR(__xludf.DUMMYFUNCTION("IF(
  AND(D320=""Saída"", J320=""Sangria""),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2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270" t="str">
        <f>IFERROR(__xludf.DUMMYFUNCTION("IF(
  AND(D321=""Saída"", J321=""Sangria""),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74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270" t="str">
        <f>IFERROR(__xludf.DUMMYFUNCTION("IF(
  AND(D322=""Saída"", J322=""Sangria""),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2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270" t="str">
        <f>IFERROR(__xludf.DUMMYFUNCTION("IF(
  AND(D323=""Saída"", J323=""Sangria""),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74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270" t="str">
        <f>IFERROR(__xludf.DUMMYFUNCTION("IF(
  AND(D324=""Saída"", J324=""Sangria""),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2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270" t="str">
        <f>IFERROR(__xludf.DUMMYFUNCTION("IF(
  AND(D325=""Saída"", J325=""Sangria""),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74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270" t="str">
        <f>IFERROR(__xludf.DUMMYFUNCTION("IF(
  AND(D326=""Saída"", J326=""Sangria""),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2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270" t="str">
        <f>IFERROR(__xludf.DUMMYFUNCTION("IF(
  AND(D327=""Saída"", J327=""Sangria""),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74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270" t="str">
        <f>IFERROR(__xludf.DUMMYFUNCTION("IF(
  AND(D328=""Saída"", J328=""Sangria""),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2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270" t="str">
        <f>IFERROR(__xludf.DUMMYFUNCTION("IF(
  AND(D329=""Saída"", J329=""Sangria""),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74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270" t="str">
        <f>IFERROR(__xludf.DUMMYFUNCTION("IF(
  AND(D330=""Saída"", J330=""Sangria""),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2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270" t="str">
        <f>IFERROR(__xludf.DUMMYFUNCTION("IF(
  AND(D331=""Saída"", J331=""Sangria""),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74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270" t="str">
        <f>IFERROR(__xludf.DUMMYFUNCTION("IF(
  AND(D332=""Saída"", J332=""Sangria""),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2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270" t="str">
        <f>IFERROR(__xludf.DUMMYFUNCTION("IF(
  AND(D333=""Saída"", J333=""Sangria""),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74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270" t="str">
        <f>IFERROR(__xludf.DUMMYFUNCTION("IF(
  AND(D334=""Saída"", J334=""Sangria""),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2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270" t="str">
        <f>IFERROR(__xludf.DUMMYFUNCTION("IF(
  AND(D335=""Saída"", J335=""Sangria""),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74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270" t="str">
        <f>IFERROR(__xludf.DUMMYFUNCTION("IF(
  AND(D336=""Saída"", J336=""Sangria""),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2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270" t="str">
        <f>IFERROR(__xludf.DUMMYFUNCTION("IF(
  AND(D337=""Saída"", J337=""Sangria""),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74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270" t="str">
        <f>IFERROR(__xludf.DUMMYFUNCTION("IF(
  AND(D338=""Saída"", J338=""Sangria""),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2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270" t="str">
        <f>IFERROR(__xludf.DUMMYFUNCTION("IF(
  AND(D339=""Saída"", J339=""Sangria""),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74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270" t="str">
        <f>IFERROR(__xludf.DUMMYFUNCTION("IF(
  AND(D340=""Saída"", J340=""Sangria""),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2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270" t="str">
        <f>IFERROR(__xludf.DUMMYFUNCTION("IF(
  AND(D341=""Saída"", J341=""Sangria""),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74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270" t="str">
        <f>IFERROR(__xludf.DUMMYFUNCTION("IF(
  AND(D342=""Saída"", J342=""Sangria""),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2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270" t="str">
        <f>IFERROR(__xludf.DUMMYFUNCTION("IF(
  AND(D343=""Saída"", J343=""Sangria""),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74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270" t="str">
        <f>IFERROR(__xludf.DUMMYFUNCTION("IF(
  AND(D344=""Saída"", J344=""Sangria""),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2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270" t="str">
        <f>IFERROR(__xludf.DUMMYFUNCTION("IF(
  AND(D345=""Saída"", J345=""Sangria""),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74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270" t="str">
        <f>IFERROR(__xludf.DUMMYFUNCTION("IF(
  AND(D346=""Saída"", J346=""Sangria""),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2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270" t="str">
        <f>IFERROR(__xludf.DUMMYFUNCTION("IF(
  AND(D347=""Saída"", J347=""Sangria""),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74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270" t="str">
        <f>IFERROR(__xludf.DUMMYFUNCTION("IF(
  AND(D348=""Saída"", J348=""Sangria""),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2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270" t="str">
        <f>IFERROR(__xludf.DUMMYFUNCTION("IF(
  AND(D349=""Saída"", J349=""Sangria""),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74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270" t="str">
        <f>IFERROR(__xludf.DUMMYFUNCTION("IF(
  AND(D350=""Saída"", J350=""Sangria""),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2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270" t="str">
        <f>IFERROR(__xludf.DUMMYFUNCTION("IF(
  AND(D351=""Saída"", J351=""Sangria""),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74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270" t="str">
        <f>IFERROR(__xludf.DUMMYFUNCTION("IF(
  AND(D352=""Saída"", J352=""Sangria""),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2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270" t="str">
        <f>IFERROR(__xludf.DUMMYFUNCTION("IF(
  AND(D353=""Saída"", J353=""Sangria""),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74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270" t="str">
        <f>IFERROR(__xludf.DUMMYFUNCTION("IF(
  AND(D354=""Saída"", J354=""Sangria""),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2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270" t="str">
        <f>IFERROR(__xludf.DUMMYFUNCTION("IF(
  AND(D355=""Saída"", J355=""Sangria""),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74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270" t="str">
        <f>IFERROR(__xludf.DUMMYFUNCTION("IF(
  AND(D356=""Saída"", J356=""Sangria""),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2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270" t="str">
        <f>IFERROR(__xludf.DUMMYFUNCTION("IF(
  AND(D357=""Saída"", J357=""Sangria""),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74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270" t="str">
        <f>IFERROR(__xludf.DUMMYFUNCTION("IF(
  AND(D358=""Saída"", J358=""Sangria""),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2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270" t="str">
        <f>IFERROR(__xludf.DUMMYFUNCTION("IF(
  AND(D359=""Saída"", J359=""Sangria""),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74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270" t="str">
        <f>IFERROR(__xludf.DUMMYFUNCTION("IF(
  AND(D360=""Saída"", J360=""Sangria""),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2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270" t="str">
        <f>IFERROR(__xludf.DUMMYFUNCTION("IF(
  AND(D361=""Saída"", J361=""Sangria""),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74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270" t="str">
        <f>IFERROR(__xludf.DUMMYFUNCTION("IF(
  AND(D362=""Saída"", J362=""Sangria""),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2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270" t="str">
        <f>IFERROR(__xludf.DUMMYFUNCTION("IF(
  AND(D363=""Saída"", J363=""Sangria""),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74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270" t="str">
        <f>IFERROR(__xludf.DUMMYFUNCTION("IF(
  AND(D364=""Saída"", J364=""Sangria""),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2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270" t="str">
        <f>IFERROR(__xludf.DUMMYFUNCTION("IF(
  AND(D365=""Saída"", J365=""Sangria""),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74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270" t="str">
        <f>IFERROR(__xludf.DUMMYFUNCTION("IF(
  AND(D366=""Saída"", J366=""Sangria""),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2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270" t="str">
        <f>IFERROR(__xludf.DUMMYFUNCTION("IF(
  AND(D367=""Saída"", J367=""Sangria""),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74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270" t="str">
        <f>IFERROR(__xludf.DUMMYFUNCTION("IF(
  AND(D368=""Saída"", J368=""Sangria""),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2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270" t="str">
        <f>IFERROR(__xludf.DUMMYFUNCTION("IF(
  AND(D369=""Saída"", J369=""Sangria""),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74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270" t="str">
        <f>IFERROR(__xludf.DUMMYFUNCTION("IF(
  AND(D370=""Saída"", J370=""Sangria""),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2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270" t="str">
        <f>IFERROR(__xludf.DUMMYFUNCTION("IF(
  AND(D371=""Saída"", J371=""Sangria""),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74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270" t="str">
        <f>IFERROR(__xludf.DUMMYFUNCTION("IF(
  AND(D372=""Saída"", J372=""Sangria""),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2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270" t="str">
        <f>IFERROR(__xludf.DUMMYFUNCTION("IF(
  AND(D373=""Saída"", J373=""Sangria""),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74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270" t="str">
        <f>IFERROR(__xludf.DUMMYFUNCTION("IF(
  AND(D374=""Saída"", J374=""Sangria""),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2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270" t="str">
        <f>IFERROR(__xludf.DUMMYFUNCTION("IF(
  AND(D375=""Saída"", J375=""Sangria""),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74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270" t="str">
        <f>IFERROR(__xludf.DUMMYFUNCTION("IF(
  AND(D376=""Saída"", J376=""Sangria""),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2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270" t="str">
        <f>IFERROR(__xludf.DUMMYFUNCTION("IF(
  AND(D377=""Saída"", J377=""Sangria""),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74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270" t="str">
        <f>IFERROR(__xludf.DUMMYFUNCTION("IF(
  AND(D378=""Saída"", J378=""Sangria""),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2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270" t="str">
        <f>IFERROR(__xludf.DUMMYFUNCTION("IF(
  AND(D379=""Saída"", J379=""Sangria""),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74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270" t="str">
        <f>IFERROR(__xludf.DUMMYFUNCTION("IF(
  AND(D380=""Saída"", J380=""Sangria""),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2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270" t="str">
        <f>IFERROR(__xludf.DUMMYFUNCTION("IF(
  AND(D381=""Saída"", J381=""Sangria""),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74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270" t="str">
        <f>IFERROR(__xludf.DUMMYFUNCTION("IF(
  AND(D382=""Saída"", J382=""Sangria""),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2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270" t="str">
        <f>IFERROR(__xludf.DUMMYFUNCTION("IF(
  AND(D383=""Saída"", J383=""Sangria""),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74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270" t="str">
        <f>IFERROR(__xludf.DUMMYFUNCTION("IF(
  AND(D384=""Saída"", J384=""Sangria""),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2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270" t="str">
        <f>IFERROR(__xludf.DUMMYFUNCTION("IF(
  AND(D385=""Saída"", J385=""Sangria""),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74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270" t="str">
        <f>IFERROR(__xludf.DUMMYFUNCTION("IF(
  AND(D386=""Saída"", J386=""Sangria""),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2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270" t="str">
        <f>IFERROR(__xludf.DUMMYFUNCTION("IF(
  AND(D387=""Saída"", J387=""Sangria""),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74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270" t="str">
        <f>IFERROR(__xludf.DUMMYFUNCTION("IF(
  AND(D388=""Saída"", J388=""Sangria""),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2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270" t="str">
        <f>IFERROR(__xludf.DUMMYFUNCTION("IF(
  AND(D389=""Saída"", J389=""Sangria""),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74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270" t="str">
        <f>IFERROR(__xludf.DUMMYFUNCTION("IF(
  AND(D390=""Saída"", J390=""Sangria""),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2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270" t="str">
        <f>IFERROR(__xludf.DUMMYFUNCTION("IF(
  AND(D391=""Saída"", J391=""Sangria""),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74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270" t="str">
        <f>IFERROR(__xludf.DUMMYFUNCTION("IF(
  AND(D392=""Saída"", J392=""Sangria""),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2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270" t="str">
        <f>IFERROR(__xludf.DUMMYFUNCTION("IF(
  AND(D393=""Saída"", J393=""Sangria""),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74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270" t="str">
        <f>IFERROR(__xludf.DUMMYFUNCTION("IF(
  AND(D394=""Saída"", J394=""Sangria""),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2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270" t="str">
        <f>IFERROR(__xludf.DUMMYFUNCTION("IF(
  AND(D395=""Saída"", J395=""Sangria""),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74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270" t="str">
        <f>IFERROR(__xludf.DUMMYFUNCTION("IF(
  AND(D396=""Saída"", J396=""Sangria""),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2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270" t="str">
        <f>IFERROR(__xludf.DUMMYFUNCTION("IF(
  AND(D397=""Saída"", J397=""Sangria""),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74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270" t="str">
        <f>IFERROR(__xludf.DUMMYFUNCTION("IF(
  AND(D398=""Saída"", J398=""Sangria""),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2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270" t="str">
        <f>IFERROR(__xludf.DUMMYFUNCTION("IF(
  AND(D399=""Saída"", J399=""Sangria""),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74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270" t="str">
        <f>IFERROR(__xludf.DUMMYFUNCTION("IF(
  AND(D400=""Saída"", J400=""Sangria""),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2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270" t="str">
        <f>IFERROR(__xludf.DUMMYFUNCTION("IF(
  AND(D401=""Saída"", J401=""Sangria""),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74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270" t="str">
        <f>IFERROR(__xludf.DUMMYFUNCTION("IF(
  AND(D402=""Saída"", J402=""Sangria""),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2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270" t="str">
        <f>IFERROR(__xludf.DUMMYFUNCTION("IF(
  AND(D403=""Saída"", J403=""Sangria""),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74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270" t="str">
        <f>IFERROR(__xludf.DUMMYFUNCTION("IF(
  AND(D404=""Saída"", J404=""Sangria""),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2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270" t="str">
        <f>IFERROR(__xludf.DUMMYFUNCTION("IF(
  AND(D405=""Saída"", J405=""Sangria""),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74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270" t="str">
        <f>IFERROR(__xludf.DUMMYFUNCTION("IF(
  AND(D406=""Saída"", J406=""Sangria""),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2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270" t="str">
        <f>IFERROR(__xludf.DUMMYFUNCTION("IF(
  AND(D407=""Saída"", J407=""Sangria""),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74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270" t="str">
        <f>IFERROR(__xludf.DUMMYFUNCTION("IF(
  AND(D408=""Saída"", J408=""Sangria""),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2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270" t="str">
        <f>IFERROR(__xludf.DUMMYFUNCTION("IF(
  AND(D409=""Saída"", J409=""Sangria""),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74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270" t="str">
        <f>IFERROR(__xludf.DUMMYFUNCTION("IF(
  AND(D410=""Saída"", J410=""Sangria""),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2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270" t="str">
        <f>IFERROR(__xludf.DUMMYFUNCTION("IF(
  AND(D411=""Saída"", J411=""Sangria""),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74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270" t="str">
        <f>IFERROR(__xludf.DUMMYFUNCTION("IF(
  AND(D412=""Saída"", J412=""Sangria""),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2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270" t="str">
        <f>IFERROR(__xludf.DUMMYFUNCTION("IF(
  AND(D413=""Saída"", J413=""Sangria""),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74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270" t="str">
        <f>IFERROR(__xludf.DUMMYFUNCTION("IF(
  AND(D414=""Saída"", J414=""Sangria""),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2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270" t="str">
        <f>IFERROR(__xludf.DUMMYFUNCTION("IF(
  AND(D415=""Saída"", J415=""Sangria""),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74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270" t="str">
        <f>IFERROR(__xludf.DUMMYFUNCTION("IF(
  AND(D416=""Saída"", J416=""Sangria""),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2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270" t="str">
        <f>IFERROR(__xludf.DUMMYFUNCTION("IF(
  AND(D417=""Saída"", J417=""Sangria""),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74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270" t="str">
        <f>IFERROR(__xludf.DUMMYFUNCTION("IF(
  AND(D418=""Saída"", J418=""Sangria""),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2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270" t="str">
        <f>IFERROR(__xludf.DUMMYFUNCTION("IF(
  AND(D419=""Saída"", J419=""Sangria""),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74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270" t="str">
        <f>IFERROR(__xludf.DUMMYFUNCTION("IF(
  AND(D420=""Saída"", J420=""Sangria""),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2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270" t="str">
        <f>IFERROR(__xludf.DUMMYFUNCTION("IF(
  AND(D421=""Saída"", J421=""Sangria""),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74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270" t="str">
        <f>IFERROR(__xludf.DUMMYFUNCTION("IF(
  AND(D422=""Saída"", J422=""Sangria""),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2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270" t="str">
        <f>IFERROR(__xludf.DUMMYFUNCTION("IF(
  AND(D423=""Saída"", J423=""Sangria""),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74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270" t="str">
        <f>IFERROR(__xludf.DUMMYFUNCTION("IF(
  AND(D424=""Saída"", J424=""Sangria""),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2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270" t="str">
        <f>IFERROR(__xludf.DUMMYFUNCTION("IF(
  AND(D425=""Saída"", J425=""Sangria""),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74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270" t="str">
        <f>IFERROR(__xludf.DUMMYFUNCTION("IF(
  AND(D426=""Saída"", J426=""Sangria""),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2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270" t="str">
        <f>IFERROR(__xludf.DUMMYFUNCTION("IF(
  AND(D427=""Saída"", J427=""Sangria""),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74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270" t="str">
        <f>IFERROR(__xludf.DUMMYFUNCTION("IF(
  AND(D428=""Saída"", J428=""Sangria""),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2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270" t="str">
        <f>IFERROR(__xludf.DUMMYFUNCTION("IF(
  AND(D429=""Saída"", J429=""Sangria""),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74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270" t="str">
        <f>IFERROR(__xludf.DUMMYFUNCTION("IF(
  AND(D430=""Saída"", J430=""Sangria""),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2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270" t="str">
        <f>IFERROR(__xludf.DUMMYFUNCTION("IF(
  AND(D431=""Saída"", J431=""Sangria""),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74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270" t="str">
        <f>IFERROR(__xludf.DUMMYFUNCTION("IF(
  AND(D432=""Saída"", J432=""Sangria""),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2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270" t="str">
        <f>IFERROR(__xludf.DUMMYFUNCTION("IF(
  AND(D433=""Saída"", J433=""Sangria""),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74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270" t="str">
        <f>IFERROR(__xludf.DUMMYFUNCTION("IF(
  AND(D434=""Saída"", J434=""Sangria""),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2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270" t="str">
        <f>IFERROR(__xludf.DUMMYFUNCTION("IF(
  AND(D435=""Saída"", J435=""Sangria""),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74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270" t="str">
        <f>IFERROR(__xludf.DUMMYFUNCTION("IF(
  AND(D436=""Saída"", J436=""Sangria""),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2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270" t="str">
        <f>IFERROR(__xludf.DUMMYFUNCTION("IF(
  AND(D437=""Saída"", J437=""Sangria""),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74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270" t="str">
        <f>IFERROR(__xludf.DUMMYFUNCTION("IF(
  AND(D438=""Saída"", J438=""Sangria""),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2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270" t="str">
        <f>IFERROR(__xludf.DUMMYFUNCTION("IF(
  AND(D439=""Saída"", J439=""Sangria""),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74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270" t="str">
        <f>IFERROR(__xludf.DUMMYFUNCTION("IF(
  AND(D440=""Saída"", J440=""Sangria""),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2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270" t="str">
        <f>IFERROR(__xludf.DUMMYFUNCTION("IF(
  AND(D441=""Saída"", J441=""Sangria""),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74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270" t="str">
        <f>IFERROR(__xludf.DUMMYFUNCTION("IF(
  AND(D442=""Saída"", J442=""Sangria""),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2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270" t="str">
        <f>IFERROR(__xludf.DUMMYFUNCTION("IF(
  AND(D443=""Saída"", J443=""Sangria""),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74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270" t="str">
        <f>IFERROR(__xludf.DUMMYFUNCTION("IF(
  AND(D444=""Saída"", J444=""Sangria""),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2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270" t="str">
        <f>IFERROR(__xludf.DUMMYFUNCTION("IF(
  AND(D445=""Saída"", J445=""Sangria""),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74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270" t="str">
        <f>IFERROR(__xludf.DUMMYFUNCTION("IF(
  AND(D446=""Saída"", J446=""Sangria""),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2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270" t="str">
        <f>IFERROR(__xludf.DUMMYFUNCTION("IF(
  AND(D447=""Saída"", J447=""Sangria""),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74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270" t="str">
        <f>IFERROR(__xludf.DUMMYFUNCTION("IF(
  AND(D448=""Saída"", J448=""Sangria""),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2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270" t="str">
        <f>IFERROR(__xludf.DUMMYFUNCTION("IF(
  AND(D449=""Saída"", J449=""Sangria""),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74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270" t="str">
        <f>IFERROR(__xludf.DUMMYFUNCTION("IF(
  AND(D450=""Saída"", J450=""Sangria""),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2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270" t="str">
        <f>IFERROR(__xludf.DUMMYFUNCTION("IF(
  AND(D451=""Saída"", J451=""Sangria""),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74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270" t="str">
        <f>IFERROR(__xludf.DUMMYFUNCTION("IF(
  AND(D452=""Saída"", J452=""Sangria""),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2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270" t="str">
        <f>IFERROR(__xludf.DUMMYFUNCTION("IF(
  AND(D453=""Saída"", J453=""Sangria""),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74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270" t="str">
        <f>IFERROR(__xludf.DUMMYFUNCTION("IF(
  AND(D454=""Saída"", J454=""Sangria""),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2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270" t="str">
        <f>IFERROR(__xludf.DUMMYFUNCTION("IF(
  AND(D455=""Saída"", J455=""Sangria""),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74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270" t="str">
        <f>IFERROR(__xludf.DUMMYFUNCTION("IF(
  AND(D456=""Saída"", J456=""Sangria""),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2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270" t="str">
        <f>IFERROR(__xludf.DUMMYFUNCTION("IF(
  AND(D457=""Saída"", J457=""Sangria""),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74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270" t="str">
        <f>IFERROR(__xludf.DUMMYFUNCTION("IF(
  AND(D458=""Saída"", J458=""Sangria""),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2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270" t="str">
        <f>IFERROR(__xludf.DUMMYFUNCTION("IF(
  AND(D459=""Saída"", J459=""Sangria""),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74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270" t="str">
        <f>IFERROR(__xludf.DUMMYFUNCTION("IF(
  AND(D460=""Saída"", J460=""Sangria""),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2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270" t="str">
        <f>IFERROR(__xludf.DUMMYFUNCTION("IF(
  AND(D461=""Saída"", J461=""Sangria""),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74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270" t="str">
        <f>IFERROR(__xludf.DUMMYFUNCTION("IF(
  AND(D462=""Saída"", J462=""Sangria""),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2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270" t="str">
        <f>IFERROR(__xludf.DUMMYFUNCTION("IF(
  AND(D463=""Saída"", J463=""Sangria""),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74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270" t="str">
        <f>IFERROR(__xludf.DUMMYFUNCTION("IF(
  AND(D464=""Saída"", J464=""Sangria""),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2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270" t="str">
        <f>IFERROR(__xludf.DUMMYFUNCTION("IF(
  AND(D465=""Saída"", J465=""Sangria""),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74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270" t="str">
        <f>IFERROR(__xludf.DUMMYFUNCTION("IF(
  AND(D466=""Saída"", J466=""Sangria""),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2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270" t="str">
        <f>IFERROR(__xludf.DUMMYFUNCTION("IF(
  AND(D467=""Saída"", J467=""Sangria""),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74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270" t="str">
        <f>IFERROR(__xludf.DUMMYFUNCTION("IF(
  AND(D468=""Saída"", J468=""Sangria""),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2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270" t="str">
        <f>IFERROR(__xludf.DUMMYFUNCTION("IF(
  AND(D469=""Saída"", J469=""Sangria""),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74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270" t="str">
        <f>IFERROR(__xludf.DUMMYFUNCTION("IF(
  AND(D470=""Saída"", J470=""Sangria""),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2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270" t="str">
        <f>IFERROR(__xludf.DUMMYFUNCTION("IF(
  AND(D471=""Saída"", J471=""Sangria""),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74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270" t="str">
        <f>IFERROR(__xludf.DUMMYFUNCTION("IF(
  AND(D472=""Saída"", J472=""Sangria""),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2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270" t="str">
        <f>IFERROR(__xludf.DUMMYFUNCTION("IF(
  AND(D473=""Saída"", J473=""Sangria""),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74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270" t="str">
        <f>IFERROR(__xludf.DUMMYFUNCTION("IF(
  AND(D474=""Saída"", J474=""Sangria""),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2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270" t="str">
        <f>IFERROR(__xludf.DUMMYFUNCTION("IF(
  AND(D475=""Saída"", J475=""Sangria""),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74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270" t="str">
        <f>IFERROR(__xludf.DUMMYFUNCTION("IF(
  AND(D476=""Saída"", J476=""Sangria""),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2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270" t="str">
        <f>IFERROR(__xludf.DUMMYFUNCTION("IF(
  AND(D477=""Saída"", J477=""Sangria""),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74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270" t="str">
        <f>IFERROR(__xludf.DUMMYFUNCTION("IF(
  AND(D478=""Saída"", J478=""Sangria""),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2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270" t="str">
        <f>IFERROR(__xludf.DUMMYFUNCTION("IF(
  AND(D479=""Saída"", J479=""Sangria""),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74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270" t="str">
        <f>IFERROR(__xludf.DUMMYFUNCTION("IF(
  AND(D480=""Saída"", J480=""Sangria""),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2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270" t="str">
        <f>IFERROR(__xludf.DUMMYFUNCTION("IF(
  AND(D481=""Saída"", J481=""Sangria""),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74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270" t="str">
        <f>IFERROR(__xludf.DUMMYFUNCTION("IF(
  AND(D482=""Saída"", J482=""Sangria""),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2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270" t="str">
        <f>IFERROR(__xludf.DUMMYFUNCTION("IF(
  AND(D483=""Saída"", J483=""Sangria""),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74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270" t="str">
        <f>IFERROR(__xludf.DUMMYFUNCTION("IF(
  AND(D484=""Saída"", J484=""Sangria""),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2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270" t="str">
        <f>IFERROR(__xludf.DUMMYFUNCTION("IF(
  AND(D485=""Saída"", J485=""Sangria""),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74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270" t="str">
        <f>IFERROR(__xludf.DUMMYFUNCTION("IF(
  AND(D486=""Saída"", J486=""Sangria""),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2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270" t="str">
        <f>IFERROR(__xludf.DUMMYFUNCTION("IF(
  AND(D487=""Saída"", J487=""Sangria""),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74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270" t="str">
        <f>IFERROR(__xludf.DUMMYFUNCTION("IF(
  AND(D488=""Saída"", J488=""Sangria""),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2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270" t="str">
        <f>IFERROR(__xludf.DUMMYFUNCTION("IF(
  AND(D489=""Saída"", J489=""Sangria""),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74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270" t="str">
        <f>IFERROR(__xludf.DUMMYFUNCTION("IF(
  AND(D490=""Saída"", J490=""Sangria""),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2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270" t="str">
        <f>IFERROR(__xludf.DUMMYFUNCTION("IF(
  AND(D491=""Saída"", J491=""Sangria""),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74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270" t="str">
        <f>IFERROR(__xludf.DUMMYFUNCTION("IF(
  AND(D492=""Saída"", J492=""Sangria""),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2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270" t="str">
        <f>IFERROR(__xludf.DUMMYFUNCTION("IF(
  AND(D493=""Saída"", J493=""Sangria""),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74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270" t="str">
        <f>IFERROR(__xludf.DUMMYFUNCTION("IF(
  AND(D494=""Saída"", J494=""Sangria""),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2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270" t="str">
        <f>IFERROR(__xludf.DUMMYFUNCTION("IF(
  AND(D495=""Saída"", J495=""Sangria""),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74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270" t="str">
        <f>IFERROR(__xludf.DUMMYFUNCTION("IF(
  AND(D496=""Saída"", J496=""Sangria""),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2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270" t="str">
        <f>IFERROR(__xludf.DUMMYFUNCTION("IF(
  AND(D497=""Saída"", J497=""Sangria""),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74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270" t="str">
        <f>IFERROR(__xludf.DUMMYFUNCTION("IF(
  AND(D498=""Saída"", J498=""Sangria""),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2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270" t="str">
        <f>IFERROR(__xludf.DUMMYFUNCTION("IF(
  AND(D499=""Saída"", J499=""Sangria""),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74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270" t="str">
        <f>IFERROR(__xludf.DUMMYFUNCTION("IF(
  AND(D500=""Saída"", J500=""Sangria""),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2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270" t="str">
        <f>IFERROR(__xludf.DUMMYFUNCTION("IF(
  AND(D501=""Saída"", J501=""Sangria""),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74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270" t="str">
        <f>IFERROR(__xludf.DUMMYFUNCTION("IF(
  AND(D502=""Saída"", J502=""Sangria""),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2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270" t="str">
        <f>IFERROR(__xludf.DUMMYFUNCTION("IF(
  AND(D503=""Saída"", J503=""Sangria""),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74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270" t="str">
        <f>IFERROR(__xludf.DUMMYFUNCTION("IF(
  AND(D504=""Saída"", J504=""Sangria""),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2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5"/>
      <c r="B505" s="320"/>
      <c r="C505" s="255"/>
      <c r="D505" s="190"/>
      <c r="E505" s="257"/>
      <c r="F505" s="190"/>
      <c r="G505" s="258"/>
      <c r="H505" s="190"/>
      <c r="I505" s="190"/>
      <c r="J505" s="189"/>
      <c r="K505" s="189"/>
      <c r="L505" s="270" t="str">
        <f>IFERROR(__xludf.DUMMYFUNCTION("IF(
  AND(D505=""Saída"", J505=""Sangria""),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74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5"/>
      <c r="B506" s="320"/>
      <c r="C506" s="255"/>
      <c r="D506" s="190"/>
      <c r="E506" s="257"/>
      <c r="F506" s="190"/>
      <c r="G506" s="258"/>
      <c r="H506" s="190"/>
      <c r="I506" s="190"/>
      <c r="J506" s="189"/>
      <c r="K506" s="189"/>
      <c r="L506" s="270" t="str">
        <f>IFERROR(__xludf.DUMMYFUNCTION("IF(
  AND(D506=""Saída"", J506=""Sangria""),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2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5"/>
      <c r="B507" s="320"/>
      <c r="C507" s="255"/>
      <c r="D507" s="190"/>
      <c r="E507" s="257"/>
      <c r="F507" s="190"/>
      <c r="G507" s="258"/>
      <c r="H507" s="190"/>
      <c r="I507" s="190"/>
      <c r="J507" s="189"/>
      <c r="K507" s="189"/>
      <c r="L507" s="270" t="str">
        <f>IFERROR(__xludf.DUMMYFUNCTION("IF(
  AND(D507=""Saída"", J507=""Sangria""),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74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7:R37"/>
    <mergeCell ref="O59:T60"/>
    <mergeCell ref="S61:T61"/>
    <mergeCell ref="O106:V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52:U152"/>
    <mergeCell ref="S153:U153"/>
    <mergeCell ref="S154:U154"/>
    <mergeCell ref="S155:U155"/>
    <mergeCell ref="S156:U156"/>
    <mergeCell ref="S157:U157"/>
    <mergeCell ref="S158:U158"/>
    <mergeCell ref="S145:U145"/>
    <mergeCell ref="S146:U146"/>
    <mergeCell ref="S147:U147"/>
    <mergeCell ref="S148:U148"/>
    <mergeCell ref="S149:U149"/>
    <mergeCell ref="S150:U150"/>
    <mergeCell ref="S151:U151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7:W37"/>
  </mergeCells>
  <conditionalFormatting sqref="E29:E213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W4 L11 D20 O20:W20 O38:W38 U58:W58">
    <cfRule type="cellIs" dxfId="6" priority="10" operator="greaterThanOrEqual">
      <formula>500</formula>
    </cfRule>
  </conditionalFormatting>
  <conditionalFormatting sqref="L4:W4 L11 D20 O20:W20 O38:W38 U58:W58">
    <cfRule type="cellIs" dxfId="7" priority="11" operator="between">
      <formula>400</formula>
      <formula>500</formula>
    </cfRule>
  </conditionalFormatting>
  <conditionalFormatting sqref="E29:E507">
    <cfRule type="containsText" dxfId="9" priority="12" operator="containsText" text="R$">
      <formula>NOT(ISERROR(SEARCH(("R$"),(E29))))</formula>
    </cfRule>
  </conditionalFormatting>
  <conditionalFormatting sqref="B29:B60 C29:K507 B62:B507">
    <cfRule type="expression" dxfId="5" priority="13">
      <formula>and($J$29:$J$504="Sangria",$D$29:$D$504="Saída")</formula>
    </cfRule>
  </conditionalFormatting>
  <conditionalFormatting sqref="K29:K507">
    <cfRule type="expression" dxfId="10" priority="14">
      <formula>or($J$29:$J$218="Compra Moedas",$J$29:$J$218="Cortesias",$J$29:$J$218="Troco")</formula>
    </cfRule>
  </conditionalFormatting>
  <conditionalFormatting sqref="K29:K507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7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1">
      <formula>and($C$29:$C$218="",or($D$29:$D$218="Entrada",$D$29:$D$218="Saída"))</formula>
    </cfRule>
  </conditionalFormatting>
  <conditionalFormatting sqref="I29:I507">
    <cfRule type="expression" dxfId="8" priority="22">
      <formula>and(K29 = "",or(J29="Consumo",J29="Adiantamento"))</formula>
    </cfRule>
  </conditionalFormatting>
  <conditionalFormatting sqref="M29:M507">
    <cfRule type="cellIs" dxfId="8" priority="23" operator="equal">
      <formula>"Não Encontrada"</formula>
    </cfRule>
  </conditionalFormatting>
  <conditionalFormatting sqref="L29:L507">
    <cfRule type="cellIs" dxfId="8" priority="24" operator="equal">
      <formula>"Caixa Sangria"</formula>
    </cfRule>
  </conditionalFormatting>
  <dataValidations>
    <dataValidation type="list" allowBlank="1" showErrorMessage="1" sqref="K29:K507">
      <formula1>'MAIO 2026'!$B$4:$B$16</formula1>
    </dataValidation>
    <dataValidation type="list" allowBlank="1" showErrorMessage="1" sqref="J29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9.63" outlineLevel="1"/>
    <col customWidth="1" min="2" max="2" width="10.25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24.38"/>
    <col customWidth="1" min="8" max="8" width="16.88"/>
    <col customWidth="1" min="9" max="9" width="17.13"/>
    <col customWidth="1" min="10" max="10" width="22.38"/>
    <col customWidth="1" min="11" max="11" width="17.63"/>
    <col customWidth="1" min="12" max="12" width="18.0"/>
    <col customWidth="1" min="13" max="13" width="13.75"/>
    <col customWidth="1" min="14" max="14" width="3.25"/>
    <col customWidth="1" min="15" max="15" width="10.13"/>
    <col customWidth="1" min="16" max="16" width="12.0"/>
    <col customWidth="1" min="17" max="17" width="12.75"/>
    <col customWidth="1" min="18" max="18" width="14.63"/>
    <col customWidth="1" min="19" max="19" width="0.63"/>
    <col customWidth="1" min="20" max="20" width="10.13"/>
    <col customWidth="1" min="21" max="21" width="9.88"/>
    <col customWidth="1" min="22" max="22" width="13.75"/>
    <col customWidth="1" min="23" max="23" width="13.63"/>
  </cols>
  <sheetData>
    <row r="1" ht="8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>
      <c r="A2" s="27" t="s">
        <v>1831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26"/>
      <c r="O2" s="30" t="s">
        <v>1840</v>
      </c>
      <c r="P2" s="28"/>
      <c r="Q2" s="28"/>
      <c r="R2" s="28"/>
      <c r="S2" s="28"/>
      <c r="T2" s="28"/>
      <c r="U2" s="28"/>
      <c r="V2" s="28"/>
      <c r="W2" s="29"/>
    </row>
    <row r="3">
      <c r="A3" s="31" t="s">
        <v>1847</v>
      </c>
      <c r="B3" s="32"/>
      <c r="C3" s="33" t="str">
        <f>B4</f>
        <v>Marcelo</v>
      </c>
      <c r="D3" s="32"/>
      <c r="E3" s="34" t="str">
        <f>B5</f>
        <v>Mariane</v>
      </c>
      <c r="F3" s="32"/>
      <c r="G3" s="34" t="str">
        <f>B6</f>
        <v>Isabeli Grassmann</v>
      </c>
      <c r="H3" s="32"/>
      <c r="I3" s="34" t="str">
        <f>B7</f>
        <v/>
      </c>
      <c r="J3" s="32"/>
      <c r="K3" s="34" t="str">
        <f>B8</f>
        <v/>
      </c>
      <c r="L3" s="35"/>
      <c r="M3" s="36"/>
      <c r="N3" s="36"/>
      <c r="O3" s="37" t="str">
        <f>B4</f>
        <v>Marcelo</v>
      </c>
      <c r="P3" s="28"/>
      <c r="Q3" s="28"/>
      <c r="R3" s="29"/>
      <c r="S3" s="38"/>
      <c r="T3" s="39" t="str">
        <f>B5</f>
        <v>Mariane</v>
      </c>
      <c r="U3" s="28"/>
      <c r="V3" s="28"/>
      <c r="W3" s="29"/>
    </row>
    <row r="4" ht="15.75" customHeight="1">
      <c r="A4" s="40" t="s">
        <v>132</v>
      </c>
      <c r="B4" s="41" t="s">
        <v>6576</v>
      </c>
      <c r="C4" s="42" t="s">
        <v>1900</v>
      </c>
      <c r="D4" s="43">
        <f>SUMIFS(N29:N504,J29:J504,C4,K29:K504,C3)+SUMIF(Q62:Q104,A4,R62:R104)+D9</f>
        <v>0</v>
      </c>
      <c r="E4" s="44" t="s">
        <v>1900</v>
      </c>
      <c r="F4" s="43">
        <f>SUMIFS(N29:N504,J29:J504,E4,K29:K504,E3)+SUMIF(Q62:Q104,A5,R62:R104)+F9</f>
        <v>0</v>
      </c>
      <c r="G4" s="44" t="s">
        <v>1900</v>
      </c>
      <c r="H4" s="43">
        <f>SUMIFS(N29:N504,J29:J504,C4,K29:K504,G3)+SUMIF(Q62:Q104,A6,R62:R104)+H9</f>
        <v>0</v>
      </c>
      <c r="I4" s="44" t="s">
        <v>1900</v>
      </c>
      <c r="J4" s="43">
        <f>SUMIFS(N29:N504,J29:J504,C4,K29:K504,I3)+SUMIF(Q62:Q104,A7,R62:R104)+J9</f>
        <v>0</v>
      </c>
      <c r="K4" s="44" t="s">
        <v>1900</v>
      </c>
      <c r="L4" s="45">
        <f>SUMIFS(N29:N504,J29:J504,C4,K29:K504,K3)+SUMIF(Q62:Q104,A8,R62:R104)+L9</f>
        <v>0</v>
      </c>
      <c r="M4" s="26"/>
      <c r="N4" s="26"/>
      <c r="O4" s="46" t="str">
        <f>IFERROR(__xludf.DUMMYFUNCTION("query(C28:L507,""select Col1,Col3,Col8,Col9 where (Col8 = 'Adiantamento' or Col8 = 'Consumo') and Col9 = '""&amp;B4&amp;""'"",1)"),"Data")</f>
        <v>Data</v>
      </c>
      <c r="P4" s="47" t="str">
        <f>IFERROR(__xludf.DUMMYFUNCTION("""COMPUTED_VALUE"""),"Valor ")</f>
        <v>Valor </v>
      </c>
      <c r="Q4" s="47" t="str">
        <f>IFERROR(__xludf.DUMMYFUNCTION("""COMPUTED_VALUE"""),"Tipo")</f>
        <v>Tipo</v>
      </c>
      <c r="R4" s="48" t="str">
        <f>IFERROR(__xludf.DUMMYFUNCTION("""COMPUTED_VALUE"""),"Funcionário")</f>
        <v>Funcionário</v>
      </c>
      <c r="S4" s="49"/>
      <c r="T4" s="50" t="str">
        <f>IFERROR(__xludf.DUMMYFUNCTION("query(C28:L507,""select Col1,Col3,Col8,Col9 where (Col8 = 'Adiantamento' or Col8 = 'Consumo') and Col9 = '""&amp;B5&amp;""'"",1)"),"Data")</f>
        <v>Data</v>
      </c>
      <c r="U4" s="50" t="str">
        <f>IFERROR(__xludf.DUMMYFUNCTION("""COMPUTED_VALUE"""),"Valor ")</f>
        <v>Valor </v>
      </c>
      <c r="V4" s="50" t="str">
        <f>IFERROR(__xludf.DUMMYFUNCTION("""COMPUTED_VALUE"""),"Tipo")</f>
        <v>Tipo</v>
      </c>
      <c r="W4" s="51" t="str">
        <f>IFERROR(__xludf.DUMMYFUNCTION("""COMPUTED_VALUE"""),"Funcionário")</f>
        <v>Funcionário</v>
      </c>
    </row>
    <row r="5" ht="15.0" customHeight="1">
      <c r="A5" s="40" t="s">
        <v>348</v>
      </c>
      <c r="B5" s="41" t="s">
        <v>2018</v>
      </c>
      <c r="C5" s="42" t="s">
        <v>2019</v>
      </c>
      <c r="D5" s="43">
        <f>SUMIFS(N29:N504,J29:J504,C5,K29:K504,C3)</f>
        <v>0</v>
      </c>
      <c r="E5" s="44" t="s">
        <v>2019</v>
      </c>
      <c r="F5" s="43">
        <f>SUMIFS(N29:N504,J29:J504,C5,K29:K504,E3)</f>
        <v>0</v>
      </c>
      <c r="G5" s="44" t="s">
        <v>2019</v>
      </c>
      <c r="H5" s="43">
        <f>SUMIFS(N29:N504,J29:J504,C5,K29:K504,G3)</f>
        <v>122.27</v>
      </c>
      <c r="I5" s="44" t="s">
        <v>2019</v>
      </c>
      <c r="J5" s="43">
        <f>SUMIFS(N29:N504,J29:J504,C5,K29:K504,I3)</f>
        <v>0</v>
      </c>
      <c r="K5" s="44" t="s">
        <v>2019</v>
      </c>
      <c r="L5" s="45">
        <f>SUMIFS(N29:N504,J29:J504,C5,K29:K504,K3)</f>
        <v>0</v>
      </c>
      <c r="M5" s="26"/>
      <c r="N5" s="26"/>
      <c r="O5" s="52"/>
      <c r="P5" s="53"/>
      <c r="Q5" s="53"/>
      <c r="R5" s="54"/>
      <c r="S5" s="55"/>
      <c r="T5" s="53"/>
      <c r="U5" s="53"/>
      <c r="V5" s="53"/>
      <c r="W5" s="54"/>
    </row>
    <row r="6" ht="16.5" customHeight="1">
      <c r="A6" s="56">
        <v>5.7411272E7</v>
      </c>
      <c r="B6" s="41" t="s">
        <v>2078</v>
      </c>
      <c r="C6" s="42" t="s">
        <v>2079</v>
      </c>
      <c r="D6" s="43">
        <f>D5*0.8</f>
        <v>0</v>
      </c>
      <c r="E6" s="44" t="s">
        <v>2079</v>
      </c>
      <c r="F6" s="43">
        <f>F5*0.8</f>
        <v>0</v>
      </c>
      <c r="G6" s="44" t="s">
        <v>2079</v>
      </c>
      <c r="H6" s="43">
        <f>H5*0.8</f>
        <v>97.816</v>
      </c>
      <c r="I6" s="44" t="s">
        <v>2079</v>
      </c>
      <c r="J6" s="43">
        <f>J5*0.8</f>
        <v>0</v>
      </c>
      <c r="K6" s="57" t="s">
        <v>2079</v>
      </c>
      <c r="L6" s="45">
        <f>L5*0.8</f>
        <v>0</v>
      </c>
      <c r="M6" s="26"/>
      <c r="N6" s="26"/>
      <c r="O6" s="52"/>
      <c r="P6" s="53"/>
      <c r="Q6" s="53"/>
      <c r="R6" s="54"/>
      <c r="S6" s="55"/>
      <c r="T6" s="53"/>
      <c r="U6" s="53"/>
      <c r="V6" s="53"/>
      <c r="W6" s="54"/>
    </row>
    <row r="7" ht="14.25" customHeight="1">
      <c r="C7" s="58" t="s">
        <v>2121</v>
      </c>
      <c r="D7" s="59"/>
      <c r="E7" s="60" t="s">
        <v>2121</v>
      </c>
      <c r="F7" s="59"/>
      <c r="G7" s="60" t="s">
        <v>2121</v>
      </c>
      <c r="H7" s="59"/>
      <c r="I7" s="60" t="s">
        <v>2121</v>
      </c>
      <c r="J7" s="59"/>
      <c r="K7" s="60" t="s">
        <v>2121</v>
      </c>
      <c r="L7" s="61"/>
      <c r="M7" s="62"/>
      <c r="N7" s="62"/>
      <c r="O7" s="52"/>
      <c r="P7" s="53"/>
      <c r="Q7" s="53"/>
      <c r="R7" s="54"/>
      <c r="S7" s="55"/>
      <c r="T7" s="53"/>
      <c r="U7" s="53"/>
      <c r="V7" s="53"/>
      <c r="W7" s="54"/>
    </row>
    <row r="8" ht="14.25" customHeight="1">
      <c r="B8" s="41"/>
      <c r="C8" s="63" t="s">
        <v>2146</v>
      </c>
      <c r="D8" s="64"/>
      <c r="E8" s="65" t="s">
        <v>2146</v>
      </c>
      <c r="F8" s="66"/>
      <c r="G8" s="65" t="s">
        <v>2146</v>
      </c>
      <c r="H8" s="64"/>
      <c r="I8" s="65" t="s">
        <v>2146</v>
      </c>
      <c r="J8" s="67"/>
      <c r="K8" s="65" t="s">
        <v>2146</v>
      </c>
      <c r="L8" s="68"/>
      <c r="M8" s="69"/>
      <c r="N8" s="69"/>
      <c r="O8" s="52"/>
      <c r="P8" s="53"/>
      <c r="Q8" s="53"/>
      <c r="R8" s="54"/>
      <c r="S8" s="55"/>
      <c r="T8" s="53"/>
      <c r="U8" s="53"/>
      <c r="V8" s="53"/>
      <c r="W8" s="54"/>
    </row>
    <row r="9">
      <c r="A9" s="40"/>
      <c r="B9" s="41"/>
      <c r="C9" s="70" t="s">
        <v>46</v>
      </c>
      <c r="D9" s="71"/>
      <c r="E9" s="72" t="s">
        <v>46</v>
      </c>
      <c r="F9" s="73"/>
      <c r="G9" s="72" t="s">
        <v>46</v>
      </c>
      <c r="H9" s="71"/>
      <c r="I9" s="72" t="s">
        <v>46</v>
      </c>
      <c r="J9" s="71"/>
      <c r="K9" s="72" t="s">
        <v>46</v>
      </c>
      <c r="L9" s="74"/>
      <c r="M9" s="69"/>
      <c r="N9" s="69"/>
      <c r="O9" s="52"/>
      <c r="P9" s="53"/>
      <c r="Q9" s="53"/>
      <c r="R9" s="54"/>
      <c r="S9" s="55"/>
      <c r="T9" s="53"/>
      <c r="U9" s="53"/>
      <c r="V9" s="53"/>
      <c r="W9" s="54"/>
    </row>
    <row r="10" ht="21.75" customHeight="1">
      <c r="A10" s="40"/>
      <c r="B10" s="41"/>
      <c r="C10" s="75" t="str">
        <f>B9</f>
        <v/>
      </c>
      <c r="D10" s="76"/>
      <c r="E10" s="77" t="str">
        <f>B10</f>
        <v/>
      </c>
      <c r="F10" s="76"/>
      <c r="G10" s="77" t="str">
        <f>B11</f>
        <v/>
      </c>
      <c r="H10" s="76"/>
      <c r="I10" s="77" t="str">
        <f>B12</f>
        <v/>
      </c>
      <c r="J10" s="76"/>
      <c r="K10" s="77" t="str">
        <f>B13</f>
        <v/>
      </c>
      <c r="L10" s="78"/>
      <c r="M10" s="25"/>
      <c r="N10" s="25"/>
      <c r="O10" s="52"/>
      <c r="P10" s="79"/>
      <c r="Q10" s="79"/>
      <c r="R10" s="80"/>
      <c r="S10" s="81"/>
      <c r="T10" s="79"/>
      <c r="U10" s="79"/>
      <c r="V10" s="79"/>
      <c r="W10" s="80"/>
    </row>
    <row r="11">
      <c r="A11" s="82"/>
      <c r="B11" s="83"/>
      <c r="C11" s="84" t="s">
        <v>1900</v>
      </c>
      <c r="D11" s="85">
        <f>SUMIFS(N29:N514,J29:J514,C11,K29:K514,C10)+SUMIF(Q62:Q104,A9,R62:R104)+D16</f>
        <v>0</v>
      </c>
      <c r="E11" s="86" t="s">
        <v>1900</v>
      </c>
      <c r="F11" s="85">
        <f>SUMIFS(N29:N514,J29:J514,E11,K29:K514,E10)+SUMIF(Q62:Q104,A10,R62:R104)+F16</f>
        <v>0</v>
      </c>
      <c r="G11" s="86" t="s">
        <v>1900</v>
      </c>
      <c r="H11" s="85">
        <f>SUMIFS(N29:N514,J29:J514,C11,K29:K514,G10)+SUMIF(Q62:Q104,A11,R62:R104)+H16</f>
        <v>0</v>
      </c>
      <c r="I11" s="86" t="s">
        <v>1900</v>
      </c>
      <c r="J11" s="85">
        <f>SUMIFS(N29:N514,J29:J514,C11,K29:K514,I10)+SUMIF(Q62:Q104,A11,R62:R104)+J16</f>
        <v>0</v>
      </c>
      <c r="K11" s="86" t="s">
        <v>1900</v>
      </c>
      <c r="L11" s="87">
        <f>SUMIFS(N29:N514,J29:J514,C11,K29:K514,K10)+SUMIF(Q62:Q104,A13,R62:R104)+L16</f>
        <v>0</v>
      </c>
      <c r="M11" s="25"/>
      <c r="N11" s="25"/>
      <c r="O11" s="88"/>
      <c r="P11" s="89"/>
      <c r="Q11" s="89"/>
      <c r="R11" s="90"/>
      <c r="S11" s="91"/>
      <c r="T11" s="89"/>
      <c r="U11" s="89"/>
      <c r="V11" s="89"/>
      <c r="W11" s="90"/>
    </row>
    <row r="12">
      <c r="A12" s="82"/>
      <c r="B12" s="83"/>
      <c r="C12" s="84" t="s">
        <v>2019</v>
      </c>
      <c r="D12" s="85">
        <f>SUMIFS(N36:N514,J36:J514,C12,K36:K514,C10)</f>
        <v>0</v>
      </c>
      <c r="E12" s="86" t="s">
        <v>2019</v>
      </c>
      <c r="F12" s="85">
        <f>SUMIFS(N29:N514,J29:J514,C12,K29:K514,E10)</f>
        <v>0</v>
      </c>
      <c r="G12" s="86" t="s">
        <v>2019</v>
      </c>
      <c r="H12" s="85">
        <f>SUMIFS(N36:N514,J36:J514,C12,K36:K514,G10)</f>
        <v>0</v>
      </c>
      <c r="I12" s="86" t="s">
        <v>2019</v>
      </c>
      <c r="J12" s="85">
        <f>SUMIFS(N29:N514,J29:J514,C12,K29:K514,I10)</f>
        <v>0</v>
      </c>
      <c r="K12" s="86" t="s">
        <v>2019</v>
      </c>
      <c r="L12" s="87">
        <f>SUMIFS(N29:N514,J29:J514,C12,K29:K514,K10)</f>
        <v>0</v>
      </c>
      <c r="M12" s="25"/>
      <c r="N12" s="25"/>
      <c r="O12" s="88"/>
      <c r="P12" s="89"/>
      <c r="Q12" s="89"/>
      <c r="R12" s="90"/>
      <c r="S12" s="91"/>
      <c r="T12" s="89"/>
      <c r="U12" s="89"/>
      <c r="V12" s="89"/>
      <c r="W12" s="90"/>
    </row>
    <row r="13">
      <c r="A13" s="92"/>
      <c r="B13" s="93"/>
      <c r="C13" s="84" t="s">
        <v>2079</v>
      </c>
      <c r="D13" s="85">
        <f>D12*0.8</f>
        <v>0</v>
      </c>
      <c r="E13" s="86" t="s">
        <v>2079</v>
      </c>
      <c r="F13" s="85">
        <f>F12*0.8</f>
        <v>0</v>
      </c>
      <c r="G13" s="86" t="s">
        <v>2079</v>
      </c>
      <c r="H13" s="85">
        <f>H12*0.8</f>
        <v>0</v>
      </c>
      <c r="I13" s="86" t="s">
        <v>2079</v>
      </c>
      <c r="J13" s="85">
        <f>J12*0.8</f>
        <v>0</v>
      </c>
      <c r="K13" s="94" t="s">
        <v>2079</v>
      </c>
      <c r="L13" s="87">
        <f>L12*0.8</f>
        <v>0</v>
      </c>
      <c r="M13" s="25"/>
      <c r="N13" s="25"/>
      <c r="O13" s="88"/>
      <c r="P13" s="89"/>
      <c r="Q13" s="89"/>
      <c r="R13" s="90"/>
      <c r="S13" s="91"/>
      <c r="T13" s="89"/>
      <c r="U13" s="89"/>
      <c r="V13" s="89"/>
      <c r="W13" s="90"/>
    </row>
    <row r="14">
      <c r="A14" s="92"/>
      <c r="B14" s="93"/>
      <c r="C14" s="58" t="s">
        <v>2121</v>
      </c>
      <c r="D14" s="59"/>
      <c r="E14" s="60" t="s">
        <v>2121</v>
      </c>
      <c r="F14" s="59"/>
      <c r="G14" s="60" t="s">
        <v>2121</v>
      </c>
      <c r="H14" s="59"/>
      <c r="I14" s="60" t="s">
        <v>2121</v>
      </c>
      <c r="J14" s="59"/>
      <c r="K14" s="60" t="s">
        <v>2121</v>
      </c>
      <c r="L14" s="61"/>
      <c r="M14" s="25"/>
      <c r="N14" s="25"/>
      <c r="O14" s="88"/>
      <c r="P14" s="89"/>
      <c r="Q14" s="89"/>
      <c r="R14" s="90"/>
      <c r="S14" s="91"/>
      <c r="T14" s="89"/>
      <c r="U14" s="89"/>
      <c r="V14" s="89"/>
      <c r="W14" s="90"/>
    </row>
    <row r="15">
      <c r="A15" s="92"/>
      <c r="B15" s="93"/>
      <c r="C15" s="63" t="s">
        <v>2146</v>
      </c>
      <c r="D15" s="64"/>
      <c r="E15" s="65" t="s">
        <v>2146</v>
      </c>
      <c r="F15" s="66"/>
      <c r="G15" s="65" t="s">
        <v>2146</v>
      </c>
      <c r="H15" s="67"/>
      <c r="I15" s="65" t="s">
        <v>2146</v>
      </c>
      <c r="J15" s="67"/>
      <c r="K15" s="65" t="s">
        <v>2146</v>
      </c>
      <c r="L15" s="68"/>
      <c r="M15" s="25"/>
      <c r="N15" s="25"/>
      <c r="O15" s="88"/>
      <c r="P15" s="89"/>
      <c r="Q15" s="89"/>
      <c r="R15" s="90"/>
      <c r="S15" s="91"/>
      <c r="T15" s="89"/>
      <c r="U15" s="89"/>
      <c r="V15" s="89"/>
      <c r="W15" s="90"/>
    </row>
    <row r="16">
      <c r="A16" s="95"/>
      <c r="B16" s="96"/>
      <c r="C16" s="97" t="s">
        <v>46</v>
      </c>
      <c r="D16" s="98"/>
      <c r="E16" s="99" t="s">
        <v>46</v>
      </c>
      <c r="F16" s="100"/>
      <c r="G16" s="99" t="s">
        <v>46</v>
      </c>
      <c r="H16" s="98"/>
      <c r="I16" s="99" t="s">
        <v>46</v>
      </c>
      <c r="J16" s="98"/>
      <c r="K16" s="99" t="s">
        <v>46</v>
      </c>
      <c r="L16" s="101"/>
      <c r="M16" s="25"/>
      <c r="N16" s="25"/>
      <c r="O16" s="88"/>
      <c r="P16" s="89"/>
      <c r="Q16" s="89"/>
      <c r="R16" s="90"/>
      <c r="S16" s="91"/>
      <c r="T16" s="89"/>
      <c r="U16" s="89"/>
      <c r="V16" s="89"/>
      <c r="W16" s="90"/>
    </row>
    <row r="17">
      <c r="A17" s="81"/>
      <c r="B17" s="81"/>
      <c r="C17" s="25"/>
      <c r="D17" s="25"/>
      <c r="E17" s="102"/>
      <c r="F17" s="102"/>
      <c r="G17" s="102"/>
      <c r="H17" s="102"/>
      <c r="I17" s="102"/>
      <c r="J17" s="102"/>
      <c r="K17" s="102"/>
      <c r="L17" s="102"/>
      <c r="M17" s="25"/>
      <c r="N17" s="25"/>
      <c r="O17" s="88"/>
      <c r="P17" s="89"/>
      <c r="Q17" s="89"/>
      <c r="R17" s="90"/>
      <c r="S17" s="91"/>
      <c r="T17" s="89"/>
      <c r="U17" s="89"/>
      <c r="V17" s="89"/>
      <c r="W17" s="90"/>
    </row>
    <row r="18">
      <c r="A18" s="81"/>
      <c r="B18" s="81"/>
      <c r="C18" s="103"/>
      <c r="D18" s="104"/>
      <c r="E18" s="105" t="s">
        <v>2403</v>
      </c>
      <c r="F18" s="106"/>
      <c r="G18" s="106"/>
      <c r="H18" s="107"/>
      <c r="I18" s="105" t="s">
        <v>2407</v>
      </c>
      <c r="J18" s="107"/>
      <c r="K18" s="105" t="s">
        <v>2410</v>
      </c>
      <c r="L18" s="107"/>
      <c r="M18" s="25"/>
      <c r="N18" s="25"/>
      <c r="O18" s="108"/>
      <c r="P18" s="109"/>
      <c r="Q18" s="109"/>
      <c r="R18" s="109"/>
      <c r="S18" s="110"/>
      <c r="T18" s="109"/>
      <c r="U18" s="109"/>
      <c r="V18" s="109"/>
      <c r="W18" s="111"/>
    </row>
    <row r="19">
      <c r="A19" s="24"/>
      <c r="B19" s="24"/>
      <c r="C19" s="112"/>
      <c r="D19" s="113"/>
      <c r="E19" s="112"/>
      <c r="F19" s="114"/>
      <c r="G19" s="266" t="s">
        <v>6509</v>
      </c>
      <c r="H19" s="116">
        <f>SUMIF(L29:L499,G19,N29:N499)</f>
        <v>6060</v>
      </c>
      <c r="I19" s="117" t="s">
        <v>2436</v>
      </c>
      <c r="J19" s="118" t="s">
        <v>2438</v>
      </c>
      <c r="K19" s="119" t="s">
        <v>2440</v>
      </c>
      <c r="L19" s="113"/>
      <c r="M19" s="25"/>
      <c r="N19" s="25"/>
      <c r="O19" s="123" t="str">
        <f>B6</f>
        <v>Isabeli Grassmann</v>
      </c>
      <c r="P19" s="106"/>
      <c r="Q19" s="106"/>
      <c r="R19" s="124"/>
      <c r="S19" s="122"/>
      <c r="T19" s="123" t="str">
        <f>B7</f>
        <v/>
      </c>
      <c r="U19" s="106"/>
      <c r="V19" s="106"/>
      <c r="W19" s="124"/>
    </row>
    <row r="20">
      <c r="A20" s="125"/>
      <c r="B20" s="125"/>
      <c r="C20" s="126" t="s">
        <v>1900</v>
      </c>
      <c r="D20" s="127">
        <f>SUMIFS(N29:N504,J29:J504,C20,K29:K504,C19)+SUMIF(Q68:Q104,A9,R68:R104)+D25</f>
        <v>0</v>
      </c>
      <c r="E20" s="126" t="s">
        <v>1900</v>
      </c>
      <c r="F20" s="128">
        <f>SUMIFS(N29:N504,J29:J504,C20,K29:K504,E19)+SUMIF(Q68:Q104,A10,R68:R104)+F25</f>
        <v>0</v>
      </c>
      <c r="G20" s="129" t="s">
        <v>2473</v>
      </c>
      <c r="H20" s="130">
        <v>8450.0</v>
      </c>
      <c r="I20" s="131">
        <f>SUMIF(J29:J504,I19,N29:N504)</f>
        <v>29.31</v>
      </c>
      <c r="J20" s="132">
        <f>SUMIF(J29:J504,J19,N29:N504)</f>
        <v>370.05</v>
      </c>
      <c r="K20" s="133" t="s">
        <v>2491</v>
      </c>
      <c r="L20" s="134"/>
      <c r="M20" s="25"/>
      <c r="N20" s="25"/>
      <c r="O20" s="50" t="str">
        <f>IFERROR(__xludf.DUMMYFUNCTION("query(C28:L507,""select Col1,Col3,Col8,Col9 where (Col8 = 'Adiantamento' or Col8 = 'Consumo') and Col9 = '""&amp;B6&amp;""'"",1)"),"Data")</f>
        <v>Data</v>
      </c>
      <c r="P20" s="50" t="str">
        <f>IFERROR(__xludf.DUMMYFUNCTION("""COMPUTED_VALUE"""),"Valor ")</f>
        <v>Valor </v>
      </c>
      <c r="Q20" s="50" t="str">
        <f>IFERROR(__xludf.DUMMYFUNCTION("""COMPUTED_VALUE"""),"Tipo")</f>
        <v>Tipo</v>
      </c>
      <c r="R20" s="51" t="str">
        <f>IFERROR(__xludf.DUMMYFUNCTION("""COMPUTED_VALUE"""),"Funcionário")</f>
        <v>Funcionário</v>
      </c>
      <c r="S20" s="49"/>
      <c r="T20" s="50" t="str">
        <f>IFERROR(__xludf.DUMMYFUNCTION("query(C28:L507,""select Col1,Col3,Col8,Col9 where (Col8 = 'Adiantamento' or Col8 = 'Consumo') and Col9 = '""&amp;B7&amp;""'"",1)"),"Data")</f>
        <v>Data</v>
      </c>
      <c r="U20" s="50" t="str">
        <f>IFERROR(__xludf.DUMMYFUNCTION("""COMPUTED_VALUE"""),"Valor ")</f>
        <v>Valor </v>
      </c>
      <c r="V20" s="50" t="str">
        <f>IFERROR(__xludf.DUMMYFUNCTION("""COMPUTED_VALUE"""),"Tipo")</f>
        <v>Tipo</v>
      </c>
      <c r="W20" s="51" t="str">
        <f>IFERROR(__xludf.DUMMYFUNCTION("""COMPUTED_VALUE"""),"Funcionário")</f>
        <v>Funcionário</v>
      </c>
    </row>
    <row r="21" ht="19.5" customHeight="1">
      <c r="A21" s="137"/>
      <c r="B21" s="137"/>
      <c r="C21" s="126" t="s">
        <v>2019</v>
      </c>
      <c r="D21" s="127">
        <f>SUMIFS(N29:N504,J29:J504,C21,K29:K504,C19)</f>
        <v>0</v>
      </c>
      <c r="E21" s="126" t="s">
        <v>2019</v>
      </c>
      <c r="F21" s="128">
        <f>SUMIFS(N29:N504,J29:J504,E21,K29:K504,E19)</f>
        <v>0</v>
      </c>
      <c r="G21" s="86" t="s">
        <v>2522</v>
      </c>
      <c r="H21" s="127">
        <f>SUMIFS(N29:N504,D29:D504,"Saída",J29:J504,"Sangria")</f>
        <v>12800</v>
      </c>
      <c r="I21" s="138"/>
      <c r="J21" s="139"/>
      <c r="K21" s="133" t="s">
        <v>2530</v>
      </c>
      <c r="L21" s="134"/>
      <c r="M21" s="25"/>
      <c r="N21" s="25"/>
      <c r="O21" s="238">
        <f>IFERROR(__xludf.DUMMYFUNCTION("""COMPUTED_VALUE"""),46178.75090277778)</f>
        <v>46178.7509</v>
      </c>
      <c r="P21" s="53" t="str">
        <f>IFERROR(__xludf.DUMMYFUNCTION("""COMPUTED_VALUE"""),"R$ 51,60")</f>
        <v>R$ 51,60</v>
      </c>
      <c r="Q21" s="53" t="str">
        <f>IFERROR(__xludf.DUMMYFUNCTION("""COMPUTED_VALUE"""),"Consumo")</f>
        <v>Consumo</v>
      </c>
      <c r="R21" s="54" t="str">
        <f>IFERROR(__xludf.DUMMYFUNCTION("""COMPUTED_VALUE"""),"Isabeli Grassmann")</f>
        <v>Isabeli Grassmann</v>
      </c>
      <c r="S21" s="55"/>
      <c r="T21" s="53"/>
      <c r="U21" s="53"/>
      <c r="V21" s="53"/>
      <c r="W21" s="54"/>
    </row>
    <row r="22">
      <c r="A22" s="137"/>
      <c r="B22" s="137"/>
      <c r="C22" s="140" t="s">
        <v>2079</v>
      </c>
      <c r="D22" s="127">
        <f>D21*0.8</f>
        <v>0</v>
      </c>
      <c r="E22" s="140" t="s">
        <v>2079</v>
      </c>
      <c r="F22" s="141">
        <f>F21*0.8</f>
        <v>0</v>
      </c>
      <c r="G22" s="142" t="s">
        <v>2551</v>
      </c>
      <c r="H22" s="143">
        <f>SUMIFS(N29:N504,D29:D504,"Entrada",J29:J504,"Sangria")</f>
        <v>0</v>
      </c>
      <c r="I22" s="144" t="s">
        <v>2556</v>
      </c>
      <c r="J22" s="145"/>
      <c r="K22" s="133" t="s">
        <v>2559</v>
      </c>
      <c r="L22" s="134"/>
      <c r="M22" s="25"/>
      <c r="N22" s="25"/>
      <c r="O22" s="238">
        <f>IFERROR(__xludf.DUMMYFUNCTION("""COMPUTED_VALUE"""),46184.757268518515)</f>
        <v>46184.75727</v>
      </c>
      <c r="P22" s="53" t="str">
        <f>IFERROR(__xludf.DUMMYFUNCTION("""COMPUTED_VALUE"""),"R$ 37,84")</f>
        <v>R$ 37,84</v>
      </c>
      <c r="Q22" s="53" t="str">
        <f>IFERROR(__xludf.DUMMYFUNCTION("""COMPUTED_VALUE"""),"Consumo")</f>
        <v>Consumo</v>
      </c>
      <c r="R22" s="54" t="str">
        <f>IFERROR(__xludf.DUMMYFUNCTION("""COMPUTED_VALUE"""),"Isabeli Grassmann")</f>
        <v>Isabeli Grassmann</v>
      </c>
      <c r="S22" s="55"/>
      <c r="T22" s="53"/>
      <c r="U22" s="53"/>
      <c r="V22" s="53"/>
      <c r="W22" s="54"/>
    </row>
    <row r="23">
      <c r="A23" s="146"/>
      <c r="B23" s="146"/>
      <c r="C23" s="147" t="s">
        <v>2121</v>
      </c>
      <c r="D23" s="148"/>
      <c r="E23" s="147" t="s">
        <v>2121</v>
      </c>
      <c r="F23" s="148"/>
      <c r="G23" s="149" t="s">
        <v>2571</v>
      </c>
      <c r="H23" s="150"/>
      <c r="I23" s="151">
        <f>SUMIF(J29:J504,I22,N29:N504)</f>
        <v>0</v>
      </c>
      <c r="J23" s="152"/>
      <c r="K23" s="133" t="s">
        <v>2578</v>
      </c>
      <c r="L23" s="134"/>
      <c r="M23" s="25"/>
      <c r="N23" s="25"/>
      <c r="O23" s="238">
        <f>IFERROR(__xludf.DUMMYFUNCTION("""COMPUTED_VALUE"""),46188.48373842593)</f>
        <v>46188.48374</v>
      </c>
      <c r="P23" s="53" t="str">
        <f>IFERROR(__xludf.DUMMYFUNCTION("""COMPUTED_VALUE"""),"R$ 13,84")</f>
        <v>R$ 13,84</v>
      </c>
      <c r="Q23" s="53" t="str">
        <f>IFERROR(__xludf.DUMMYFUNCTION("""COMPUTED_VALUE"""),"Consumo")</f>
        <v>Consumo</v>
      </c>
      <c r="R23" s="54" t="str">
        <f>IFERROR(__xludf.DUMMYFUNCTION("""COMPUTED_VALUE"""),"Isabeli Grassmann")</f>
        <v>Isabeli Grassmann</v>
      </c>
      <c r="S23" s="55"/>
      <c r="T23" s="53"/>
      <c r="U23" s="53"/>
      <c r="V23" s="53"/>
      <c r="W23" s="54"/>
    </row>
    <row r="24">
      <c r="A24" s="153"/>
      <c r="B24" s="153"/>
      <c r="C24" s="154" t="s">
        <v>2146</v>
      </c>
      <c r="D24" s="155"/>
      <c r="E24" s="154" t="s">
        <v>2146</v>
      </c>
      <c r="F24" s="155"/>
      <c r="G24" s="86" t="s">
        <v>2587</v>
      </c>
      <c r="H24" s="156">
        <f>SUMIF(L29:L504,G24,N29:N504)</f>
        <v>0</v>
      </c>
      <c r="I24" s="157" t="s">
        <v>2593</v>
      </c>
      <c r="J24" s="150"/>
      <c r="K24" s="133" t="s">
        <v>2594</v>
      </c>
      <c r="L24" s="134"/>
      <c r="M24" s="25"/>
      <c r="N24" s="25"/>
      <c r="O24" s="238">
        <f>IFERROR(__xludf.DUMMYFUNCTION("""COMPUTED_VALUE"""),46189.8528125)</f>
        <v>46189.85281</v>
      </c>
      <c r="P24" s="53" t="str">
        <f>IFERROR(__xludf.DUMMYFUNCTION("""COMPUTED_VALUE"""),"R$ 7,42")</f>
        <v>R$ 7,42</v>
      </c>
      <c r="Q24" s="53" t="str">
        <f>IFERROR(__xludf.DUMMYFUNCTION("""COMPUTED_VALUE"""),"Consumo")</f>
        <v>Consumo</v>
      </c>
      <c r="R24" s="54" t="str">
        <f>IFERROR(__xludf.DUMMYFUNCTION("""COMPUTED_VALUE"""),"Isabeli Grassmann")</f>
        <v>Isabeli Grassmann</v>
      </c>
      <c r="S24" s="55"/>
      <c r="T24" s="53"/>
      <c r="U24" s="53"/>
      <c r="V24" s="53"/>
      <c r="W24" s="54"/>
    </row>
    <row r="25" ht="14.25" customHeight="1">
      <c r="A25" s="153"/>
      <c r="B25" s="153"/>
      <c r="C25" s="158" t="s">
        <v>46</v>
      </c>
      <c r="D25" s="159"/>
      <c r="E25" s="158" t="s">
        <v>46</v>
      </c>
      <c r="F25" s="159"/>
      <c r="G25" s="160" t="s">
        <v>2600</v>
      </c>
      <c r="H25" s="161">
        <f>SUMIF(L29:L504,G25,N29:N504)</f>
        <v>0</v>
      </c>
      <c r="I25" s="151">
        <f>SUMIF(J29:J504,I24,N29:N504)</f>
        <v>0</v>
      </c>
      <c r="J25" s="152"/>
      <c r="K25" s="162"/>
      <c r="L25" s="163"/>
      <c r="M25" s="26"/>
      <c r="N25" s="26"/>
      <c r="O25" s="238">
        <f>IFERROR(__xludf.DUMMYFUNCTION("""COMPUTED_VALUE"""),46190.74581018518)</f>
        <v>46190.74581</v>
      </c>
      <c r="P25" s="53" t="str">
        <f>IFERROR(__xludf.DUMMYFUNCTION("""COMPUTED_VALUE"""),"R$ 11,57")</f>
        <v>R$ 11,57</v>
      </c>
      <c r="Q25" s="53" t="str">
        <f>IFERROR(__xludf.DUMMYFUNCTION("""COMPUTED_VALUE"""),"Consumo")</f>
        <v>Consumo</v>
      </c>
      <c r="R25" s="54" t="str">
        <f>IFERROR(__xludf.DUMMYFUNCTION("""COMPUTED_VALUE"""),"Isabeli Grassmann")</f>
        <v>Isabeli Grassmann</v>
      </c>
      <c r="S25" s="55"/>
      <c r="T25" s="53"/>
      <c r="U25" s="53"/>
      <c r="V25" s="53"/>
      <c r="W25" s="54"/>
    </row>
    <row r="26" ht="14.25" customHeight="1">
      <c r="A26" s="164"/>
      <c r="B26" s="164"/>
      <c r="C26" s="164"/>
      <c r="D26" s="164"/>
      <c r="E26" s="164"/>
      <c r="F26" s="164"/>
      <c r="G26" s="165"/>
      <c r="H26" s="164"/>
      <c r="I26" s="164"/>
      <c r="J26" s="166"/>
      <c r="K26" s="166"/>
      <c r="L26" s="166"/>
      <c r="M26" s="167"/>
      <c r="N26" s="167"/>
      <c r="O26" s="79"/>
      <c r="P26" s="79"/>
      <c r="Q26" s="79"/>
      <c r="R26" s="80"/>
      <c r="S26" s="81"/>
      <c r="T26" s="79"/>
      <c r="U26" s="79"/>
      <c r="V26" s="79"/>
      <c r="W26" s="80"/>
    </row>
    <row r="27">
      <c r="A27" s="168"/>
      <c r="B27" s="169" t="s">
        <v>2631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04"/>
      <c r="N27" s="167"/>
      <c r="O27" s="89"/>
      <c r="P27" s="89"/>
      <c r="Q27" s="89"/>
      <c r="R27" s="90"/>
      <c r="S27" s="91"/>
      <c r="T27" s="89"/>
      <c r="U27" s="89"/>
      <c r="V27" s="89"/>
      <c r="W27" s="90"/>
    </row>
    <row r="28">
      <c r="A28" s="171"/>
      <c r="B28" s="172" t="s">
        <v>1</v>
      </c>
      <c r="C28" s="173" t="s">
        <v>2</v>
      </c>
      <c r="D28" s="174" t="s">
        <v>4</v>
      </c>
      <c r="E28" s="173" t="s">
        <v>7</v>
      </c>
      <c r="F28" s="174"/>
      <c r="G28" s="174" t="s">
        <v>10</v>
      </c>
      <c r="H28" s="175"/>
      <c r="I28" s="176" t="s">
        <v>26</v>
      </c>
      <c r="J28" s="174" t="s">
        <v>31</v>
      </c>
      <c r="K28" s="173" t="s">
        <v>33</v>
      </c>
      <c r="L28" s="268" t="s">
        <v>2647</v>
      </c>
      <c r="M28" s="269" t="s">
        <v>8</v>
      </c>
      <c r="N28" s="167"/>
      <c r="O28" s="89"/>
      <c r="P28" s="89"/>
      <c r="Q28" s="89"/>
      <c r="R28" s="90"/>
      <c r="S28" s="91"/>
      <c r="T28" s="89"/>
      <c r="U28" s="89"/>
      <c r="V28" s="89"/>
      <c r="W28" s="90"/>
    </row>
    <row r="29" ht="14.25" customHeight="1">
      <c r="A29" s="178"/>
      <c r="B29" s="12">
        <v>2197124.0</v>
      </c>
      <c r="C29" s="13">
        <v>46168.8052662037</v>
      </c>
      <c r="D29" s="179" t="s">
        <v>81</v>
      </c>
      <c r="E29" s="180" t="s">
        <v>86</v>
      </c>
      <c r="F29" s="181"/>
      <c r="G29" s="179" t="s">
        <v>92</v>
      </c>
      <c r="H29" s="182"/>
      <c r="I29" s="182"/>
      <c r="J29" s="183" t="s">
        <v>3375</v>
      </c>
      <c r="K29" s="183"/>
      <c r="L29" s="270" t="str">
        <f>IFERROR(__xludf.DUMMYFUNCTION("IF(
  AND(D29=""Saída"", J29=""Sangria""),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27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85">
        <f>IFERROR(__xludf.DUMMYFUNCTION("ifna(VALUE(REGEXEXTRACT(E29,""[0-9.]+[,]+[0-9]+"")))"),9.0)</f>
        <v>9</v>
      </c>
      <c r="O29" s="89"/>
      <c r="P29" s="89"/>
      <c r="Q29" s="89"/>
      <c r="R29" s="90"/>
      <c r="S29" s="91"/>
      <c r="T29" s="89"/>
      <c r="U29" s="89"/>
      <c r="V29" s="89"/>
      <c r="W29" s="90"/>
    </row>
    <row r="30" ht="14.25" customHeight="1">
      <c r="A30" s="178"/>
      <c r="B30" s="12">
        <v>2197276.0</v>
      </c>
      <c r="C30" s="13">
        <v>46168.87329861111</v>
      </c>
      <c r="D30" s="179" t="s">
        <v>81</v>
      </c>
      <c r="E30" s="180" t="s">
        <v>111</v>
      </c>
      <c r="F30" s="181"/>
      <c r="G30" s="179" t="s">
        <v>114</v>
      </c>
      <c r="H30" s="186"/>
      <c r="I30" s="186"/>
      <c r="J30" s="187" t="s">
        <v>3151</v>
      </c>
      <c r="K30" s="187"/>
      <c r="L30" s="270" t="str">
        <f>IFERROR(__xludf.DUMMYFUNCTION("IF(
  AND(D30=""Saída"", J30=""Sangria""),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72" t="str">
        <f>IFERROR(__xludf.DUMMYFUNCTION("IF(J30=""Compra de Mercadorias"",
   IF(
      COUNTIF(ARRAYFORMULA(TRIM(CLEAN(TO_TEXT(Notas!BS:BS)))), TRIM(CLEAN(TO_TEXT(B30)))) &gt; 0,
      ""Encontrada"",
      ""Não Encontrada""
   ),
"""")"),"Não Encontrada")</f>
        <v>Não Encontrada</v>
      </c>
      <c r="N30" s="185">
        <f>IFERROR(__xludf.DUMMYFUNCTION("ifna(VALUE(REGEXEXTRACT(E30,""[0-9.]+[,]+[0-9]+"")))"),98.73)</f>
        <v>98.73</v>
      </c>
      <c r="O30" s="89"/>
      <c r="P30" s="89"/>
      <c r="Q30" s="89"/>
      <c r="R30" s="90"/>
      <c r="S30" s="91"/>
      <c r="T30" s="89"/>
      <c r="U30" s="89"/>
      <c r="V30" s="89"/>
      <c r="W30" s="90"/>
    </row>
    <row r="31" ht="14.25" customHeight="1">
      <c r="A31" s="178"/>
      <c r="B31" s="12">
        <v>2197278.0</v>
      </c>
      <c r="C31" s="13">
        <v>46168.87357638889</v>
      </c>
      <c r="D31" s="179" t="s">
        <v>81</v>
      </c>
      <c r="E31" s="180" t="s">
        <v>120</v>
      </c>
      <c r="F31" s="181"/>
      <c r="G31" s="179" t="s">
        <v>114</v>
      </c>
      <c r="H31" s="186"/>
      <c r="I31" s="186"/>
      <c r="J31" s="187" t="s">
        <v>3151</v>
      </c>
      <c r="K31" s="187"/>
      <c r="L31" s="270" t="str">
        <f>IFERROR(__xludf.DUMMYFUNCTION("IF(
  AND(D31=""Saída"", J31=""Sangria""),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273" t="str">
        <f>IFERROR(__xludf.DUMMYFUNCTION("IF(J31=""Compra de Mercadorias"",
   IF(
      COUNTIF(ARRAYFORMULA(TRIM(CLEAN(TO_TEXT(Notas!BS:BS)))), TRIM(CLEAN(TO_TEXT(B31)))) &gt; 0,
      ""Encontrada"",
      ""Não Encontrada""
   ),
"""")"),"Não Encontrada")</f>
        <v>Não Encontrada</v>
      </c>
      <c r="N31" s="185">
        <f>IFERROR(__xludf.DUMMYFUNCTION("ifna(VALUE(REGEXEXTRACT(E31,""[0-9.]+[,]+[0-9]+"")))"),71.27)</f>
        <v>71.27</v>
      </c>
      <c r="O31" s="89"/>
      <c r="P31" s="89"/>
      <c r="Q31" s="89"/>
      <c r="R31" s="90"/>
      <c r="S31" s="91"/>
      <c r="T31" s="89"/>
      <c r="U31" s="89"/>
      <c r="V31" s="89"/>
      <c r="W31" s="90"/>
    </row>
    <row r="32" ht="14.25" customHeight="1">
      <c r="A32" s="178"/>
      <c r="B32" s="12">
        <v>2197280.0</v>
      </c>
      <c r="C32" s="13">
        <v>46168.87478009259</v>
      </c>
      <c r="D32" s="179" t="s">
        <v>81</v>
      </c>
      <c r="E32" s="180" t="s">
        <v>127</v>
      </c>
      <c r="F32" s="188"/>
      <c r="G32" s="179" t="s">
        <v>128</v>
      </c>
      <c r="H32" s="186"/>
      <c r="I32" s="186"/>
      <c r="J32" s="187" t="s">
        <v>2735</v>
      </c>
      <c r="K32" s="187" t="s">
        <v>6576</v>
      </c>
      <c r="L32" s="270" t="str">
        <f>IFERROR(__xludf.DUMMYFUNCTION("IF(
  AND(D32=""Saída"", J32=""Sangria""),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"),"Confirmada")</f>
        <v>Confirmada</v>
      </c>
      <c r="M32" s="272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85">
        <f>IFERROR(__xludf.DUMMYFUNCTION("ifna(VALUE(REGEXEXTRACT(E32,""[0-9.]+[,]+[0-9]+"")))"),250.0)</f>
        <v>250</v>
      </c>
      <c r="O32" s="89"/>
      <c r="P32" s="89"/>
      <c r="Q32" s="89"/>
      <c r="R32" s="90"/>
      <c r="S32" s="91"/>
      <c r="T32" s="89"/>
      <c r="U32" s="89"/>
      <c r="V32" s="89"/>
      <c r="W32" s="90"/>
    </row>
    <row r="33" ht="14.25" customHeight="1">
      <c r="A33" s="178"/>
      <c r="B33" s="12">
        <v>2198352.0</v>
      </c>
      <c r="C33" s="13">
        <v>46169.731770833336</v>
      </c>
      <c r="D33" s="179" t="s">
        <v>81</v>
      </c>
      <c r="E33" s="180" t="s">
        <v>137</v>
      </c>
      <c r="F33" s="181"/>
      <c r="G33" s="179" t="s">
        <v>139</v>
      </c>
      <c r="H33" s="186"/>
      <c r="I33" s="186"/>
      <c r="J33" s="187" t="s">
        <v>2438</v>
      </c>
      <c r="K33" s="187"/>
      <c r="L33" s="270" t="str">
        <f>IFERROR(__xludf.DUMMYFUNCTION("IF(
  AND(D33=""Saída"", J33=""Sangria""),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74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85">
        <f>IFERROR(__xludf.DUMMYFUNCTION("ifna(VALUE(REGEXEXTRACT(E33,""[0-9.]+[,]+[0-9]+"")))"),78.69)</f>
        <v>78.69</v>
      </c>
      <c r="O33" s="89"/>
      <c r="P33" s="89"/>
      <c r="Q33" s="89"/>
      <c r="R33" s="90"/>
      <c r="S33" s="91"/>
      <c r="T33" s="89"/>
      <c r="U33" s="89"/>
      <c r="V33" s="89"/>
      <c r="W33" s="90"/>
    </row>
    <row r="34" ht="14.25" customHeight="1">
      <c r="A34" s="178"/>
      <c r="B34" s="12">
        <v>2198703.0</v>
      </c>
      <c r="C34" s="13">
        <v>46169.89297453704</v>
      </c>
      <c r="D34" s="179" t="s">
        <v>81</v>
      </c>
      <c r="E34" s="180" t="s">
        <v>146</v>
      </c>
      <c r="F34" s="188"/>
      <c r="G34" s="179" t="s">
        <v>128</v>
      </c>
      <c r="H34" s="186"/>
      <c r="I34" s="186"/>
      <c r="J34" s="187" t="s">
        <v>2735</v>
      </c>
      <c r="K34" s="187" t="s">
        <v>6576</v>
      </c>
      <c r="L34" s="270" t="str">
        <f>IFERROR(__xludf.DUMMYFUNCTION("IF(
  AND(D34=""Saída"", J34=""Sangria""),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"),"Confirmada")</f>
        <v>Confirmada</v>
      </c>
      <c r="M34" s="272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85">
        <f>IFERROR(__xludf.DUMMYFUNCTION("ifna(VALUE(REGEXEXTRACT(E34,""[0-9.]+[,]+[0-9]+"")))"),400.0)</f>
        <v>400</v>
      </c>
      <c r="O34" s="109"/>
      <c r="P34" s="109"/>
      <c r="Q34" s="109"/>
      <c r="R34" s="111"/>
      <c r="S34" s="110"/>
      <c r="T34" s="109"/>
      <c r="U34" s="109"/>
      <c r="V34" s="109"/>
      <c r="W34" s="111"/>
    </row>
    <row r="35" ht="18.75" customHeight="1">
      <c r="A35" s="178"/>
      <c r="B35" s="12">
        <v>2199498.0</v>
      </c>
      <c r="C35" s="13">
        <v>46170.66849537037</v>
      </c>
      <c r="D35" s="179" t="s">
        <v>152</v>
      </c>
      <c r="E35" s="180" t="s">
        <v>155</v>
      </c>
      <c r="F35" s="181"/>
      <c r="G35" s="179" t="s">
        <v>158</v>
      </c>
      <c r="H35" s="186"/>
      <c r="I35" s="186"/>
      <c r="J35" s="187" t="s">
        <v>2669</v>
      </c>
      <c r="K35" s="187"/>
      <c r="L35" s="270" t="str">
        <f>IFERROR(__xludf.DUMMYFUNCTION("IF(
  AND(D35=""Saída"", J35=""Sangria""),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74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85">
        <f>IFERROR(__xludf.DUMMYFUNCTION("ifna(VALUE(REGEXEXTRACT(E35,""[0-9.]+[,]+[0-9]+"")))"),21.0)</f>
        <v>21</v>
      </c>
      <c r="O35" s="275"/>
      <c r="P35" s="25"/>
      <c r="Q35" s="25"/>
      <c r="R35" s="25"/>
      <c r="S35" s="110"/>
      <c r="T35" s="25"/>
      <c r="U35" s="25"/>
      <c r="V35" s="25"/>
      <c r="W35" s="25"/>
    </row>
    <row r="36" ht="14.25" customHeight="1">
      <c r="A36" s="178"/>
      <c r="B36" s="12">
        <v>2199744.0</v>
      </c>
      <c r="C36" s="13">
        <v>46170.74828703704</v>
      </c>
      <c r="D36" s="179" t="s">
        <v>81</v>
      </c>
      <c r="E36" s="180" t="s">
        <v>162</v>
      </c>
      <c r="F36" s="181"/>
      <c r="G36" s="179" t="s">
        <v>158</v>
      </c>
      <c r="H36" s="186"/>
      <c r="I36" s="186"/>
      <c r="J36" s="187" t="s">
        <v>2669</v>
      </c>
      <c r="K36" s="187"/>
      <c r="L36" s="270" t="str">
        <f>IFERROR(__xludf.DUMMYFUNCTION("IF(
  AND(D36=""Saída"", J36=""Sangria""),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72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85">
        <f>IFERROR(__xludf.DUMMYFUNCTION("ifna(VALUE(REGEXEXTRACT(E36,""[0-9.]+[,]+[0-9]+"")))"),150.0)</f>
        <v>150</v>
      </c>
      <c r="O36" s="25"/>
      <c r="P36" s="25"/>
      <c r="Q36" s="25"/>
      <c r="R36" s="25"/>
      <c r="S36" s="110"/>
      <c r="T36" s="25"/>
      <c r="U36" s="25"/>
      <c r="V36" s="25"/>
      <c r="W36" s="25"/>
    </row>
    <row r="37" ht="14.25" customHeight="1">
      <c r="A37" s="178"/>
      <c r="B37" s="12">
        <v>2199750.0</v>
      </c>
      <c r="C37" s="13">
        <v>46170.749398148146</v>
      </c>
      <c r="D37" s="179" t="s">
        <v>81</v>
      </c>
      <c r="E37" s="180" t="s">
        <v>169</v>
      </c>
      <c r="F37" s="181"/>
      <c r="G37" s="179" t="s">
        <v>172</v>
      </c>
      <c r="H37" s="186"/>
      <c r="I37" s="186"/>
      <c r="J37" s="187" t="s">
        <v>2436</v>
      </c>
      <c r="K37" s="187"/>
      <c r="L37" s="270" t="str">
        <f>IFERROR(__xludf.DUMMYFUNCTION("IF(
  AND(D37=""Saída"", J37=""Sangria""),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74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85">
        <f>IFERROR(__xludf.DUMMYFUNCTION("ifna(VALUE(REGEXEXTRACT(E37,""[0-9.]+[,]+[0-9]+"")))"),29.31)</f>
        <v>29.31</v>
      </c>
      <c r="O37" s="193" t="str">
        <f>B8</f>
        <v/>
      </c>
      <c r="P37" s="106"/>
      <c r="Q37" s="106"/>
      <c r="R37" s="106"/>
      <c r="S37" s="110"/>
      <c r="T37" s="123" t="str">
        <f>B9</f>
        <v/>
      </c>
      <c r="U37" s="106"/>
      <c r="V37" s="106"/>
      <c r="W37" s="124"/>
    </row>
    <row r="38" ht="14.25" customHeight="1">
      <c r="A38" s="178"/>
      <c r="B38" s="12">
        <v>2200073.0</v>
      </c>
      <c r="C38" s="13">
        <v>46170.889074074075</v>
      </c>
      <c r="D38" s="179" t="s">
        <v>81</v>
      </c>
      <c r="E38" s="180" t="s">
        <v>184</v>
      </c>
      <c r="F38" s="181"/>
      <c r="G38" s="179" t="s">
        <v>128</v>
      </c>
      <c r="H38" s="186"/>
      <c r="I38" s="186"/>
      <c r="J38" s="187" t="s">
        <v>2735</v>
      </c>
      <c r="K38" s="187" t="s">
        <v>6576</v>
      </c>
      <c r="L38" s="270" t="str">
        <f>IFERROR(__xludf.DUMMYFUNCTION("IF(
  AND(D38=""Saída"", J38=""Sangria""),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"),"Confirmada")</f>
        <v>Confirmada</v>
      </c>
      <c r="M38" s="272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85">
        <f>IFERROR(__xludf.DUMMYFUNCTION("ifna(VALUE(REGEXEXTRACT(E38,""[0-9.]+[,]+[0-9]+"")))"),450.0)</f>
        <v>450</v>
      </c>
      <c r="O38" s="46" t="str">
        <f>IFERROR(__xludf.DUMMYFUNCTION("query(C28:L507,""select Col1,Col3,Col8,Col9 where (Col8 = 'Adiantamento' or Col8 = 'Consumo') and Col9 = '""&amp;B8&amp;""'"",1)"),"Data")</f>
        <v>Data</v>
      </c>
      <c r="P38" s="47" t="str">
        <f>IFERROR(__xludf.DUMMYFUNCTION("""COMPUTED_VALUE"""),"Valor ")</f>
        <v>Valor </v>
      </c>
      <c r="Q38" s="47" t="str">
        <f>IFERROR(__xludf.DUMMYFUNCTION("""COMPUTED_VALUE"""),"Tipo")</f>
        <v>Tipo</v>
      </c>
      <c r="R38" s="47" t="str">
        <f>IFERROR(__xludf.DUMMYFUNCTION("""COMPUTED_VALUE"""),"Funcionário")</f>
        <v>Funcionário</v>
      </c>
      <c r="S38" s="49"/>
      <c r="T38" s="50" t="str">
        <f>IFERROR(__xludf.DUMMYFUNCTION("query(C28:L507,""select Col1,Col3,Col8,Col9 where (Col8 = 'Adiantamento' or Col8 = 'Consumo') and Col9 = '""&amp;B9&amp;""'"",1)"),"Data")</f>
        <v>Data</v>
      </c>
      <c r="U38" s="50" t="str">
        <f>IFERROR(__xludf.DUMMYFUNCTION("""COMPUTED_VALUE"""),"Valor ")</f>
        <v>Valor </v>
      </c>
      <c r="V38" s="50" t="str">
        <f>IFERROR(__xludf.DUMMYFUNCTION("""COMPUTED_VALUE"""),"Tipo")</f>
        <v>Tipo</v>
      </c>
      <c r="W38" s="51" t="str">
        <f>IFERROR(__xludf.DUMMYFUNCTION("""COMPUTED_VALUE"""),"Funcionário")</f>
        <v>Funcionário</v>
      </c>
    </row>
    <row r="39" ht="21.75" customHeight="1">
      <c r="A39" s="178"/>
      <c r="B39" s="12">
        <v>2201501.0</v>
      </c>
      <c r="C39" s="13">
        <v>46171.894641203704</v>
      </c>
      <c r="D39" s="179" t="s">
        <v>81</v>
      </c>
      <c r="E39" s="180" t="s">
        <v>188</v>
      </c>
      <c r="F39" s="181"/>
      <c r="G39" s="179" t="s">
        <v>193</v>
      </c>
      <c r="H39" s="186"/>
      <c r="I39" s="186"/>
      <c r="J39" s="187" t="s">
        <v>3151</v>
      </c>
      <c r="K39" s="187"/>
      <c r="L39" s="270" t="str">
        <f>IFERROR(__xludf.DUMMYFUNCTION("IF(
  AND(D39=""Saída"", J39=""Sangria""),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74" t="str">
        <f>IFERROR(__xludf.DUMMYFUNCTION("IF(J39=""Compra de Mercadorias"",
   IF(
      COUNTIF(ARRAYFORMULA(TRIM(CLEAN(TO_TEXT(Notas!BS:BS)))), TRIM(CLEAN(TO_TEXT(B39)))) &gt; 0,
      ""Encontrada"",
      ""Não Encontrada""
   ),
"""")"),"Não Encontrada")</f>
        <v>Não Encontrada</v>
      </c>
      <c r="N39" s="185">
        <f>IFERROR(__xludf.DUMMYFUNCTION("ifna(VALUE(REGEXEXTRACT(E39,""[0-9.]+[,]+[0-9]+"")))"),59.96)</f>
        <v>59.96</v>
      </c>
      <c r="O39" s="52"/>
      <c r="P39" s="53"/>
      <c r="Q39" s="53"/>
      <c r="R39" s="53"/>
      <c r="S39" s="55"/>
      <c r="T39" s="53"/>
      <c r="U39" s="53"/>
      <c r="V39" s="53"/>
      <c r="W39" s="54"/>
    </row>
    <row r="40" ht="14.25" customHeight="1">
      <c r="A40" s="178"/>
      <c r="B40" s="12">
        <v>2201502.0</v>
      </c>
      <c r="C40" s="13">
        <v>46171.894791666666</v>
      </c>
      <c r="D40" s="179" t="s">
        <v>81</v>
      </c>
      <c r="E40" s="180" t="s">
        <v>200</v>
      </c>
      <c r="F40" s="181"/>
      <c r="G40" s="179" t="s">
        <v>128</v>
      </c>
      <c r="H40" s="186"/>
      <c r="I40" s="186"/>
      <c r="J40" s="187" t="s">
        <v>2735</v>
      </c>
      <c r="K40" s="187" t="s">
        <v>6576</v>
      </c>
      <c r="L40" s="270" t="str">
        <f>IFERROR(__xludf.DUMMYFUNCTION("IF(
  AND(D40=""Saída"", J40=""Sangria""),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"),"Confirmada")</f>
        <v>Confirmada</v>
      </c>
      <c r="M40" s="272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85">
        <f>IFERROR(__xludf.DUMMYFUNCTION("ifna(VALUE(REGEXEXTRACT(E40,""[0-9.]+[,]+[0-9]+"")))"),300.0)</f>
        <v>300</v>
      </c>
      <c r="O40" s="52"/>
      <c r="P40" s="53"/>
      <c r="Q40" s="53"/>
      <c r="R40" s="53"/>
      <c r="S40" s="55"/>
      <c r="T40" s="53"/>
      <c r="U40" s="53"/>
      <c r="V40" s="53"/>
      <c r="W40" s="54"/>
    </row>
    <row r="41" ht="14.25" customHeight="1">
      <c r="A41" s="178"/>
      <c r="B41" s="12">
        <v>2202228.0</v>
      </c>
      <c r="C41" s="13">
        <v>46172.625543981485</v>
      </c>
      <c r="D41" s="179" t="s">
        <v>81</v>
      </c>
      <c r="E41" s="180" t="s">
        <v>209</v>
      </c>
      <c r="F41" s="181"/>
      <c r="G41" s="179" t="s">
        <v>211</v>
      </c>
      <c r="H41" s="186"/>
      <c r="I41" s="186"/>
      <c r="J41" s="187" t="s">
        <v>3151</v>
      </c>
      <c r="K41" s="187"/>
      <c r="L41" s="270" t="str">
        <f>IFERROR(__xludf.DUMMYFUNCTION("IF(
  AND(D41=""Saída"", J41=""Sangria""),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274" t="str">
        <f>IFERROR(__xludf.DUMMYFUNCTION("IF(J41=""Compra de Mercadorias"",
   IF(
      COUNTIF(ARRAYFORMULA(TRIM(CLEAN(TO_TEXT(Notas!BS:BS)))), TRIM(CLEAN(TO_TEXT(B41)))) &gt; 0,
      ""Encontrada"",
      ""Não Encontrada""
   ),
"""")"),"Não Encontrada")</f>
        <v>Não Encontrada</v>
      </c>
      <c r="N41" s="185">
        <f>IFERROR(__xludf.DUMMYFUNCTION("ifna(VALUE(REGEXEXTRACT(E41,""[0-9.]+[,]+[0-9]+"")))"),227.35)</f>
        <v>227.35</v>
      </c>
      <c r="O41" s="52"/>
      <c r="P41" s="53"/>
      <c r="Q41" s="53"/>
      <c r="R41" s="53"/>
      <c r="S41" s="55"/>
      <c r="T41" s="53"/>
      <c r="U41" s="53"/>
      <c r="V41" s="53"/>
      <c r="W41" s="54"/>
    </row>
    <row r="42" ht="14.25" customHeight="1">
      <c r="A42" s="178"/>
      <c r="B42" s="12">
        <v>2205442.0</v>
      </c>
      <c r="C42" s="13">
        <v>46173.913819444446</v>
      </c>
      <c r="D42" s="179" t="s">
        <v>81</v>
      </c>
      <c r="E42" s="180" t="s">
        <v>220</v>
      </c>
      <c r="F42" s="181"/>
      <c r="G42" s="179" t="s">
        <v>128</v>
      </c>
      <c r="H42" s="186"/>
      <c r="I42" s="186"/>
      <c r="J42" s="187" t="s">
        <v>2735</v>
      </c>
      <c r="K42" s="187" t="s">
        <v>6576</v>
      </c>
      <c r="L42" s="270" t="str">
        <f>IFERROR(__xludf.DUMMYFUNCTION("IF(
  AND(D42=""Saída"", J42=""Sangria""),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"),"Caixa Sangria")</f>
        <v>Caixa Sangria</v>
      </c>
      <c r="M42" s="276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85">
        <f>IFERROR(__xludf.DUMMYFUNCTION("ifna(VALUE(REGEXEXTRACT(E42,""[0-9.]+[,]+[0-9]+"")))"),1400.0)</f>
        <v>1400</v>
      </c>
      <c r="O42" s="52"/>
      <c r="P42" s="53"/>
      <c r="Q42" s="53"/>
      <c r="R42" s="53"/>
      <c r="S42" s="55"/>
      <c r="T42" s="53"/>
      <c r="U42" s="53"/>
      <c r="V42" s="53"/>
      <c r="W42" s="54"/>
    </row>
    <row r="43" ht="14.25" customHeight="1">
      <c r="A43" s="178"/>
      <c r="B43" s="12">
        <v>2205462.0</v>
      </c>
      <c r="C43" s="13">
        <v>46173.91517361111</v>
      </c>
      <c r="D43" s="179" t="s">
        <v>81</v>
      </c>
      <c r="E43" s="180" t="s">
        <v>226</v>
      </c>
      <c r="F43" s="181"/>
      <c r="G43" s="179" t="s">
        <v>228</v>
      </c>
      <c r="H43" s="189"/>
      <c r="I43" s="189"/>
      <c r="J43" s="187" t="s">
        <v>1782</v>
      </c>
      <c r="K43" s="187"/>
      <c r="L43" s="270" t="str">
        <f>IFERROR(__xludf.DUMMYFUNCTION("IF(
  AND(D43=""Saída"", J43=""Sangria""),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74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85">
        <f>IFERROR(__xludf.DUMMYFUNCTION("ifna(VALUE(REGEXEXTRACT(E43,""[0-9.]+[,]+[0-9]+"")))"),216.0)</f>
        <v>216</v>
      </c>
      <c r="O43" s="52"/>
      <c r="P43" s="53"/>
      <c r="Q43" s="53"/>
      <c r="R43" s="53"/>
      <c r="S43" s="55"/>
      <c r="T43" s="53"/>
      <c r="U43" s="53"/>
      <c r="V43" s="53"/>
      <c r="W43" s="54"/>
    </row>
    <row r="44" ht="14.25" customHeight="1">
      <c r="A44" s="178"/>
      <c r="B44" s="12">
        <v>2205466.0</v>
      </c>
      <c r="C44" s="13">
        <v>46173.91543981482</v>
      </c>
      <c r="D44" s="179" t="s">
        <v>81</v>
      </c>
      <c r="E44" s="180" t="s">
        <v>235</v>
      </c>
      <c r="F44" s="181"/>
      <c r="G44" s="179" t="s">
        <v>237</v>
      </c>
      <c r="H44" s="189"/>
      <c r="I44" s="189"/>
      <c r="J44" s="187" t="s">
        <v>1782</v>
      </c>
      <c r="K44" s="187"/>
      <c r="L44" s="270" t="str">
        <f>IFERROR(__xludf.DUMMYFUNCTION("IF(
  AND(D44=""Saída"", J44=""Sangria""),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72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85">
        <f>IFERROR(__xludf.DUMMYFUNCTION("ifna(VALUE(REGEXEXTRACT(E44,""[0-9.]+[,]+[0-9]+"")))"),190.0)</f>
        <v>190</v>
      </c>
      <c r="O44" s="52"/>
      <c r="P44" s="79"/>
      <c r="Q44" s="79"/>
      <c r="R44" s="79"/>
      <c r="S44" s="81"/>
      <c r="T44" s="79"/>
      <c r="U44" s="79"/>
      <c r="V44" s="79"/>
      <c r="W44" s="80"/>
    </row>
    <row r="45" ht="14.25" customHeight="1">
      <c r="A45" s="178"/>
      <c r="B45" s="12">
        <v>2205566.0</v>
      </c>
      <c r="C45" s="13">
        <v>46173.92166666667</v>
      </c>
      <c r="D45" s="179" t="s">
        <v>81</v>
      </c>
      <c r="E45" s="180" t="s">
        <v>245</v>
      </c>
      <c r="F45" s="181"/>
      <c r="G45" s="179" t="s">
        <v>193</v>
      </c>
      <c r="H45" s="190"/>
      <c r="I45" s="190"/>
      <c r="J45" s="187" t="s">
        <v>3151</v>
      </c>
      <c r="K45" s="187"/>
      <c r="L45" s="270" t="str">
        <f>IFERROR(__xludf.DUMMYFUNCTION("IF(
  AND(D45=""Saída"", J45=""Sangria""),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74" t="str">
        <f>IFERROR(__xludf.DUMMYFUNCTION("IF(J45=""Compra de Mercadorias"",
   IF(
      COUNTIF(ARRAYFORMULA(TRIM(CLEAN(TO_TEXT(Notas!BS:BS)))), TRIM(CLEAN(TO_TEXT(B45)))) &gt; 0,
      ""Encontrada"",
      ""Não Encontrada""
   ),
"""")"),"Não Encontrada")</f>
        <v>Não Encontrada</v>
      </c>
      <c r="N45" s="185">
        <f>IFERROR(__xludf.DUMMYFUNCTION("ifna(VALUE(REGEXEXTRACT(E45,""[0-9.]+[,]+[0-9]+"")))"),47.24)</f>
        <v>47.24</v>
      </c>
      <c r="O45" s="88"/>
      <c r="P45" s="89"/>
      <c r="Q45" s="89"/>
      <c r="R45" s="89"/>
      <c r="S45" s="91"/>
      <c r="T45" s="89"/>
      <c r="U45" s="89"/>
      <c r="V45" s="89"/>
      <c r="W45" s="90"/>
    </row>
    <row r="46" ht="18.75" customHeight="1">
      <c r="A46" s="178"/>
      <c r="B46" s="12">
        <v>2205573.0</v>
      </c>
      <c r="C46" s="13">
        <v>46173.92223379629</v>
      </c>
      <c r="D46" s="179" t="s">
        <v>81</v>
      </c>
      <c r="E46" s="180" t="s">
        <v>255</v>
      </c>
      <c r="F46" s="181"/>
      <c r="G46" s="179" t="s">
        <v>92</v>
      </c>
      <c r="H46" s="190"/>
      <c r="I46" s="190"/>
      <c r="J46" s="187" t="s">
        <v>3375</v>
      </c>
      <c r="K46" s="187"/>
      <c r="L46" s="270" t="str">
        <f>IFERROR(__xludf.DUMMYFUNCTION("IF(
  AND(D46=""Saída"", J46=""Sangria""),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272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85">
        <f>IFERROR(__xludf.DUMMYFUNCTION("ifna(VALUE(REGEXEXTRACT(E46,""[0-9.]+[,]+[0-9]+"")))"),44.0)</f>
        <v>44</v>
      </c>
      <c r="O46" s="88"/>
      <c r="P46" s="89"/>
      <c r="Q46" s="89"/>
      <c r="R46" s="89"/>
      <c r="S46" s="91"/>
      <c r="T46" s="89"/>
      <c r="U46" s="89"/>
      <c r="V46" s="89"/>
      <c r="W46" s="90"/>
    </row>
    <row r="47" ht="14.25" customHeight="1">
      <c r="A47" s="178"/>
      <c r="B47" s="12">
        <v>2206144.0</v>
      </c>
      <c r="C47" s="13">
        <v>46174.500543981485</v>
      </c>
      <c r="D47" s="179" t="s">
        <v>152</v>
      </c>
      <c r="E47" s="180" t="s">
        <v>263</v>
      </c>
      <c r="F47" s="181"/>
      <c r="G47" s="179" t="s">
        <v>267</v>
      </c>
      <c r="H47" s="190"/>
      <c r="I47" s="190"/>
      <c r="J47" s="187" t="s">
        <v>2669</v>
      </c>
      <c r="K47" s="187"/>
      <c r="L47" s="270" t="str">
        <f>IFERROR(__xludf.DUMMYFUNCTION("IF(
  AND(D47=""Saída"", J47=""Sangria""),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74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85">
        <f>IFERROR(__xludf.DUMMYFUNCTION("ifna(VALUE(REGEXEXTRACT(E47,""[0-9.]+[,]+[0-9]+"")))"),21.5)</f>
        <v>21.5</v>
      </c>
      <c r="O47" s="88"/>
      <c r="P47" s="89"/>
      <c r="Q47" s="89"/>
      <c r="R47" s="89"/>
      <c r="S47" s="91"/>
      <c r="T47" s="89"/>
      <c r="U47" s="89"/>
      <c r="V47" s="89"/>
      <c r="W47" s="90"/>
    </row>
    <row r="48">
      <c r="A48" s="178"/>
      <c r="B48" s="12">
        <v>2206145.0</v>
      </c>
      <c r="C48" s="13">
        <v>46174.502118055556</v>
      </c>
      <c r="D48" s="179" t="s">
        <v>152</v>
      </c>
      <c r="E48" s="180" t="s">
        <v>272</v>
      </c>
      <c r="F48" s="181"/>
      <c r="G48" s="179" t="s">
        <v>267</v>
      </c>
      <c r="H48" s="190"/>
      <c r="I48" s="190"/>
      <c r="J48" s="187" t="s">
        <v>2669</v>
      </c>
      <c r="K48" s="187"/>
      <c r="L48" s="270" t="str">
        <f>IFERROR(__xludf.DUMMYFUNCTION("IF(
  AND(D48=""Saída"", J48=""Sangria""),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72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85">
        <f>IFERROR(__xludf.DUMMYFUNCTION("ifna(VALUE(REGEXEXTRACT(E48,""[0-9.]+[,]+[0-9]+"")))"),6.85)</f>
        <v>6.85</v>
      </c>
      <c r="O48" s="88"/>
      <c r="P48" s="89"/>
      <c r="Q48" s="89"/>
      <c r="R48" s="89"/>
      <c r="S48" s="91"/>
      <c r="T48" s="89"/>
      <c r="U48" s="89"/>
      <c r="V48" s="89"/>
      <c r="W48" s="90"/>
    </row>
    <row r="49" ht="14.25" customHeight="1">
      <c r="A49" s="178"/>
      <c r="B49" s="12">
        <v>2206865.0</v>
      </c>
      <c r="C49" s="13">
        <v>46174.78159722222</v>
      </c>
      <c r="D49" s="179" t="s">
        <v>81</v>
      </c>
      <c r="E49" s="180" t="s">
        <v>279</v>
      </c>
      <c r="F49" s="188"/>
      <c r="G49" s="179" t="s">
        <v>280</v>
      </c>
      <c r="H49" s="190"/>
      <c r="I49" s="190"/>
      <c r="J49" s="187" t="s">
        <v>3151</v>
      </c>
      <c r="K49" s="187"/>
      <c r="L49" s="270" t="str">
        <f>IFERROR(__xludf.DUMMYFUNCTION("IF(
  AND(D49=""Saída"", J49=""Sangria""),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74" t="str">
        <f>IFERROR(__xludf.DUMMYFUNCTION("IF(J49=""Compra de Mercadorias"",
   IF(
      COUNTIF(ARRAYFORMULA(TRIM(CLEAN(TO_TEXT(Notas!BS:BS)))), TRIM(CLEAN(TO_TEXT(B49)))) &gt; 0,
      ""Encontrada"",
      ""Não Encontrada""
   ),
"""")"),"Não Encontrada")</f>
        <v>Não Encontrada</v>
      </c>
      <c r="N49" s="185">
        <f>IFERROR(__xludf.DUMMYFUNCTION("ifna(VALUE(REGEXEXTRACT(E49,""[0-9.]+[,]+[0-9]+"")))"),82.75)</f>
        <v>82.75</v>
      </c>
      <c r="O49" s="194"/>
      <c r="P49" s="195"/>
      <c r="Q49" s="196"/>
      <c r="R49" s="197"/>
      <c r="S49" s="91"/>
      <c r="T49" s="89"/>
      <c r="U49" s="89"/>
      <c r="V49" s="89"/>
      <c r="W49" s="90"/>
    </row>
    <row r="50" ht="14.25" customHeight="1">
      <c r="A50" s="178"/>
      <c r="B50" s="12">
        <v>2206891.0</v>
      </c>
      <c r="C50" s="13">
        <v>46174.79306712963</v>
      </c>
      <c r="D50" s="179" t="s">
        <v>81</v>
      </c>
      <c r="E50" s="180" t="s">
        <v>289</v>
      </c>
      <c r="F50" s="181"/>
      <c r="G50" s="179" t="s">
        <v>290</v>
      </c>
      <c r="H50" s="190"/>
      <c r="I50" s="190"/>
      <c r="J50" s="187" t="s">
        <v>3151</v>
      </c>
      <c r="K50" s="187"/>
      <c r="L50" s="270" t="str">
        <f>IFERROR(__xludf.DUMMYFUNCTION("IF(
  AND(D50=""Saída"", J50=""Sangria""),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72" t="str">
        <f>IFERROR(__xludf.DUMMYFUNCTION("IF(J50=""Compra de Mercadorias"",
   IF(
      COUNTIF(ARRAYFORMULA(TRIM(CLEAN(TO_TEXT(Notas!BS:BS)))), TRIM(CLEAN(TO_TEXT(B50)))) &gt; 0,
      ""Encontrada"",
      ""Não Encontrada""
   ),
"""")"),"Não Encontrada")</f>
        <v>Não Encontrada</v>
      </c>
      <c r="N50" s="185">
        <f>IFERROR(__xludf.DUMMYFUNCTION("ifna(VALUE(REGEXEXTRACT(E50,""[0-9.]+[,]+[0-9]+"")))"),32.0)</f>
        <v>32</v>
      </c>
      <c r="O50" s="88"/>
      <c r="P50" s="89"/>
      <c r="Q50" s="89"/>
      <c r="R50" s="89"/>
      <c r="S50" s="91"/>
      <c r="T50" s="89"/>
      <c r="U50" s="89"/>
      <c r="V50" s="89"/>
      <c r="W50" s="90"/>
    </row>
    <row r="51" ht="19.5" customHeight="1">
      <c r="A51" s="178"/>
      <c r="B51" s="12">
        <v>2207095.0</v>
      </c>
      <c r="C51" s="13">
        <v>46174.88302083333</v>
      </c>
      <c r="D51" s="179" t="s">
        <v>81</v>
      </c>
      <c r="E51" s="180" t="s">
        <v>296</v>
      </c>
      <c r="F51" s="181"/>
      <c r="G51" s="179" t="s">
        <v>128</v>
      </c>
      <c r="H51" s="190"/>
      <c r="I51" s="190"/>
      <c r="J51" s="187" t="s">
        <v>2735</v>
      </c>
      <c r="K51" s="187" t="s">
        <v>6576</v>
      </c>
      <c r="L51" s="270" t="str">
        <f>IFERROR(__xludf.DUMMYFUNCTION("IF(
  AND(D51=""Saída"", J51=""Sangria""),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"),"Confirmada")</f>
        <v>Confirmada</v>
      </c>
      <c r="M51" s="276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85">
        <f>IFERROR(__xludf.DUMMYFUNCTION("ifna(VALUE(REGEXEXTRACT(E51,""[0-9.]+[,]+[0-9]+"")))"),650.0)</f>
        <v>650</v>
      </c>
      <c r="O51" s="88"/>
      <c r="P51" s="89"/>
      <c r="Q51" s="89"/>
      <c r="R51" s="89"/>
      <c r="S51" s="91"/>
      <c r="T51" s="89"/>
      <c r="U51" s="89"/>
      <c r="V51" s="89"/>
      <c r="W51" s="90"/>
    </row>
    <row r="52" ht="14.25" customHeight="1">
      <c r="A52" s="178"/>
      <c r="B52" s="12">
        <v>2208489.0</v>
      </c>
      <c r="C52" s="13">
        <v>46175.88804398148</v>
      </c>
      <c r="D52" s="179" t="s">
        <v>81</v>
      </c>
      <c r="E52" s="180" t="s">
        <v>200</v>
      </c>
      <c r="F52" s="188"/>
      <c r="G52" s="179" t="s">
        <v>128</v>
      </c>
      <c r="H52" s="190"/>
      <c r="I52" s="190"/>
      <c r="J52" s="187" t="s">
        <v>2735</v>
      </c>
      <c r="K52" s="187" t="s">
        <v>6576</v>
      </c>
      <c r="L52" s="270" t="str">
        <f>IFERROR(__xludf.DUMMYFUNCTION("IF(
  AND(D52=""Saída"", J52=""Sangria""),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"),"Confirmada")</f>
        <v>Confirmada</v>
      </c>
      <c r="M52" s="273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85">
        <f>IFERROR(__xludf.DUMMYFUNCTION("ifna(VALUE(REGEXEXTRACT(E52,""[0-9.]+[,]+[0-9]+"")))"),300.0)</f>
        <v>300</v>
      </c>
      <c r="O52" s="108"/>
      <c r="P52" s="109"/>
      <c r="Q52" s="109"/>
      <c r="R52" s="109"/>
      <c r="S52" s="110"/>
      <c r="T52" s="109"/>
      <c r="U52" s="109"/>
      <c r="V52" s="109"/>
      <c r="W52" s="111"/>
    </row>
    <row r="53" ht="14.25" customHeight="1">
      <c r="A53" s="178"/>
      <c r="B53" s="12">
        <v>2209194.0</v>
      </c>
      <c r="C53" s="13">
        <v>46176.627384259256</v>
      </c>
      <c r="D53" s="179" t="s">
        <v>81</v>
      </c>
      <c r="E53" s="180" t="s">
        <v>304</v>
      </c>
      <c r="F53" s="181"/>
      <c r="G53" s="179" t="s">
        <v>305</v>
      </c>
      <c r="H53" s="190"/>
      <c r="I53" s="190"/>
      <c r="J53" s="187" t="s">
        <v>3151</v>
      </c>
      <c r="K53" s="187"/>
      <c r="L53" s="270" t="str">
        <f>IFERROR(__xludf.DUMMYFUNCTION("IF(
  AND(D53=""Saída"", J53=""Sangria""),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74" t="str">
        <f>IFERROR(__xludf.DUMMYFUNCTION("IF(J53=""Compra de Mercadorias"",
   IF(
      COUNTIF(ARRAYFORMULA(TRIM(CLEAN(TO_TEXT(Notas!BS:BS)))), TRIM(CLEAN(TO_TEXT(B53)))) &gt; 0,
      ""Encontrada"",
      ""Não Encontrada""
   ),
"""")"),"Não Encontrada")</f>
        <v>Não Encontrada</v>
      </c>
      <c r="N53" s="185">
        <f>IFERROR(__xludf.DUMMYFUNCTION("ifna(VALUE(REGEXEXTRACT(E53,""[0-9.]+[,]+[0-9]+"")))"),86.87)</f>
        <v>86.87</v>
      </c>
      <c r="S53" s="25"/>
    </row>
    <row r="54" ht="14.25" customHeight="1">
      <c r="A54" s="178"/>
      <c r="B54" s="12">
        <v>2209724.0</v>
      </c>
      <c r="C54" s="13">
        <v>46176.80887731481</v>
      </c>
      <c r="D54" s="179" t="s">
        <v>81</v>
      </c>
      <c r="E54" s="180" t="s">
        <v>311</v>
      </c>
      <c r="F54" s="181"/>
      <c r="G54" s="179" t="s">
        <v>313</v>
      </c>
      <c r="H54" s="190"/>
      <c r="I54" s="190"/>
      <c r="J54" s="187" t="s">
        <v>3151</v>
      </c>
      <c r="K54" s="187"/>
      <c r="L54" s="270" t="str">
        <f>IFERROR(__xludf.DUMMYFUNCTION("IF(
  AND(D54=""Saída"", J54=""Sangria""),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72" t="str">
        <f>IFERROR(__xludf.DUMMYFUNCTION("IF(J54=""Compra de Mercadorias"",
   IF(
      COUNTIF(ARRAYFORMULA(TRIM(CLEAN(TO_TEXT(Notas!BS:BS)))), TRIM(CLEAN(TO_TEXT(B54)))) &gt; 0,
      ""Encontrada"",
      ""Não Encontrada""
   ),
"""")"),"Não Encontrada")</f>
        <v>Não Encontrada</v>
      </c>
      <c r="N54" s="185">
        <f>IFERROR(__xludf.DUMMYFUNCTION("ifna(VALUE(REGEXEXTRACT(E54,""[0-9.]+[,]+[0-9]+"")))"),524.76)</f>
        <v>524.76</v>
      </c>
      <c r="S54" s="25"/>
    </row>
    <row r="55" ht="14.25" customHeight="1">
      <c r="A55" s="178"/>
      <c r="B55" s="12">
        <v>2209729.0</v>
      </c>
      <c r="C55" s="13">
        <v>46176.80917824074</v>
      </c>
      <c r="D55" s="179" t="s">
        <v>81</v>
      </c>
      <c r="E55" s="180" t="s">
        <v>318</v>
      </c>
      <c r="F55" s="181"/>
      <c r="G55" s="179" t="s">
        <v>320</v>
      </c>
      <c r="H55" s="190"/>
      <c r="I55" s="190"/>
      <c r="J55" s="187" t="s">
        <v>3151</v>
      </c>
      <c r="K55" s="187"/>
      <c r="L55" s="270" t="str">
        <f>IFERROR(__xludf.DUMMYFUNCTION("IF(
  AND(D55=""Saída"", J55=""Sangria""),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73" t="str">
        <f>IFERROR(__xludf.DUMMYFUNCTION("IF(J55=""Compra de Mercadorias"",
   IF(
      COUNTIF(ARRAYFORMULA(TRIM(CLEAN(TO_TEXT(Notas!BS:BS)))), TRIM(CLEAN(TO_TEXT(B55)))) &gt; 0,
      ""Encontrada"",
      ""Não Encontrada""
   ),
"""")"),"Não Encontrada")</f>
        <v>Não Encontrada</v>
      </c>
      <c r="N55" s="185">
        <f>IFERROR(__xludf.DUMMYFUNCTION("ifna(VALUE(REGEXEXTRACT(E55,""[0-9.]+[,]+[0-9]+"")))"),12.97)</f>
        <v>12.97</v>
      </c>
      <c r="S55" s="25"/>
    </row>
    <row r="56" ht="14.25" customHeight="1">
      <c r="A56" s="178"/>
      <c r="B56" s="12">
        <v>2209876.0</v>
      </c>
      <c r="C56" s="13">
        <v>46176.871724537035</v>
      </c>
      <c r="D56" s="179" t="s">
        <v>81</v>
      </c>
      <c r="E56" s="180" t="s">
        <v>325</v>
      </c>
      <c r="F56" s="181"/>
      <c r="G56" s="179" t="s">
        <v>326</v>
      </c>
      <c r="H56" s="190"/>
      <c r="I56" s="190"/>
      <c r="J56" s="187" t="s">
        <v>3151</v>
      </c>
      <c r="K56" s="187"/>
      <c r="L56" s="270" t="str">
        <f>IFERROR(__xludf.DUMMYFUNCTION("IF(
  AND(D56=""Saída"", J56=""Sangria""),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72" t="str">
        <f>IFERROR(__xludf.DUMMYFUNCTION("IF(J56=""Compra de Mercadorias"",
   IF(
      COUNTIF(ARRAYFORMULA(TRIM(CLEAN(TO_TEXT(Notas!BS:BS)))), TRIM(CLEAN(TO_TEXT(B56)))) &gt; 0,
      ""Encontrada"",
      ""Não Encontrada""
   ),
"""")"),"Não Encontrada")</f>
        <v>Não Encontrada</v>
      </c>
      <c r="N56" s="185">
        <f>IFERROR(__xludf.DUMMYFUNCTION("ifna(VALUE(REGEXEXTRACT(E56,""[0-9.]+[,]+[0-9]+"")))"),22.0)</f>
        <v>22</v>
      </c>
      <c r="S56" s="25"/>
    </row>
    <row r="57" ht="17.25" customHeight="1">
      <c r="A57" s="178"/>
      <c r="B57" s="12">
        <v>2209957.0</v>
      </c>
      <c r="C57" s="13">
        <v>46176.89487268519</v>
      </c>
      <c r="D57" s="179" t="s">
        <v>81</v>
      </c>
      <c r="E57" s="180" t="s">
        <v>155</v>
      </c>
      <c r="F57" s="181"/>
      <c r="G57" s="179" t="s">
        <v>331</v>
      </c>
      <c r="H57" s="190"/>
      <c r="I57" s="190"/>
      <c r="J57" s="187" t="s">
        <v>3375</v>
      </c>
      <c r="K57" s="187"/>
      <c r="L57" s="270" t="str">
        <f>IFERROR(__xludf.DUMMYFUNCTION("IF(
  AND(D57=""Saída"", J57=""Sangria""),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74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85">
        <f>IFERROR(__xludf.DUMMYFUNCTION("ifna(VALUE(REGEXEXTRACT(E57,""[0-9.]+[,]+[0-9]+"")))"),21.0)</f>
        <v>21</v>
      </c>
      <c r="O57" s="25"/>
      <c r="P57" s="25"/>
      <c r="Q57" s="25"/>
      <c r="R57" s="25"/>
      <c r="S57" s="25"/>
      <c r="T57" s="25"/>
      <c r="U57" s="122"/>
      <c r="V57" s="122"/>
      <c r="W57" s="277"/>
    </row>
    <row r="58" ht="14.25" customHeight="1">
      <c r="A58" s="178"/>
      <c r="B58" s="12">
        <v>2209958.0</v>
      </c>
      <c r="C58" s="13">
        <v>46176.89496527778</v>
      </c>
      <c r="D58" s="179" t="s">
        <v>81</v>
      </c>
      <c r="E58" s="180" t="s">
        <v>335</v>
      </c>
      <c r="F58" s="181"/>
      <c r="G58" s="179" t="s">
        <v>336</v>
      </c>
      <c r="H58" s="190"/>
      <c r="I58" s="190"/>
      <c r="J58" s="187" t="s">
        <v>3151</v>
      </c>
      <c r="K58" s="187"/>
      <c r="L58" s="270" t="str">
        <f>IFERROR(__xludf.DUMMYFUNCTION("IF(
  AND(D58=""Saída"", J58=""Sangria""),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72" t="str">
        <f>IFERROR(__xludf.DUMMYFUNCTION("IF(J58=""Compra de Mercadorias"",
   IF(
      COUNTIF(ARRAYFORMULA(TRIM(CLEAN(TO_TEXT(Notas!BS:BS)))), TRIM(CLEAN(TO_TEXT(B58)))) &gt; 0,
      ""Encontrada"",
      ""Não Encontrada""
   ),
"""")"),"Não Encontrada")</f>
        <v>Não Encontrada</v>
      </c>
      <c r="N58" s="185">
        <f>IFERROR(__xludf.DUMMYFUNCTION("ifna(VALUE(REGEXEXTRACT(E58,""[0-9.]+[,]+[0-9]+"")))"),10.0)</f>
        <v>10</v>
      </c>
      <c r="O58" s="25"/>
      <c r="P58" s="25"/>
      <c r="Q58" s="25"/>
      <c r="R58" s="25"/>
      <c r="S58" s="25"/>
      <c r="T58" s="25"/>
      <c r="U58" s="278"/>
      <c r="V58" s="278"/>
      <c r="W58" s="279"/>
    </row>
    <row r="59" ht="14.25" customHeight="1">
      <c r="A59" s="178"/>
      <c r="B59" s="12">
        <v>2211621.0</v>
      </c>
      <c r="C59" s="13">
        <v>46177.89743055555</v>
      </c>
      <c r="D59" s="179" t="s">
        <v>81</v>
      </c>
      <c r="E59" s="180" t="s">
        <v>343</v>
      </c>
      <c r="F59" s="181"/>
      <c r="G59" s="179" t="s">
        <v>346</v>
      </c>
      <c r="H59" s="190"/>
      <c r="I59" s="190"/>
      <c r="J59" s="187" t="s">
        <v>2735</v>
      </c>
      <c r="K59" s="187" t="s">
        <v>2018</v>
      </c>
      <c r="L59" s="270" t="str">
        <f>IFERROR(__xludf.DUMMYFUNCTION("IF(
  AND(D59=""Saída"", J59=""Sangria""),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"),"Confirmada")</f>
        <v>Confirmada</v>
      </c>
      <c r="M59" s="273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85">
        <f>IFERROR(__xludf.DUMMYFUNCTION("ifna(VALUE(REGEXEXTRACT(E59,""[0-9.]+[,]+[0-9]+"")))"),550.0)</f>
        <v>550</v>
      </c>
      <c r="O59" s="209" t="s">
        <v>3799</v>
      </c>
      <c r="P59" s="210"/>
      <c r="Q59" s="210"/>
      <c r="R59" s="210"/>
      <c r="S59" s="210"/>
      <c r="T59" s="59"/>
      <c r="U59" s="280"/>
      <c r="V59" s="280"/>
      <c r="W59" s="281"/>
    </row>
    <row r="60" ht="14.25" customHeight="1">
      <c r="A60" s="178"/>
      <c r="B60" s="12">
        <v>2212346.0</v>
      </c>
      <c r="C60" s="13">
        <v>46178.528969907406</v>
      </c>
      <c r="D60" s="179" t="s">
        <v>81</v>
      </c>
      <c r="E60" s="180" t="s">
        <v>350</v>
      </c>
      <c r="F60" s="181"/>
      <c r="G60" s="179" t="s">
        <v>352</v>
      </c>
      <c r="H60" s="190"/>
      <c r="I60" s="190"/>
      <c r="J60" s="187" t="s">
        <v>3375</v>
      </c>
      <c r="K60" s="187"/>
      <c r="L60" s="270" t="str">
        <f>IFERROR(__xludf.DUMMYFUNCTION("IF(
  AND(D60=""Saída"", J60=""Sangria""),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73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85">
        <f>IFERROR(__xludf.DUMMYFUNCTION("ifna(VALUE(REGEXEXTRACT(E60,""[0-9.]+[,]+[0-9]+"")))"),12.0)</f>
        <v>12</v>
      </c>
      <c r="O60" s="211"/>
      <c r="T60" s="212"/>
      <c r="U60" s="280"/>
      <c r="V60" s="280"/>
      <c r="W60" s="281"/>
    </row>
    <row r="61" ht="14.25" customHeight="1">
      <c r="A61" s="178"/>
      <c r="B61" s="12">
        <v>2213110.0</v>
      </c>
      <c r="C61" s="13">
        <v>46178.749386574076</v>
      </c>
      <c r="D61" s="179" t="s">
        <v>81</v>
      </c>
      <c r="E61" s="180" t="s">
        <v>357</v>
      </c>
      <c r="F61" s="181"/>
      <c r="G61" s="179" t="s">
        <v>358</v>
      </c>
      <c r="H61" s="190"/>
      <c r="I61" s="190"/>
      <c r="J61" s="187" t="s">
        <v>2438</v>
      </c>
      <c r="K61" s="187"/>
      <c r="L61" s="270" t="str">
        <f>IFERROR(__xludf.DUMMYFUNCTION("IF(
  AND(D61=""Saída"", J61=""Sangria""),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74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85">
        <f>IFERROR(__xludf.DUMMYFUNCTION("ifna(VALUE(REGEXEXTRACT(E61,""[0-9.]+[,]+[0-9]+"")))"),135.24)</f>
        <v>135.24</v>
      </c>
      <c r="O61" s="213" t="s">
        <v>1</v>
      </c>
      <c r="P61" s="214" t="s">
        <v>2</v>
      </c>
      <c r="Q61" s="214" t="s">
        <v>3830</v>
      </c>
      <c r="R61" s="214" t="s">
        <v>46</v>
      </c>
      <c r="S61" s="215" t="s">
        <v>33</v>
      </c>
      <c r="T61" s="212"/>
      <c r="U61" s="280"/>
      <c r="V61" s="280"/>
      <c r="W61" s="281"/>
    </row>
    <row r="62" ht="14.25" customHeight="1">
      <c r="A62" s="178"/>
      <c r="B62" s="12">
        <v>2213114.0</v>
      </c>
      <c r="C62" s="13">
        <v>46178.75090277778</v>
      </c>
      <c r="D62" s="179" t="s">
        <v>81</v>
      </c>
      <c r="E62" s="180" t="s">
        <v>361</v>
      </c>
      <c r="F62" s="181"/>
      <c r="G62" s="179" t="s">
        <v>362</v>
      </c>
      <c r="H62" s="190"/>
      <c r="I62" s="190"/>
      <c r="J62" s="187" t="s">
        <v>2019</v>
      </c>
      <c r="K62" s="187" t="s">
        <v>2078</v>
      </c>
      <c r="L62" s="270" t="str">
        <f>IFERROR(__xludf.DUMMYFUNCTION("IF(
  AND(D62=""Saída"", J62=""Sangria""),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72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85">
        <f>IFERROR(__xludf.DUMMYFUNCTION("ifna(VALUE(REGEXEXTRACT(E62,""[0-9.]+[,]+[0-9]+"")))"),51.6)</f>
        <v>51.6</v>
      </c>
      <c r="O62" s="216"/>
      <c r="P62" s="195">
        <v>46154.0</v>
      </c>
      <c r="Q62" s="196" t="s">
        <v>6077</v>
      </c>
      <c r="R62" s="196">
        <v>200.0</v>
      </c>
      <c r="S62" s="217"/>
      <c r="T62" s="218" t="str">
        <f t="shared" ref="T62:T82" si="1">IFERROR(VLOOKUP(Q62, $A$4:$B$11, 2, FALSE), "")</f>
        <v/>
      </c>
      <c r="U62" s="280"/>
      <c r="V62" s="280"/>
      <c r="W62" s="281"/>
    </row>
    <row r="63" ht="14.25" customHeight="1">
      <c r="A63" s="178"/>
      <c r="B63" s="12">
        <v>2213173.0</v>
      </c>
      <c r="C63" s="13">
        <v>46178.76511574074</v>
      </c>
      <c r="D63" s="179" t="s">
        <v>152</v>
      </c>
      <c r="E63" s="180" t="s">
        <v>335</v>
      </c>
      <c r="F63" s="181"/>
      <c r="G63" s="179" t="s">
        <v>267</v>
      </c>
      <c r="H63" s="190"/>
      <c r="I63" s="190"/>
      <c r="J63" s="187" t="s">
        <v>2669</v>
      </c>
      <c r="K63" s="187"/>
      <c r="L63" s="270" t="str">
        <f>IFERROR(__xludf.DUMMYFUNCTION("IF(
  AND(D63=""Saída"", J63=""Sangria""),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74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85">
        <f>IFERROR(__xludf.DUMMYFUNCTION("ifna(VALUE(REGEXEXTRACT(E63,""[0-9.]+[,]+[0-9]+"")))"),10.0)</f>
        <v>10</v>
      </c>
      <c r="O63" s="216"/>
      <c r="P63" s="195"/>
      <c r="Q63" s="196"/>
      <c r="R63" s="197"/>
      <c r="S63" s="219"/>
      <c r="T63" s="218" t="str">
        <f t="shared" si="1"/>
        <v/>
      </c>
      <c r="U63" s="280"/>
      <c r="V63" s="280"/>
      <c r="W63" s="281"/>
    </row>
    <row r="64" ht="14.25" customHeight="1">
      <c r="A64" s="178"/>
      <c r="B64" s="12">
        <v>2213634.0</v>
      </c>
      <c r="C64" s="13">
        <v>46178.9012037037</v>
      </c>
      <c r="D64" s="179" t="s">
        <v>81</v>
      </c>
      <c r="E64" s="180" t="s">
        <v>378</v>
      </c>
      <c r="F64" s="181"/>
      <c r="G64" s="179" t="s">
        <v>381</v>
      </c>
      <c r="H64" s="190"/>
      <c r="I64" s="190"/>
      <c r="J64" s="187" t="s">
        <v>2735</v>
      </c>
      <c r="K64" s="187" t="s">
        <v>6576</v>
      </c>
      <c r="L64" s="270" t="str">
        <f>IFERROR(__xludf.DUMMYFUNCTION("IF(
  AND(D64=""Saída"", J64=""Sangria""),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"),"Confirmada")</f>
        <v>Confirmada</v>
      </c>
      <c r="M64" s="272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85">
        <f>IFERROR(__xludf.DUMMYFUNCTION("ifna(VALUE(REGEXEXTRACT(E64,""[0-9.]+[,]+[0-9]+"")))"),1350.0)</f>
        <v>1350</v>
      </c>
      <c r="O64" s="216"/>
      <c r="P64" s="195"/>
      <c r="Q64" s="196"/>
      <c r="R64" s="197"/>
      <c r="S64" s="220"/>
      <c r="T64" s="218" t="str">
        <f t="shared" si="1"/>
        <v/>
      </c>
      <c r="U64" s="282"/>
      <c r="V64" s="282"/>
      <c r="W64" s="283"/>
    </row>
    <row r="65" ht="14.25" customHeight="1">
      <c r="A65" s="178"/>
      <c r="B65" s="12">
        <v>2214519.0</v>
      </c>
      <c r="C65" s="13">
        <v>46179.64011574074</v>
      </c>
      <c r="D65" s="179" t="s">
        <v>152</v>
      </c>
      <c r="E65" s="180" t="s">
        <v>386</v>
      </c>
      <c r="F65" s="181"/>
      <c r="G65" s="179" t="s">
        <v>388</v>
      </c>
      <c r="H65" s="190"/>
      <c r="I65" s="190"/>
      <c r="J65" s="187" t="s">
        <v>2669</v>
      </c>
      <c r="K65" s="187"/>
      <c r="L65" s="270" t="str">
        <f>IFERROR(__xludf.DUMMYFUNCTION("IF(
  AND(D65=""Saída"", J65=""Sangria""),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74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85">
        <f>IFERROR(__xludf.DUMMYFUNCTION("ifna(VALUE(REGEXEXTRACT(E65,""[0-9.]+[,]+[0-9]+"")))"),84.0)</f>
        <v>84</v>
      </c>
      <c r="O65" s="216"/>
      <c r="P65" s="195"/>
      <c r="Q65" s="196"/>
      <c r="R65" s="197"/>
      <c r="S65" s="221"/>
      <c r="T65" s="218" t="str">
        <f t="shared" si="1"/>
        <v/>
      </c>
      <c r="U65" s="284"/>
      <c r="V65" s="284"/>
      <c r="W65" s="285"/>
    </row>
    <row r="66" ht="14.25" customHeight="1">
      <c r="A66" s="178"/>
      <c r="B66" s="12">
        <v>2214526.0</v>
      </c>
      <c r="C66" s="13">
        <v>46179.641921296294</v>
      </c>
      <c r="D66" s="179" t="s">
        <v>152</v>
      </c>
      <c r="E66" s="180" t="s">
        <v>393</v>
      </c>
      <c r="F66" s="181"/>
      <c r="G66" s="179" t="s">
        <v>397</v>
      </c>
      <c r="H66" s="190"/>
      <c r="I66" s="190"/>
      <c r="J66" s="187"/>
      <c r="K66" s="187"/>
      <c r="L66" s="270" t="str">
        <f>IFERROR(__xludf.DUMMYFUNCTION("IF(
  AND(D66=""Saída"", J66=""Sangria""),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72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85">
        <f>IFERROR(__xludf.DUMMYFUNCTION("ifna(VALUE(REGEXEXTRACT(E66,""[0-9.]+[,]+[0-9]+"")))"),0.11)</f>
        <v>0.11</v>
      </c>
      <c r="O66" s="216"/>
      <c r="P66" s="195"/>
      <c r="Q66" s="196"/>
      <c r="R66" s="197"/>
      <c r="S66" s="220"/>
      <c r="T66" s="218" t="str">
        <f t="shared" si="1"/>
        <v/>
      </c>
      <c r="U66" s="284"/>
      <c r="V66" s="284"/>
      <c r="W66" s="285"/>
    </row>
    <row r="67" ht="14.25" customHeight="1">
      <c r="A67" s="178"/>
      <c r="B67" s="12">
        <v>2215224.0</v>
      </c>
      <c r="C67" s="13">
        <v>46179.83155092593</v>
      </c>
      <c r="D67" s="179" t="s">
        <v>81</v>
      </c>
      <c r="E67" s="180" t="s">
        <v>402</v>
      </c>
      <c r="F67" s="181"/>
      <c r="G67" s="179" t="s">
        <v>331</v>
      </c>
      <c r="H67" s="190"/>
      <c r="I67" s="190"/>
      <c r="J67" s="187" t="s">
        <v>3375</v>
      </c>
      <c r="K67" s="187"/>
      <c r="L67" s="270" t="str">
        <f>IFERROR(__xludf.DUMMYFUNCTION("IF(
  AND(D67=""Saída"", J67=""Sangria""),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73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85">
        <f>IFERROR(__xludf.DUMMYFUNCTION("ifna(VALUE(REGEXEXTRACT(E67,""[0-9.]+[,]+[0-9]+"")))"),20.0)</f>
        <v>20</v>
      </c>
      <c r="O67" s="222"/>
      <c r="P67" s="223"/>
      <c r="Q67" s="224"/>
      <c r="R67" s="225"/>
      <c r="S67" s="221"/>
      <c r="T67" s="218" t="str">
        <f t="shared" si="1"/>
        <v/>
      </c>
      <c r="U67" s="284"/>
      <c r="V67" s="284"/>
      <c r="W67" s="285"/>
    </row>
    <row r="68">
      <c r="A68" s="178"/>
      <c r="B68" s="12">
        <v>2215290.0</v>
      </c>
      <c r="C68" s="13">
        <v>46179.858090277776</v>
      </c>
      <c r="D68" s="179" t="s">
        <v>81</v>
      </c>
      <c r="E68" s="180" t="s">
        <v>406</v>
      </c>
      <c r="F68" s="181"/>
      <c r="G68" s="179" t="s">
        <v>114</v>
      </c>
      <c r="H68" s="190"/>
      <c r="I68" s="190"/>
      <c r="J68" s="187" t="s">
        <v>3151</v>
      </c>
      <c r="K68" s="187"/>
      <c r="L68" s="270" t="str">
        <f>IFERROR(__xludf.DUMMYFUNCTION("IF(
  AND(D68=""Saída"", J68=""Sangria""),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72" t="str">
        <f>IFERROR(__xludf.DUMMYFUNCTION("IF(J68=""Compra de Mercadorias"",
   IF(
      COUNTIF(ARRAYFORMULA(TRIM(CLEAN(TO_TEXT(Notas!BS:BS)))), TRIM(CLEAN(TO_TEXT(B68)))) &gt; 0,
      ""Encontrada"",
      ""Não Encontrada""
   ),
"""")"),"Não Encontrada")</f>
        <v>Não Encontrada</v>
      </c>
      <c r="N68" s="185">
        <f>IFERROR(__xludf.DUMMYFUNCTION("ifna(VALUE(REGEXEXTRACT(E68,""[0-9.]+[,]+[0-9]+"")))"),125.06)</f>
        <v>125.06</v>
      </c>
      <c r="O68" s="226"/>
      <c r="P68" s="227"/>
      <c r="Q68" s="220"/>
      <c r="R68" s="228" t="str">
        <f t="shared" ref="R68:R104" si="2">IFERROR(VLOOKUP(Q68, $B$4:$C$18, 2, FALSE), "")</f>
        <v/>
      </c>
      <c r="S68" s="220" t="str">
        <f t="shared" ref="S68:S104" si="3">IFERROR(VLOOKUP(Q68, $A$4:$B$18, 2, FALSE), "")</f>
        <v/>
      </c>
      <c r="T68" s="218" t="str">
        <f t="shared" si="1"/>
        <v/>
      </c>
      <c r="U68" s="284"/>
      <c r="V68" s="284"/>
      <c r="W68" s="285"/>
    </row>
    <row r="69" ht="14.25" customHeight="1">
      <c r="A69" s="178"/>
      <c r="B69" s="12">
        <v>2216284.0</v>
      </c>
      <c r="C69" s="13">
        <v>46180.57163194445</v>
      </c>
      <c r="D69" s="179" t="s">
        <v>81</v>
      </c>
      <c r="E69" s="180" t="s">
        <v>411</v>
      </c>
      <c r="F69" s="188"/>
      <c r="G69" s="179" t="s">
        <v>413</v>
      </c>
      <c r="H69" s="190"/>
      <c r="I69" s="190"/>
      <c r="J69" s="187" t="s">
        <v>2735</v>
      </c>
      <c r="K69" s="187" t="s">
        <v>2018</v>
      </c>
      <c r="L69" s="270" t="str">
        <f>IFERROR(__xludf.DUMMYFUNCTION("IF(
  AND(D69=""Saída"", J69=""Sangria""),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"),"Caixa Sangria")</f>
        <v>Caixa Sangria</v>
      </c>
      <c r="M69" s="274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85">
        <f>IFERROR(__xludf.DUMMYFUNCTION("ifna(VALUE(REGEXEXTRACT(E69,""[0-9.]+[,]+[0-9]+"")))"),1450.0)</f>
        <v>1450</v>
      </c>
      <c r="O69" s="229"/>
      <c r="P69" s="230"/>
      <c r="Q69" s="221"/>
      <c r="R69" s="231" t="str">
        <f t="shared" si="2"/>
        <v/>
      </c>
      <c r="S69" s="221" t="str">
        <f t="shared" si="3"/>
        <v/>
      </c>
      <c r="T69" s="218" t="str">
        <f t="shared" si="1"/>
        <v/>
      </c>
      <c r="U69" s="284"/>
      <c r="V69" s="284"/>
      <c r="W69" s="285"/>
    </row>
    <row r="70" ht="14.25" customHeight="1">
      <c r="A70" s="178"/>
      <c r="B70" s="12">
        <v>2217253.0</v>
      </c>
      <c r="C70" s="13">
        <v>46180.841898148145</v>
      </c>
      <c r="D70" s="179" t="s">
        <v>81</v>
      </c>
      <c r="E70" s="180" t="s">
        <v>416</v>
      </c>
      <c r="F70" s="181"/>
      <c r="G70" s="179" t="s">
        <v>418</v>
      </c>
      <c r="H70" s="190"/>
      <c r="I70" s="190"/>
      <c r="J70" s="187" t="s">
        <v>1782</v>
      </c>
      <c r="K70" s="187"/>
      <c r="L70" s="270" t="str">
        <f>IFERROR(__xludf.DUMMYFUNCTION("IF(
  AND(D70=""Saída"", J70=""Sangria""),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72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85">
        <f>IFERROR(__xludf.DUMMYFUNCTION("ifna(VALUE(REGEXEXTRACT(E70,""[0-9.]+[,]+[0-9]+"")))"),100.0)</f>
        <v>100</v>
      </c>
      <c r="O70" s="226"/>
      <c r="P70" s="227"/>
      <c r="Q70" s="220"/>
      <c r="R70" s="228" t="str">
        <f t="shared" si="2"/>
        <v/>
      </c>
      <c r="S70" s="220" t="str">
        <f t="shared" si="3"/>
        <v/>
      </c>
      <c r="T70" s="218" t="str">
        <f t="shared" si="1"/>
        <v/>
      </c>
      <c r="U70" s="284"/>
      <c r="V70" s="284"/>
      <c r="W70" s="285"/>
    </row>
    <row r="71" ht="14.25" customHeight="1">
      <c r="A71" s="178"/>
      <c r="B71" s="12">
        <v>2217324.0</v>
      </c>
      <c r="C71" s="13">
        <v>46180.855474537035</v>
      </c>
      <c r="D71" s="179" t="s">
        <v>81</v>
      </c>
      <c r="E71" s="180" t="s">
        <v>424</v>
      </c>
      <c r="F71" s="181"/>
      <c r="G71" s="179" t="s">
        <v>427</v>
      </c>
      <c r="H71" s="190"/>
      <c r="I71" s="190"/>
      <c r="J71" s="187" t="s">
        <v>1782</v>
      </c>
      <c r="K71" s="187"/>
      <c r="L71" s="270" t="str">
        <f>IFERROR(__xludf.DUMMYFUNCTION("IF(
  AND(D71=""Saída"", J71=""Sangria""),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74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85">
        <f>IFERROR(__xludf.DUMMYFUNCTION("ifna(VALUE(REGEXEXTRACT(E71,""[0-9.]+[,]+[0-9]+"")))"),302.0)</f>
        <v>302</v>
      </c>
      <c r="O71" s="229"/>
      <c r="P71" s="230"/>
      <c r="Q71" s="221"/>
      <c r="R71" s="231" t="str">
        <f t="shared" si="2"/>
        <v/>
      </c>
      <c r="S71" s="221" t="str">
        <f t="shared" si="3"/>
        <v/>
      </c>
      <c r="T71" s="218" t="str">
        <f t="shared" si="1"/>
        <v/>
      </c>
      <c r="U71" s="284"/>
      <c r="V71" s="284"/>
      <c r="W71" s="285"/>
    </row>
    <row r="72" ht="14.25" customHeight="1">
      <c r="A72" s="178"/>
      <c r="B72" s="12">
        <v>2217330.0</v>
      </c>
      <c r="C72" s="13">
        <v>46180.85591435185</v>
      </c>
      <c r="D72" s="179" t="s">
        <v>81</v>
      </c>
      <c r="E72" s="180" t="s">
        <v>430</v>
      </c>
      <c r="F72" s="181"/>
      <c r="G72" s="179" t="s">
        <v>433</v>
      </c>
      <c r="H72" s="190"/>
      <c r="I72" s="190"/>
      <c r="J72" s="187" t="s">
        <v>1782</v>
      </c>
      <c r="K72" s="187"/>
      <c r="L72" s="270" t="str">
        <f>IFERROR(__xludf.DUMMYFUNCTION("IF(
  AND(D72=""Saída"", J72=""Sangria""),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76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85">
        <f>IFERROR(__xludf.DUMMYFUNCTION("ifna(VALUE(REGEXEXTRACT(E72,""[0-9.]+[,]+[0-9]+"")))"),280.0)</f>
        <v>280</v>
      </c>
      <c r="O72" s="226"/>
      <c r="P72" s="227"/>
      <c r="Q72" s="220"/>
      <c r="R72" s="228" t="str">
        <f t="shared" si="2"/>
        <v/>
      </c>
      <c r="S72" s="220" t="str">
        <f t="shared" si="3"/>
        <v/>
      </c>
      <c r="T72" s="218" t="str">
        <f t="shared" si="1"/>
        <v/>
      </c>
      <c r="U72" s="275"/>
      <c r="V72" s="275"/>
      <c r="W72" s="286"/>
    </row>
    <row r="73" ht="14.25" customHeight="1">
      <c r="A73" s="178"/>
      <c r="B73" s="12">
        <v>2217367.0</v>
      </c>
      <c r="C73" s="13">
        <v>46180.86854166666</v>
      </c>
      <c r="D73" s="179" t="s">
        <v>81</v>
      </c>
      <c r="E73" s="180" t="s">
        <v>443</v>
      </c>
      <c r="F73" s="181"/>
      <c r="G73" s="179" t="s">
        <v>381</v>
      </c>
      <c r="H73" s="190"/>
      <c r="I73" s="190"/>
      <c r="J73" s="187" t="s">
        <v>2735</v>
      </c>
      <c r="K73" s="187" t="s">
        <v>6576</v>
      </c>
      <c r="L73" s="270" t="str">
        <f>IFERROR(__xludf.DUMMYFUNCTION("IF(
  AND(D73=""Saída"", J73=""Sangria""),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"),"Confirmada")</f>
        <v>Confirmada</v>
      </c>
      <c r="M73" s="276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85">
        <f>IFERROR(__xludf.DUMMYFUNCTION("ifna(VALUE(REGEXEXTRACT(E73,""[0-9.]+[,]+[0-9]+"")))"),900.0)</f>
        <v>900</v>
      </c>
      <c r="O73" s="229"/>
      <c r="P73" s="221"/>
      <c r="Q73" s="221"/>
      <c r="R73" s="231" t="str">
        <f t="shared" si="2"/>
        <v/>
      </c>
      <c r="S73" s="221" t="str">
        <f t="shared" si="3"/>
        <v/>
      </c>
      <c r="T73" s="218" t="str">
        <f t="shared" si="1"/>
        <v/>
      </c>
      <c r="U73" s="25"/>
      <c r="V73" s="25"/>
      <c r="W73" s="287"/>
    </row>
    <row r="74" ht="14.25" customHeight="1">
      <c r="A74" s="178"/>
      <c r="B74" s="12">
        <v>2219254.0</v>
      </c>
      <c r="C74" s="13">
        <v>46181.84295138889</v>
      </c>
      <c r="D74" s="179" t="s">
        <v>81</v>
      </c>
      <c r="E74" s="180" t="s">
        <v>446</v>
      </c>
      <c r="F74" s="181"/>
      <c r="G74" s="179" t="s">
        <v>128</v>
      </c>
      <c r="H74" s="190"/>
      <c r="I74" s="190"/>
      <c r="J74" s="187" t="s">
        <v>2735</v>
      </c>
      <c r="K74" s="187" t="s">
        <v>6576</v>
      </c>
      <c r="L74" s="270" t="str">
        <f>IFERROR(__xludf.DUMMYFUNCTION("IF(
  AND(D74=""Saída"", J74=""Sangria""),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"),"Caixa Sangria")</f>
        <v>Caixa Sangria</v>
      </c>
      <c r="M74" s="272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85">
        <f>IFERROR(__xludf.DUMMYFUNCTION("ifna(VALUE(REGEXEXTRACT(E74,""[0-9.]+[,]+[0-9]+"")))"),700.0)</f>
        <v>700</v>
      </c>
      <c r="O74" s="226"/>
      <c r="P74" s="220"/>
      <c r="Q74" s="220"/>
      <c r="R74" s="228" t="str">
        <f t="shared" si="2"/>
        <v/>
      </c>
      <c r="S74" s="220" t="str">
        <f t="shared" si="3"/>
        <v/>
      </c>
      <c r="T74" s="218" t="str">
        <f t="shared" si="1"/>
        <v/>
      </c>
      <c r="U74" s="25"/>
      <c r="V74" s="25"/>
      <c r="W74" s="287"/>
    </row>
    <row r="75" ht="14.25" customHeight="1">
      <c r="A75" s="178"/>
      <c r="B75" s="12">
        <v>2220778.0</v>
      </c>
      <c r="C75" s="13">
        <v>46182.894641203704</v>
      </c>
      <c r="D75" s="179" t="s">
        <v>81</v>
      </c>
      <c r="E75" s="180" t="s">
        <v>451</v>
      </c>
      <c r="F75" s="181"/>
      <c r="G75" s="179" t="s">
        <v>452</v>
      </c>
      <c r="H75" s="190"/>
      <c r="I75" s="190"/>
      <c r="J75" s="187" t="s">
        <v>3151</v>
      </c>
      <c r="K75" s="187"/>
      <c r="L75" s="270" t="str">
        <f>IFERROR(__xludf.DUMMYFUNCTION("IF(
  AND(D75=""Saída"", J75=""Sangria""),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74" t="str">
        <f>IFERROR(__xludf.DUMMYFUNCTION("IF(J75=""Compra de Mercadorias"",
   IF(
      COUNTIF(ARRAYFORMULA(TRIM(CLEAN(TO_TEXT(Notas!BS:BS)))), TRIM(CLEAN(TO_TEXT(B75)))) &gt; 0,
      ""Encontrada"",
      ""Não Encontrada""
   ),
"""")"),"Não Encontrada")</f>
        <v>Não Encontrada</v>
      </c>
      <c r="N75" s="185">
        <f>IFERROR(__xludf.DUMMYFUNCTION("ifna(VALUE(REGEXEXTRACT(E75,""[0-9.]+[,]+[0-9]+"")))"),210.0)</f>
        <v>210</v>
      </c>
      <c r="O75" s="229"/>
      <c r="P75" s="221"/>
      <c r="Q75" s="221"/>
      <c r="R75" s="231" t="str">
        <f t="shared" si="2"/>
        <v/>
      </c>
      <c r="S75" s="221" t="str">
        <f t="shared" si="3"/>
        <v/>
      </c>
      <c r="T75" s="218" t="str">
        <f t="shared" si="1"/>
        <v/>
      </c>
      <c r="U75" s="25"/>
      <c r="V75" s="25"/>
      <c r="W75" s="287"/>
    </row>
    <row r="76" ht="14.25" customHeight="1">
      <c r="A76" s="178"/>
      <c r="B76" s="12">
        <v>2220782.0</v>
      </c>
      <c r="C76" s="13">
        <v>46182.89601851852</v>
      </c>
      <c r="D76" s="179" t="s">
        <v>81</v>
      </c>
      <c r="E76" s="180" t="s">
        <v>457</v>
      </c>
      <c r="F76" s="181"/>
      <c r="G76" s="179" t="s">
        <v>460</v>
      </c>
      <c r="H76" s="190"/>
      <c r="I76" s="190"/>
      <c r="J76" s="187" t="s">
        <v>3151</v>
      </c>
      <c r="K76" s="187"/>
      <c r="L76" s="270" t="str">
        <f>IFERROR(__xludf.DUMMYFUNCTION("IF(
  AND(D76=""Saída"", J76=""Sangria""),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72" t="str">
        <f>IFERROR(__xludf.DUMMYFUNCTION("IF(J76=""Compra de Mercadorias"",
   IF(
      COUNTIF(ARRAYFORMULA(TRIM(CLEAN(TO_TEXT(Notas!BS:BS)))), TRIM(CLEAN(TO_TEXT(B76)))) &gt; 0,
      ""Encontrada"",
      ""Não Encontrada""
   ),
"""")"),"Não Encontrada")</f>
        <v>Não Encontrada</v>
      </c>
      <c r="N76" s="185">
        <f>IFERROR(__xludf.DUMMYFUNCTION("ifna(VALUE(REGEXEXTRACT(E76,""[0-9.]+[,]+[0-9]+"")))"),200.0)</f>
        <v>200</v>
      </c>
      <c r="O76" s="226"/>
      <c r="P76" s="220"/>
      <c r="Q76" s="220"/>
      <c r="R76" s="228" t="str">
        <f t="shared" si="2"/>
        <v/>
      </c>
      <c r="S76" s="220" t="str">
        <f t="shared" si="3"/>
        <v/>
      </c>
      <c r="T76" s="288" t="str">
        <f t="shared" si="1"/>
        <v/>
      </c>
      <c r="U76" s="25"/>
      <c r="V76" s="25"/>
      <c r="W76" s="25"/>
    </row>
    <row r="77" ht="14.25" customHeight="1">
      <c r="A77" s="178"/>
      <c r="B77" s="12">
        <v>2221379.0</v>
      </c>
      <c r="C77" s="13">
        <v>46183.5809375</v>
      </c>
      <c r="D77" s="179" t="s">
        <v>152</v>
      </c>
      <c r="E77" s="180" t="s">
        <v>466</v>
      </c>
      <c r="F77" s="188"/>
      <c r="G77" s="179" t="s">
        <v>158</v>
      </c>
      <c r="H77" s="190"/>
      <c r="I77" s="190"/>
      <c r="J77" s="187" t="s">
        <v>2669</v>
      </c>
      <c r="K77" s="187"/>
      <c r="L77" s="270" t="str">
        <f>IFERROR(__xludf.DUMMYFUNCTION("IF(
  AND(D77=""Saída"", J77=""Sangria""),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74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85">
        <f>IFERROR(__xludf.DUMMYFUNCTION("ifna(VALUE(REGEXEXTRACT(E77,""[0-9.]+[,]+[0-9]+"")))"),32.45)</f>
        <v>32.45</v>
      </c>
      <c r="O77" s="229"/>
      <c r="P77" s="221"/>
      <c r="Q77" s="221"/>
      <c r="R77" s="231" t="str">
        <f t="shared" si="2"/>
        <v/>
      </c>
      <c r="S77" s="221" t="str">
        <f t="shared" si="3"/>
        <v/>
      </c>
      <c r="T77" s="288" t="str">
        <f t="shared" si="1"/>
        <v/>
      </c>
      <c r="U77" s="25"/>
      <c r="V77" s="25"/>
      <c r="W77" s="25"/>
    </row>
    <row r="78" ht="14.25" customHeight="1">
      <c r="A78" s="178"/>
      <c r="B78" s="12">
        <v>2222034.0</v>
      </c>
      <c r="C78" s="13">
        <v>46183.88185185185</v>
      </c>
      <c r="D78" s="179" t="s">
        <v>81</v>
      </c>
      <c r="E78" s="180" t="s">
        <v>162</v>
      </c>
      <c r="F78" s="181"/>
      <c r="G78" s="179" t="s">
        <v>128</v>
      </c>
      <c r="H78" s="190"/>
      <c r="I78" s="190"/>
      <c r="J78" s="187" t="s">
        <v>2735</v>
      </c>
      <c r="K78" s="187" t="s">
        <v>6576</v>
      </c>
      <c r="L78" s="270" t="str">
        <f>IFERROR(__xludf.DUMMYFUNCTION("IF(
  AND(D78=""Saída"", J78=""Sangria""),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"),"Confirmada")</f>
        <v>Confirmada</v>
      </c>
      <c r="M78" s="272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85">
        <f>IFERROR(__xludf.DUMMYFUNCTION("ifna(VALUE(REGEXEXTRACT(E78,""[0-9.]+[,]+[0-9]+"")))"),150.0)</f>
        <v>150</v>
      </c>
      <c r="O78" s="226"/>
      <c r="P78" s="220"/>
      <c r="Q78" s="220"/>
      <c r="R78" s="228" t="str">
        <f t="shared" si="2"/>
        <v/>
      </c>
      <c r="S78" s="220" t="str">
        <f t="shared" si="3"/>
        <v/>
      </c>
      <c r="T78" s="288" t="str">
        <f t="shared" si="1"/>
        <v/>
      </c>
      <c r="U78" s="25"/>
      <c r="V78" s="25"/>
      <c r="W78" s="25"/>
    </row>
    <row r="79" ht="14.25" customHeight="1">
      <c r="A79" s="178"/>
      <c r="B79" s="12">
        <v>2222946.0</v>
      </c>
      <c r="C79" s="13">
        <v>46184.757268518515</v>
      </c>
      <c r="D79" s="179" t="s">
        <v>81</v>
      </c>
      <c r="E79" s="180" t="s">
        <v>475</v>
      </c>
      <c r="F79" s="181"/>
      <c r="G79" s="179" t="s">
        <v>477</v>
      </c>
      <c r="H79" s="190"/>
      <c r="I79" s="190"/>
      <c r="J79" s="187" t="s">
        <v>2019</v>
      </c>
      <c r="K79" s="187" t="s">
        <v>2078</v>
      </c>
      <c r="L79" s="270" t="str">
        <f>IFERROR(__xludf.DUMMYFUNCTION("IF(
  AND(D79=""Saída"", J79=""Sangria""),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74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85">
        <f>IFERROR(__xludf.DUMMYFUNCTION("ifna(VALUE(REGEXEXTRACT(E79,""[0-9.]+[,]+[0-9]+"")))"),37.84)</f>
        <v>37.84</v>
      </c>
      <c r="O79" s="229"/>
      <c r="P79" s="221"/>
      <c r="Q79" s="221"/>
      <c r="R79" s="231" t="str">
        <f t="shared" si="2"/>
        <v/>
      </c>
      <c r="S79" s="221" t="str">
        <f t="shared" si="3"/>
        <v/>
      </c>
      <c r="T79" s="288" t="str">
        <f t="shared" si="1"/>
        <v/>
      </c>
      <c r="U79" s="25"/>
      <c r="V79" s="25"/>
      <c r="W79" s="25"/>
    </row>
    <row r="80" ht="14.25" customHeight="1">
      <c r="A80" s="178"/>
      <c r="B80" s="12">
        <v>2223069.0</v>
      </c>
      <c r="C80" s="13">
        <v>46184.83152777778</v>
      </c>
      <c r="D80" s="179" t="s">
        <v>81</v>
      </c>
      <c r="E80" s="180" t="s">
        <v>184</v>
      </c>
      <c r="F80" s="181"/>
      <c r="G80" s="179" t="s">
        <v>381</v>
      </c>
      <c r="H80" s="190"/>
      <c r="I80" s="190"/>
      <c r="J80" s="187" t="s">
        <v>2735</v>
      </c>
      <c r="K80" s="187" t="s">
        <v>6576</v>
      </c>
      <c r="L80" s="270" t="str">
        <f>IFERROR(__xludf.DUMMYFUNCTION("IF(
  AND(D80=""Saída"", J80=""Sangria""),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"),"Confirmada")</f>
        <v>Confirmada</v>
      </c>
      <c r="M80" s="272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85">
        <f>IFERROR(__xludf.DUMMYFUNCTION("ifna(VALUE(REGEXEXTRACT(E80,""[0-9.]+[,]+[0-9]+"")))"),450.0)</f>
        <v>450</v>
      </c>
      <c r="O80" s="226"/>
      <c r="P80" s="220"/>
      <c r="Q80" s="220"/>
      <c r="R80" s="228" t="str">
        <f t="shared" si="2"/>
        <v/>
      </c>
      <c r="S80" s="220" t="str">
        <f t="shared" si="3"/>
        <v/>
      </c>
      <c r="T80" s="218" t="str">
        <f t="shared" si="1"/>
        <v/>
      </c>
      <c r="U80" s="25"/>
      <c r="V80" s="25"/>
      <c r="W80" s="25"/>
    </row>
    <row r="81" ht="14.25" customHeight="1">
      <c r="A81" s="178"/>
      <c r="B81" s="12">
        <v>2223071.0</v>
      </c>
      <c r="C81" s="13">
        <v>46184.832083333335</v>
      </c>
      <c r="D81" s="179" t="s">
        <v>152</v>
      </c>
      <c r="E81" s="180" t="s">
        <v>485</v>
      </c>
      <c r="F81" s="188"/>
      <c r="G81" s="179" t="s">
        <v>486</v>
      </c>
      <c r="H81" s="190"/>
      <c r="I81" s="190"/>
      <c r="J81" s="187" t="s">
        <v>5195</v>
      </c>
      <c r="K81" s="187"/>
      <c r="L81" s="270" t="str">
        <f>IFERROR(__xludf.DUMMYFUNCTION("IF(
  AND(D81=""Saída"", J81=""Sangria""),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74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85">
        <f>IFERROR(__xludf.DUMMYFUNCTION("ifna(VALUE(REGEXEXTRACT(E81,""[0-9.]+[,]+[0-9]+"")))"),60.0)</f>
        <v>60</v>
      </c>
      <c r="O81" s="229"/>
      <c r="P81" s="221"/>
      <c r="Q81" s="221"/>
      <c r="R81" s="231" t="str">
        <f t="shared" si="2"/>
        <v/>
      </c>
      <c r="S81" s="221" t="str">
        <f t="shared" si="3"/>
        <v/>
      </c>
      <c r="T81" s="218" t="str">
        <f t="shared" si="1"/>
        <v/>
      </c>
      <c r="U81" s="185"/>
      <c r="V81" s="185"/>
      <c r="W81" s="185"/>
    </row>
    <row r="82" ht="14.25" customHeight="1">
      <c r="A82" s="178"/>
      <c r="B82" s="12">
        <v>2223962.0</v>
      </c>
      <c r="C82" s="13">
        <v>46185.655185185184</v>
      </c>
      <c r="D82" s="179" t="s">
        <v>81</v>
      </c>
      <c r="E82" s="180" t="s">
        <v>492</v>
      </c>
      <c r="F82" s="181"/>
      <c r="G82" s="179" t="s">
        <v>493</v>
      </c>
      <c r="H82" s="190"/>
      <c r="I82" s="190"/>
      <c r="J82" s="187" t="s">
        <v>2438</v>
      </c>
      <c r="K82" s="187"/>
      <c r="L82" s="270" t="str">
        <f>IFERROR(__xludf.DUMMYFUNCTION("IF(
  AND(D82=""Saída"", J82=""Sangria""),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72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85">
        <f>IFERROR(__xludf.DUMMYFUNCTION("ifna(VALUE(REGEXEXTRACT(E82,""[0-9.]+[,]+[0-9]+"")))"),146.56)</f>
        <v>146.56</v>
      </c>
      <c r="O82" s="226"/>
      <c r="P82" s="220"/>
      <c r="Q82" s="220"/>
      <c r="R82" s="228" t="str">
        <f t="shared" si="2"/>
        <v/>
      </c>
      <c r="S82" s="220" t="str">
        <f t="shared" si="3"/>
        <v/>
      </c>
      <c r="T82" s="218" t="str">
        <f t="shared" si="1"/>
        <v/>
      </c>
      <c r="U82" s="185"/>
      <c r="V82" s="185"/>
      <c r="W82" s="185"/>
    </row>
    <row r="83" ht="14.25" customHeight="1">
      <c r="A83" s="178"/>
      <c r="B83" s="12">
        <v>2225307.0</v>
      </c>
      <c r="C83" s="13">
        <v>46186.62028935185</v>
      </c>
      <c r="D83" s="179" t="s">
        <v>152</v>
      </c>
      <c r="E83" s="180" t="s">
        <v>498</v>
      </c>
      <c r="F83" s="181"/>
      <c r="G83" s="179" t="s">
        <v>267</v>
      </c>
      <c r="H83" s="190"/>
      <c r="I83" s="190"/>
      <c r="J83" s="187" t="s">
        <v>2669</v>
      </c>
      <c r="K83" s="187"/>
      <c r="L83" s="270" t="str">
        <f>IFERROR(__xludf.DUMMYFUNCTION("IF(
  AND(D83=""Saída"", J83=""Sangria""),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74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85">
        <f>IFERROR(__xludf.DUMMYFUNCTION("ifna(VALUE(REGEXEXTRACT(E83,""[0-9.]+[,]+[0-9]+"")))"),18.75)</f>
        <v>18.75</v>
      </c>
      <c r="O83" s="229"/>
      <c r="P83" s="221"/>
      <c r="Q83" s="221"/>
      <c r="R83" s="231" t="str">
        <f t="shared" si="2"/>
        <v/>
      </c>
      <c r="S83" s="221" t="str">
        <f t="shared" si="3"/>
        <v/>
      </c>
      <c r="T83" s="232" t="str">
        <f t="shared" ref="T83:T104" si="4">IFERROR(VLOOKUP(Q83, $A$4:$B$18, 2, FALSE), "")</f>
        <v/>
      </c>
      <c r="U83" s="185"/>
      <c r="V83" s="185"/>
      <c r="W83" s="185"/>
    </row>
    <row r="84" ht="14.25" customHeight="1">
      <c r="A84" s="178"/>
      <c r="B84" s="12">
        <v>2225571.0</v>
      </c>
      <c r="C84" s="13">
        <v>46186.7065625</v>
      </c>
      <c r="D84" s="179" t="s">
        <v>81</v>
      </c>
      <c r="E84" s="180" t="s">
        <v>350</v>
      </c>
      <c r="F84" s="181"/>
      <c r="G84" s="179" t="s">
        <v>502</v>
      </c>
      <c r="H84" s="190"/>
      <c r="I84" s="190"/>
      <c r="J84" s="187" t="s">
        <v>3375</v>
      </c>
      <c r="K84" s="187"/>
      <c r="L84" s="270" t="str">
        <f>IFERROR(__xludf.DUMMYFUNCTION("IF(
  AND(D84=""Saída"", J84=""Sangria""),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72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85">
        <f>IFERROR(__xludf.DUMMYFUNCTION("ifna(VALUE(REGEXEXTRACT(E84,""[0-9.]+[,]+[0-9]+"")))"),12.0)</f>
        <v>12</v>
      </c>
      <c r="O84" s="226"/>
      <c r="P84" s="220"/>
      <c r="Q84" s="220"/>
      <c r="R84" s="228" t="str">
        <f t="shared" si="2"/>
        <v/>
      </c>
      <c r="S84" s="220" t="str">
        <f t="shared" si="3"/>
        <v/>
      </c>
      <c r="T84" s="232" t="str">
        <f t="shared" si="4"/>
        <v/>
      </c>
      <c r="U84" s="185"/>
      <c r="V84" s="185"/>
      <c r="W84" s="185"/>
    </row>
    <row r="85" ht="14.25" customHeight="1">
      <c r="A85" s="178"/>
      <c r="B85" s="12">
        <v>2225828.0</v>
      </c>
      <c r="C85" s="13">
        <v>46186.778958333336</v>
      </c>
      <c r="D85" s="179" t="s">
        <v>81</v>
      </c>
      <c r="E85" s="180" t="s">
        <v>416</v>
      </c>
      <c r="F85" s="181"/>
      <c r="G85" s="179" t="s">
        <v>506</v>
      </c>
      <c r="H85" s="190"/>
      <c r="I85" s="190"/>
      <c r="J85" s="187" t="s">
        <v>1782</v>
      </c>
      <c r="K85" s="187"/>
      <c r="L85" s="270" t="str">
        <f>IFERROR(__xludf.DUMMYFUNCTION("IF(
  AND(D85=""Saída"", J85=""Sangria""),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74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85">
        <f>IFERROR(__xludf.DUMMYFUNCTION("ifna(VALUE(REGEXEXTRACT(E85,""[0-9.]+[,]+[0-9]+"")))"),100.0)</f>
        <v>100</v>
      </c>
      <c r="O85" s="229"/>
      <c r="P85" s="221"/>
      <c r="Q85" s="221"/>
      <c r="R85" s="231" t="str">
        <f t="shared" si="2"/>
        <v/>
      </c>
      <c r="S85" s="221" t="str">
        <f t="shared" si="3"/>
        <v/>
      </c>
      <c r="T85" s="232" t="str">
        <f t="shared" si="4"/>
        <v/>
      </c>
      <c r="U85" s="185"/>
      <c r="V85" s="185"/>
      <c r="W85" s="185"/>
    </row>
    <row r="86" ht="14.25" customHeight="1">
      <c r="A86" s="178"/>
      <c r="B86" s="12">
        <v>2225830.0</v>
      </c>
      <c r="C86" s="13">
        <v>46186.77929398148</v>
      </c>
      <c r="D86" s="179" t="s">
        <v>81</v>
      </c>
      <c r="E86" s="180" t="s">
        <v>517</v>
      </c>
      <c r="F86" s="181"/>
      <c r="G86" s="179" t="s">
        <v>381</v>
      </c>
      <c r="H86" s="190"/>
      <c r="I86" s="190"/>
      <c r="J86" s="187" t="s">
        <v>2735</v>
      </c>
      <c r="K86" s="187" t="s">
        <v>6576</v>
      </c>
      <c r="L86" s="270" t="str">
        <f>IFERROR(__xludf.DUMMYFUNCTION("IF(
  AND(D86=""Saída"", J86=""Sangria""),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"),"Confirmada")</f>
        <v>Confirmada</v>
      </c>
      <c r="M86" s="272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85">
        <f>IFERROR(__xludf.DUMMYFUNCTION("ifna(VALUE(REGEXEXTRACT(E86,""[0-9.]+[,]+[0-9]+"")))"),40.0)</f>
        <v>40</v>
      </c>
      <c r="O86" s="226"/>
      <c r="P86" s="220"/>
      <c r="Q86" s="220"/>
      <c r="R86" s="228" t="str">
        <f t="shared" si="2"/>
        <v/>
      </c>
      <c r="S86" s="220" t="str">
        <f t="shared" si="3"/>
        <v/>
      </c>
      <c r="T86" s="232" t="str">
        <f t="shared" si="4"/>
        <v/>
      </c>
      <c r="U86" s="185"/>
      <c r="V86" s="185"/>
      <c r="W86" s="185"/>
    </row>
    <row r="87" ht="14.25" customHeight="1">
      <c r="A87" s="178"/>
      <c r="B87" s="12">
        <v>2225839.0</v>
      </c>
      <c r="C87" s="13">
        <v>46186.780381944445</v>
      </c>
      <c r="D87" s="179" t="s">
        <v>81</v>
      </c>
      <c r="E87" s="180" t="s">
        <v>523</v>
      </c>
      <c r="F87" s="181"/>
      <c r="G87" s="179" t="s">
        <v>381</v>
      </c>
      <c r="H87" s="190"/>
      <c r="I87" s="190"/>
      <c r="J87" s="187" t="s">
        <v>2735</v>
      </c>
      <c r="K87" s="187" t="s">
        <v>6576</v>
      </c>
      <c r="L87" s="270" t="str">
        <f>IFERROR(__xludf.DUMMYFUNCTION("IF(
  AND(D87=""Saída"", J87=""Sangria""),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"),"Caixa Sangria")</f>
        <v>Caixa Sangria</v>
      </c>
      <c r="M87" s="274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85">
        <f>IFERROR(__xludf.DUMMYFUNCTION("ifna(VALUE(REGEXEXTRACT(E87,""[0-9.]+[,]+[0-9]+"")))"),360.0)</f>
        <v>360</v>
      </c>
      <c r="O87" s="229"/>
      <c r="P87" s="221"/>
      <c r="Q87" s="221"/>
      <c r="R87" s="231" t="str">
        <f t="shared" si="2"/>
        <v/>
      </c>
      <c r="S87" s="221" t="str">
        <f t="shared" si="3"/>
        <v/>
      </c>
      <c r="T87" s="232" t="str">
        <f t="shared" si="4"/>
        <v/>
      </c>
      <c r="U87" s="185"/>
      <c r="V87" s="185"/>
      <c r="W87" s="185"/>
    </row>
    <row r="88" ht="14.25" customHeight="1">
      <c r="A88" s="178"/>
      <c r="B88" s="12">
        <v>2228436.0</v>
      </c>
      <c r="C88" s="13">
        <v>46188.48260416667</v>
      </c>
      <c r="D88" s="179" t="s">
        <v>81</v>
      </c>
      <c r="E88" s="180" t="s">
        <v>446</v>
      </c>
      <c r="F88" s="181"/>
      <c r="G88" s="179" t="s">
        <v>530</v>
      </c>
      <c r="H88" s="190"/>
      <c r="I88" s="190"/>
      <c r="J88" s="187" t="s">
        <v>2735</v>
      </c>
      <c r="K88" s="187" t="s">
        <v>6576</v>
      </c>
      <c r="L88" s="270" t="str">
        <f>IFERROR(__xludf.DUMMYFUNCTION("IF(
  AND(D88=""Saída"", J88=""Sangria""),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"),"Caixa Sangria")</f>
        <v>Caixa Sangria</v>
      </c>
      <c r="M88" s="272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85">
        <f>IFERROR(__xludf.DUMMYFUNCTION("ifna(VALUE(REGEXEXTRACT(E88,""[0-9.]+[,]+[0-9]+"")))"),700.0)</f>
        <v>700</v>
      </c>
      <c r="O88" s="226"/>
      <c r="P88" s="220"/>
      <c r="Q88" s="220"/>
      <c r="R88" s="228" t="str">
        <f t="shared" si="2"/>
        <v/>
      </c>
      <c r="S88" s="220" t="str">
        <f t="shared" si="3"/>
        <v/>
      </c>
      <c r="T88" s="232" t="str">
        <f t="shared" si="4"/>
        <v/>
      </c>
      <c r="U88" s="185"/>
      <c r="V88" s="185"/>
      <c r="W88" s="185"/>
    </row>
    <row r="89" ht="14.25" customHeight="1">
      <c r="A89" s="178"/>
      <c r="B89" s="12">
        <v>2228437.0</v>
      </c>
      <c r="C89" s="13">
        <v>46188.48349537037</v>
      </c>
      <c r="D89" s="179" t="s">
        <v>81</v>
      </c>
      <c r="E89" s="180" t="s">
        <v>536</v>
      </c>
      <c r="F89" s="181"/>
      <c r="G89" s="179" t="s">
        <v>506</v>
      </c>
      <c r="H89" s="190"/>
      <c r="I89" s="190"/>
      <c r="J89" s="187" t="s">
        <v>1782</v>
      </c>
      <c r="K89" s="187"/>
      <c r="L89" s="270" t="str">
        <f>IFERROR(__xludf.DUMMYFUNCTION("IF(
  AND(D89=""Saída"", J89=""Sangria""),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74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85">
        <f>IFERROR(__xludf.DUMMYFUNCTION("ifna(VALUE(REGEXEXTRACT(E89,""[0-9.]+[,]+[0-9]+"")))"),80.0)</f>
        <v>80</v>
      </c>
      <c r="O89" s="229"/>
      <c r="P89" s="221"/>
      <c r="Q89" s="221"/>
      <c r="R89" s="231" t="str">
        <f t="shared" si="2"/>
        <v/>
      </c>
      <c r="S89" s="221" t="str">
        <f t="shared" si="3"/>
        <v/>
      </c>
      <c r="T89" s="232" t="str">
        <f t="shared" si="4"/>
        <v/>
      </c>
      <c r="U89" s="185"/>
      <c r="V89" s="185"/>
      <c r="W89" s="185"/>
    </row>
    <row r="90" ht="14.25" customHeight="1">
      <c r="A90" s="178"/>
      <c r="B90" s="12">
        <v>2228440.0</v>
      </c>
      <c r="C90" s="13">
        <v>46188.48373842592</v>
      </c>
      <c r="D90" s="179" t="s">
        <v>81</v>
      </c>
      <c r="E90" s="180" t="s">
        <v>541</v>
      </c>
      <c r="F90" s="181"/>
      <c r="G90" s="179" t="s">
        <v>544</v>
      </c>
      <c r="H90" s="190"/>
      <c r="I90" s="190"/>
      <c r="J90" s="187" t="s">
        <v>2019</v>
      </c>
      <c r="K90" s="187" t="s">
        <v>2078</v>
      </c>
      <c r="L90" s="270" t="str">
        <f>IFERROR(__xludf.DUMMYFUNCTION("IF(
  AND(D90=""Saída"", J90=""Sangria""),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72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85">
        <f>IFERROR(__xludf.DUMMYFUNCTION("ifna(VALUE(REGEXEXTRACT(E90,""[0-9.]+[,]+[0-9]+"")))"),13.84)</f>
        <v>13.84</v>
      </c>
      <c r="O90" s="226"/>
      <c r="P90" s="220"/>
      <c r="Q90" s="220"/>
      <c r="R90" s="228" t="str">
        <f t="shared" si="2"/>
        <v/>
      </c>
      <c r="S90" s="220" t="str">
        <f t="shared" si="3"/>
        <v/>
      </c>
      <c r="T90" s="232" t="str">
        <f t="shared" si="4"/>
        <v/>
      </c>
      <c r="U90" s="185"/>
      <c r="V90" s="185"/>
      <c r="W90" s="185"/>
    </row>
    <row r="91" ht="14.25" customHeight="1">
      <c r="A91" s="178"/>
      <c r="B91" s="12">
        <v>2229177.0</v>
      </c>
      <c r="C91" s="13">
        <v>46188.87862268519</v>
      </c>
      <c r="D91" s="179" t="s">
        <v>81</v>
      </c>
      <c r="E91" s="180" t="s">
        <v>548</v>
      </c>
      <c r="F91" s="181"/>
      <c r="G91" s="179" t="s">
        <v>460</v>
      </c>
      <c r="H91" s="190"/>
      <c r="I91" s="190"/>
      <c r="J91" s="187" t="s">
        <v>3151</v>
      </c>
      <c r="K91" s="187"/>
      <c r="L91" s="270" t="str">
        <f>IFERROR(__xludf.DUMMYFUNCTION("IF(
  AND(D91=""Saída"", J91=""Sangria""),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74" t="str">
        <f>IFERROR(__xludf.DUMMYFUNCTION("IF(J91=""Compra de Mercadorias"",
   IF(
      COUNTIF(ARRAYFORMULA(TRIM(CLEAN(TO_TEXT(Notas!BS:BS)))), TRIM(CLEAN(TO_TEXT(B91)))) &gt; 0,
      ""Encontrada"",
      ""Não Encontrada""
   ),
"""")"),"Não Encontrada")</f>
        <v>Não Encontrada</v>
      </c>
      <c r="N91" s="185">
        <f>IFERROR(__xludf.DUMMYFUNCTION("ifna(VALUE(REGEXEXTRACT(E91,""[0-9.]+[,]+[0-9]+"")))"),143.48)</f>
        <v>143.48</v>
      </c>
      <c r="O91" s="229"/>
      <c r="P91" s="221"/>
      <c r="Q91" s="221"/>
      <c r="R91" s="231" t="str">
        <f t="shared" si="2"/>
        <v/>
      </c>
      <c r="S91" s="221" t="str">
        <f t="shared" si="3"/>
        <v/>
      </c>
      <c r="T91" s="232" t="str">
        <f t="shared" si="4"/>
        <v/>
      </c>
      <c r="U91" s="185"/>
      <c r="V91" s="185"/>
      <c r="W91" s="185"/>
    </row>
    <row r="92" ht="14.25" customHeight="1">
      <c r="A92" s="178"/>
      <c r="B92" s="12">
        <v>2229179.0</v>
      </c>
      <c r="C92" s="13">
        <v>46188.87883101852</v>
      </c>
      <c r="D92" s="179" t="s">
        <v>81</v>
      </c>
      <c r="E92" s="180" t="s">
        <v>555</v>
      </c>
      <c r="F92" s="181"/>
      <c r="G92" s="179" t="s">
        <v>556</v>
      </c>
      <c r="H92" s="190"/>
      <c r="I92" s="190"/>
      <c r="J92" s="187" t="s">
        <v>3151</v>
      </c>
      <c r="K92" s="187"/>
      <c r="L92" s="270" t="str">
        <f>IFERROR(__xludf.DUMMYFUNCTION("IF(
  AND(D92=""Saída"", J92=""Sangria""),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72" t="str">
        <f>IFERROR(__xludf.DUMMYFUNCTION("IF(J92=""Compra de Mercadorias"",
   IF(
      COUNTIF(ARRAYFORMULA(TRIM(CLEAN(TO_TEXT(Notas!BS:BS)))), TRIM(CLEAN(TO_TEXT(B92)))) &gt; 0,
      ""Encontrada"",
      ""Não Encontrada""
   ),
"""")"),"Não Encontrada")</f>
        <v>Não Encontrada</v>
      </c>
      <c r="N92" s="185">
        <f>IFERROR(__xludf.DUMMYFUNCTION("ifna(VALUE(REGEXEXTRACT(E92,""[0-9.]+[,]+[0-9]+"")))"),13.99)</f>
        <v>13.99</v>
      </c>
      <c r="O92" s="226"/>
      <c r="P92" s="220"/>
      <c r="Q92" s="220"/>
      <c r="R92" s="228" t="str">
        <f t="shared" si="2"/>
        <v/>
      </c>
      <c r="S92" s="220" t="str">
        <f t="shared" si="3"/>
        <v/>
      </c>
      <c r="T92" s="232" t="str">
        <f t="shared" si="4"/>
        <v/>
      </c>
      <c r="U92" s="185"/>
      <c r="V92" s="185"/>
      <c r="W92" s="185"/>
    </row>
    <row r="93" ht="14.25" customHeight="1">
      <c r="A93" s="178"/>
      <c r="B93" s="12">
        <v>2229189.0</v>
      </c>
      <c r="C93" s="13">
        <v>46188.88136574074</v>
      </c>
      <c r="D93" s="179" t="s">
        <v>81</v>
      </c>
      <c r="E93" s="180" t="s">
        <v>335</v>
      </c>
      <c r="F93" s="181"/>
      <c r="G93" s="179" t="s">
        <v>563</v>
      </c>
      <c r="H93" s="190"/>
      <c r="I93" s="190"/>
      <c r="J93" s="187" t="s">
        <v>3375</v>
      </c>
      <c r="K93" s="187"/>
      <c r="L93" s="270" t="str">
        <f>IFERROR(__xludf.DUMMYFUNCTION("IF(
  AND(D93=""Saída"", J93=""Sangria""),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74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85">
        <f>IFERROR(__xludf.DUMMYFUNCTION("ifna(VALUE(REGEXEXTRACT(E93,""[0-9.]+[,]+[0-9]+"")))"),10.0)</f>
        <v>10</v>
      </c>
      <c r="O93" s="229"/>
      <c r="P93" s="221"/>
      <c r="Q93" s="221"/>
      <c r="R93" s="231" t="str">
        <f t="shared" si="2"/>
        <v/>
      </c>
      <c r="S93" s="221" t="str">
        <f t="shared" si="3"/>
        <v/>
      </c>
      <c r="T93" s="232" t="str">
        <f t="shared" si="4"/>
        <v/>
      </c>
      <c r="U93" s="185"/>
      <c r="V93" s="185"/>
      <c r="W93" s="185"/>
    </row>
    <row r="94" ht="14.25" customHeight="1">
      <c r="A94" s="178"/>
      <c r="B94" s="12">
        <v>2230356.0</v>
      </c>
      <c r="C94" s="13">
        <v>46189.8528125</v>
      </c>
      <c r="D94" s="179" t="s">
        <v>81</v>
      </c>
      <c r="E94" s="180" t="s">
        <v>567</v>
      </c>
      <c r="F94" s="181"/>
      <c r="G94" s="179" t="s">
        <v>568</v>
      </c>
      <c r="H94" s="190"/>
      <c r="I94" s="190"/>
      <c r="J94" s="187" t="s">
        <v>2019</v>
      </c>
      <c r="K94" s="187" t="s">
        <v>2078</v>
      </c>
      <c r="L94" s="270" t="str">
        <f>IFERROR(__xludf.DUMMYFUNCTION("IF(
  AND(D94=""Saída"", J94=""Sangria""),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76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85">
        <f>IFERROR(__xludf.DUMMYFUNCTION("ifna(VALUE(REGEXEXTRACT(E94,""[0-9.]+[,]+[0-9]+"")))"),7.42)</f>
        <v>7.42</v>
      </c>
      <c r="O94" s="226"/>
      <c r="P94" s="220"/>
      <c r="Q94" s="220"/>
      <c r="R94" s="228" t="str">
        <f t="shared" si="2"/>
        <v/>
      </c>
      <c r="S94" s="220" t="str">
        <f t="shared" si="3"/>
        <v/>
      </c>
      <c r="T94" s="232" t="str">
        <f t="shared" si="4"/>
        <v/>
      </c>
      <c r="U94" s="185"/>
      <c r="V94" s="185"/>
      <c r="W94" s="185"/>
    </row>
    <row r="95" ht="14.25" customHeight="1">
      <c r="A95" s="178"/>
      <c r="B95" s="12">
        <v>2230362.0</v>
      </c>
      <c r="C95" s="13">
        <v>46189.855416666665</v>
      </c>
      <c r="D95" s="179" t="s">
        <v>81</v>
      </c>
      <c r="E95" s="180" t="s">
        <v>146</v>
      </c>
      <c r="F95" s="181"/>
      <c r="G95" s="179" t="s">
        <v>128</v>
      </c>
      <c r="H95" s="190"/>
      <c r="I95" s="190"/>
      <c r="J95" s="187" t="s">
        <v>2735</v>
      </c>
      <c r="K95" s="187" t="s">
        <v>6576</v>
      </c>
      <c r="L95" s="270" t="str">
        <f>IFERROR(__xludf.DUMMYFUNCTION("IF(
  AND(D95=""Saída"", J95=""Sangria""),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"),"Confirmada")</f>
        <v>Confirmada</v>
      </c>
      <c r="M95" s="274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85">
        <f>IFERROR(__xludf.DUMMYFUNCTION("ifna(VALUE(REGEXEXTRACT(E95,""[0-9.]+[,]+[0-9]+"")))"),400.0)</f>
        <v>400</v>
      </c>
      <c r="O95" s="229"/>
      <c r="P95" s="221"/>
      <c r="Q95" s="221"/>
      <c r="R95" s="231" t="str">
        <f t="shared" si="2"/>
        <v/>
      </c>
      <c r="S95" s="221" t="str">
        <f t="shared" si="3"/>
        <v/>
      </c>
      <c r="T95" s="232" t="str">
        <f t="shared" si="4"/>
        <v/>
      </c>
      <c r="U95" s="185"/>
      <c r="V95" s="185"/>
      <c r="W95" s="185"/>
    </row>
    <row r="96" ht="14.25" customHeight="1">
      <c r="A96" s="178"/>
      <c r="B96" s="12">
        <v>2230379.0</v>
      </c>
      <c r="C96" s="13">
        <v>46189.86571759259</v>
      </c>
      <c r="D96" s="179" t="s">
        <v>81</v>
      </c>
      <c r="E96" s="180" t="s">
        <v>335</v>
      </c>
      <c r="F96" s="181"/>
      <c r="G96" s="179" t="s">
        <v>574</v>
      </c>
      <c r="H96" s="190"/>
      <c r="I96" s="190"/>
      <c r="J96" s="187" t="s">
        <v>3375</v>
      </c>
      <c r="K96" s="187"/>
      <c r="L96" s="270" t="str">
        <f>IFERROR(__xludf.DUMMYFUNCTION("IF(
  AND(D96=""Saída"", J96=""Sangria""),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72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85">
        <f>IFERROR(__xludf.DUMMYFUNCTION("ifna(VALUE(REGEXEXTRACT(E96,""[0-9.]+[,]+[0-9]+"")))"),10.0)</f>
        <v>10</v>
      </c>
      <c r="O96" s="226"/>
      <c r="P96" s="220"/>
      <c r="Q96" s="220"/>
      <c r="R96" s="228" t="str">
        <f t="shared" si="2"/>
        <v/>
      </c>
      <c r="S96" s="220" t="str">
        <f t="shared" si="3"/>
        <v/>
      </c>
      <c r="T96" s="232" t="str">
        <f t="shared" si="4"/>
        <v/>
      </c>
      <c r="U96" s="185"/>
      <c r="V96" s="185"/>
      <c r="W96" s="185"/>
    </row>
    <row r="97" ht="14.25" customHeight="1">
      <c r="A97" s="178"/>
      <c r="B97" s="12">
        <v>2231363.0</v>
      </c>
      <c r="C97" s="13">
        <v>46190.745474537034</v>
      </c>
      <c r="D97" s="179" t="s">
        <v>81</v>
      </c>
      <c r="E97" s="180" t="s">
        <v>576</v>
      </c>
      <c r="F97" s="181"/>
      <c r="G97" s="179" t="s">
        <v>577</v>
      </c>
      <c r="H97" s="190"/>
      <c r="I97" s="190"/>
      <c r="J97" s="187" t="s">
        <v>3375</v>
      </c>
      <c r="K97" s="187"/>
      <c r="L97" s="270" t="str">
        <f>IFERROR(__xludf.DUMMYFUNCTION("IF(
  AND(D97=""Saída"", J97=""Sangria""),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74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85">
        <f>IFERROR(__xludf.DUMMYFUNCTION("ifna(VALUE(REGEXEXTRACT(E97,""[0-9.]+[,]+[0-9]+"")))"),18.0)</f>
        <v>18</v>
      </c>
      <c r="O97" s="229"/>
      <c r="P97" s="221"/>
      <c r="Q97" s="221"/>
      <c r="R97" s="231" t="str">
        <f t="shared" si="2"/>
        <v/>
      </c>
      <c r="S97" s="221" t="str">
        <f t="shared" si="3"/>
        <v/>
      </c>
      <c r="T97" s="232" t="str">
        <f t="shared" si="4"/>
        <v/>
      </c>
      <c r="U97" s="185"/>
      <c r="V97" s="185"/>
      <c r="W97" s="185"/>
    </row>
    <row r="98" ht="14.25" customHeight="1">
      <c r="A98" s="178"/>
      <c r="B98" s="12">
        <v>2231365.0</v>
      </c>
      <c r="C98" s="13">
        <v>46190.74581018519</v>
      </c>
      <c r="D98" s="179" t="s">
        <v>81</v>
      </c>
      <c r="E98" s="180" t="s">
        <v>583</v>
      </c>
      <c r="F98" s="181"/>
      <c r="G98" s="179" t="s">
        <v>585</v>
      </c>
      <c r="H98" s="190"/>
      <c r="I98" s="190"/>
      <c r="J98" s="187" t="s">
        <v>2019</v>
      </c>
      <c r="K98" s="187" t="s">
        <v>2078</v>
      </c>
      <c r="L98" s="270" t="str">
        <f>IFERROR(__xludf.DUMMYFUNCTION("IF(
  AND(D98=""Saída"", J98=""Sangria""),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72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85">
        <f>IFERROR(__xludf.DUMMYFUNCTION("ifna(VALUE(REGEXEXTRACT(E98,""[0-9.]+[,]+[0-9]+"")))"),11.57)</f>
        <v>11.57</v>
      </c>
      <c r="O98" s="226"/>
      <c r="P98" s="220"/>
      <c r="Q98" s="220"/>
      <c r="R98" s="228" t="str">
        <f t="shared" si="2"/>
        <v/>
      </c>
      <c r="S98" s="220" t="str">
        <f t="shared" si="3"/>
        <v/>
      </c>
      <c r="T98" s="232" t="str">
        <f t="shared" si="4"/>
        <v/>
      </c>
      <c r="U98" s="185"/>
      <c r="V98" s="185"/>
      <c r="W98" s="185"/>
    </row>
    <row r="99" ht="14.25" customHeight="1">
      <c r="A99" s="178"/>
      <c r="B99" s="12">
        <v>2231569.0</v>
      </c>
      <c r="C99" s="13">
        <v>46190.86362268519</v>
      </c>
      <c r="D99" s="179" t="s">
        <v>81</v>
      </c>
      <c r="E99" s="180" t="s">
        <v>457</v>
      </c>
      <c r="F99" s="181"/>
      <c r="G99" s="179" t="s">
        <v>128</v>
      </c>
      <c r="H99" s="190"/>
      <c r="I99" s="190"/>
      <c r="J99" s="187" t="s">
        <v>2735</v>
      </c>
      <c r="K99" s="187" t="s">
        <v>6576</v>
      </c>
      <c r="L99" s="270" t="str">
        <f>IFERROR(__xludf.DUMMYFUNCTION("IF(
  AND(D99=""Saída"", J99=""Sangria""),
  IFNA(
    IF(
      SUM(
        QUERY(
          IMPORTRANGE(""https://docs.google.com/spreadsheets/d/1ykfbEpHEAAZVCgujsGjRFJRCTULkzlWa8UjdyLzkDBM"",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IMPORTRANGE(""https://docs.google.com/spreadsheets/d/1ykfbEpHEAAZVCgujsGjRFJRCTULkzlWa8UjdyLzkDBM"",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IMPORT"&amp;"RANGE(""https://docs.google.com/spreadsheets/d/1ykfbEpHEAAZVCgujsGjRFJRCTULkzlWa8UjdyLzkDBM"",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"),"Confirmada")</f>
        <v>Confirmada</v>
      </c>
      <c r="M99" s="274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85">
        <f>IFERROR(__xludf.DUMMYFUNCTION("ifna(VALUE(REGEXEXTRACT(E99,""[0-9.]+[,]+[0-9]+"")))"),200.0)</f>
        <v>200</v>
      </c>
      <c r="O99" s="235"/>
      <c r="P99" s="236"/>
      <c r="Q99" s="236"/>
      <c r="R99" s="237" t="str">
        <f t="shared" si="2"/>
        <v/>
      </c>
      <c r="S99" s="236" t="str">
        <f t="shared" si="3"/>
        <v/>
      </c>
      <c r="T99" s="232" t="str">
        <f t="shared" si="4"/>
        <v/>
      </c>
      <c r="U99" s="185"/>
      <c r="V99" s="185"/>
      <c r="W99" s="185"/>
    </row>
    <row r="100" ht="14.25" customHeight="1">
      <c r="A100" s="178"/>
      <c r="B100" s="12">
        <v>2232910.0</v>
      </c>
      <c r="C100" s="13">
        <v>46191.87519675926</v>
      </c>
      <c r="D100" s="179" t="s">
        <v>81</v>
      </c>
      <c r="E100" s="180" t="s">
        <v>590</v>
      </c>
      <c r="F100" s="181"/>
      <c r="G100" s="179" t="s">
        <v>128</v>
      </c>
      <c r="H100" s="190"/>
      <c r="I100" s="190"/>
      <c r="J100" s="187" t="s">
        <v>2735</v>
      </c>
      <c r="K100" s="187" t="s">
        <v>6576</v>
      </c>
      <c r="L100" s="270" t="str">
        <f>IFERROR(__xludf.DUMMYFUNCTION("IF(
  AND(D100=""Saída"", J100=""Sangria""),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"),"Confirmada")</f>
        <v>Confirmada</v>
      </c>
      <c r="M100" s="272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85">
        <f>IFERROR(__xludf.DUMMYFUNCTION("ifna(VALUE(REGEXEXTRACT(E100,""[0-9.]+[,]+[0-9]+"")))"),350.0)</f>
        <v>350</v>
      </c>
      <c r="O100" s="235"/>
      <c r="P100" s="236"/>
      <c r="Q100" s="236"/>
      <c r="R100" s="237" t="str">
        <f t="shared" si="2"/>
        <v/>
      </c>
      <c r="S100" s="236" t="str">
        <f t="shared" si="3"/>
        <v/>
      </c>
      <c r="T100" s="232" t="str">
        <f t="shared" si="4"/>
        <v/>
      </c>
      <c r="U100" s="185"/>
      <c r="V100" s="185"/>
      <c r="W100" s="185"/>
    </row>
    <row r="101" ht="14.25" customHeight="1">
      <c r="A101" s="178"/>
      <c r="B101" s="12">
        <v>2232911.0</v>
      </c>
      <c r="C101" s="13">
        <v>46191.875555555554</v>
      </c>
      <c r="D101" s="179" t="s">
        <v>81</v>
      </c>
      <c r="E101" s="180" t="s">
        <v>595</v>
      </c>
      <c r="F101" s="181"/>
      <c r="G101" s="179" t="s">
        <v>211</v>
      </c>
      <c r="H101" s="190"/>
      <c r="I101" s="190"/>
      <c r="J101" s="187" t="s">
        <v>3151</v>
      </c>
      <c r="K101" s="187"/>
      <c r="L101" s="270" t="str">
        <f>IFERROR(__xludf.DUMMYFUNCTION("IF(
  AND(D101=""Saída"", J101=""Sangria""),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76" t="str">
        <f>IFERROR(__xludf.DUMMYFUNCTION("IF(J101=""Compra de Mercadorias"",
   IF(
      COUNTIF(ARRAYFORMULA(TRIM(CLEAN(TO_TEXT(Notas!BS:BS)))), TRIM(CLEAN(TO_TEXT(B101)))) &gt; 0,
      ""Encontrada"",
      ""Não Encontrada""
   ),
"""")"),"Não Encontrada")</f>
        <v>Não Encontrada</v>
      </c>
      <c r="N101" s="185">
        <f>IFERROR(__xludf.DUMMYFUNCTION("ifna(VALUE(REGEXEXTRACT(E101,""[0-9.]+[,]+[0-9]+"")))"),128.94)</f>
        <v>128.94</v>
      </c>
      <c r="O101" s="235"/>
      <c r="P101" s="236"/>
      <c r="Q101" s="236"/>
      <c r="R101" s="237" t="str">
        <f t="shared" si="2"/>
        <v/>
      </c>
      <c r="S101" s="236" t="str">
        <f t="shared" si="3"/>
        <v/>
      </c>
      <c r="T101" s="232" t="str">
        <f t="shared" si="4"/>
        <v/>
      </c>
      <c r="U101" s="185"/>
      <c r="V101" s="185"/>
      <c r="W101" s="185"/>
    </row>
    <row r="102" ht="14.25" customHeight="1">
      <c r="A102" s="178"/>
      <c r="B102" s="12">
        <v>2236295.0</v>
      </c>
      <c r="C102" s="13">
        <v>46194.67822916667</v>
      </c>
      <c r="D102" s="179" t="s">
        <v>152</v>
      </c>
      <c r="E102" s="180" t="s">
        <v>600</v>
      </c>
      <c r="F102" s="181"/>
      <c r="G102" s="179" t="s">
        <v>158</v>
      </c>
      <c r="H102" s="190"/>
      <c r="I102" s="190"/>
      <c r="J102" s="187" t="s">
        <v>2669</v>
      </c>
      <c r="K102" s="187"/>
      <c r="L102" s="270" t="str">
        <f>IFERROR(__xludf.DUMMYFUNCTION("IF(
  AND(D102=""Saída"", J102=""Sangria""),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72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85">
        <f>IFERROR(__xludf.DUMMYFUNCTION("ifna(VALUE(REGEXEXTRACT(E102,""[0-9.]+[,]+[0-9]+"")))"),5.5)</f>
        <v>5.5</v>
      </c>
      <c r="O102" s="235"/>
      <c r="P102" s="236"/>
      <c r="Q102" s="236"/>
      <c r="R102" s="237" t="str">
        <f t="shared" si="2"/>
        <v/>
      </c>
      <c r="S102" s="236" t="str">
        <f t="shared" si="3"/>
        <v/>
      </c>
      <c r="T102" s="232" t="str">
        <f t="shared" si="4"/>
        <v/>
      </c>
      <c r="U102" s="185"/>
      <c r="V102" s="185"/>
      <c r="W102" s="185"/>
    </row>
    <row r="103" ht="14.25" customHeight="1">
      <c r="A103" s="178"/>
      <c r="B103" s="12">
        <v>2238007.0</v>
      </c>
      <c r="C103" s="13">
        <v>46195.47414351852</v>
      </c>
      <c r="D103" s="179" t="s">
        <v>81</v>
      </c>
      <c r="E103" s="180" t="s">
        <v>536</v>
      </c>
      <c r="F103" s="181"/>
      <c r="G103" s="179" t="s">
        <v>606</v>
      </c>
      <c r="H103" s="190"/>
      <c r="I103" s="190"/>
      <c r="J103" s="187" t="s">
        <v>1782</v>
      </c>
      <c r="K103" s="187"/>
      <c r="L103" s="270" t="str">
        <f>IFERROR(__xludf.DUMMYFUNCTION("IF(
  AND(D103=""Saída"", J103=""Sangria""),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74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85">
        <f>IFERROR(__xludf.DUMMYFUNCTION("ifna(VALUE(REGEXEXTRACT(E103,""[0-9.]+[,]+[0-9]+"")))"),80.0)</f>
        <v>80</v>
      </c>
      <c r="O103" s="235"/>
      <c r="P103" s="236"/>
      <c r="Q103" s="236"/>
      <c r="R103" s="237" t="str">
        <f t="shared" si="2"/>
        <v/>
      </c>
      <c r="S103" s="236" t="str">
        <f t="shared" si="3"/>
        <v/>
      </c>
      <c r="T103" s="232" t="str">
        <f t="shared" si="4"/>
        <v/>
      </c>
      <c r="U103" s="185"/>
      <c r="V103" s="185"/>
      <c r="W103" s="185"/>
    </row>
    <row r="104" ht="14.25" customHeight="1">
      <c r="A104" s="178"/>
      <c r="B104" s="12">
        <v>2238008.0</v>
      </c>
      <c r="C104" s="13">
        <v>46195.474444444444</v>
      </c>
      <c r="D104" s="179" t="s">
        <v>81</v>
      </c>
      <c r="E104" s="180" t="s">
        <v>609</v>
      </c>
      <c r="F104" s="181"/>
      <c r="G104" s="179" t="s">
        <v>427</v>
      </c>
      <c r="H104" s="190"/>
      <c r="I104" s="190"/>
      <c r="J104" s="187" t="s">
        <v>1782</v>
      </c>
      <c r="K104" s="187"/>
      <c r="L104" s="270" t="str">
        <f>IFERROR(__xludf.DUMMYFUNCTION("IF(
  AND(D104=""Saída"", J104=""Sangria""),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72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85">
        <f>IFERROR(__xludf.DUMMYFUNCTION("ifna(VALUE(REGEXEXTRACT(E104,""[0-9.]+[,]+[0-9]+"")))"),82.0)</f>
        <v>82</v>
      </c>
      <c r="O104" s="239"/>
      <c r="P104" s="240"/>
      <c r="Q104" s="240"/>
      <c r="R104" s="241" t="str">
        <f t="shared" si="2"/>
        <v/>
      </c>
      <c r="S104" s="240" t="str">
        <f t="shared" si="3"/>
        <v/>
      </c>
      <c r="T104" s="242" t="str">
        <f t="shared" si="4"/>
        <v/>
      </c>
      <c r="U104" s="185"/>
      <c r="V104" s="185"/>
      <c r="W104" s="185"/>
    </row>
    <row r="105" ht="14.25" customHeight="1">
      <c r="A105" s="178"/>
      <c r="B105" s="12">
        <v>2238018.0</v>
      </c>
      <c r="C105" s="13">
        <v>46195.49061342593</v>
      </c>
      <c r="D105" s="179" t="s">
        <v>81</v>
      </c>
      <c r="E105" s="180" t="s">
        <v>576</v>
      </c>
      <c r="F105" s="181"/>
      <c r="G105" s="179" t="s">
        <v>563</v>
      </c>
      <c r="H105" s="190"/>
      <c r="I105" s="190"/>
      <c r="J105" s="187" t="s">
        <v>3375</v>
      </c>
      <c r="K105" s="187"/>
      <c r="L105" s="270" t="str">
        <f>IFERROR(__xludf.DUMMYFUNCTION("IF(
  AND(D105=""Saída"", J105=""Sangria""),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73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85">
        <f>IFERROR(__xludf.DUMMYFUNCTION("ifna(VALUE(REGEXEXTRACT(E105,""[0-9.]+[,]+[0-9]+"")))"),18.0)</f>
        <v>18</v>
      </c>
      <c r="O105" s="25"/>
      <c r="P105" s="25"/>
      <c r="Q105" s="25"/>
      <c r="R105" s="25"/>
      <c r="S105" s="25"/>
      <c r="T105" s="25"/>
      <c r="U105" s="185"/>
      <c r="V105" s="185"/>
      <c r="W105" s="185"/>
    </row>
    <row r="106" ht="14.25" customHeight="1">
      <c r="A106" s="178"/>
      <c r="B106" s="12">
        <v>2238019.0</v>
      </c>
      <c r="C106" s="13">
        <v>46195.49159722222</v>
      </c>
      <c r="D106" s="179" t="s">
        <v>81</v>
      </c>
      <c r="E106" s="180" t="s">
        <v>411</v>
      </c>
      <c r="F106" s="181"/>
      <c r="G106" s="179" t="s">
        <v>617</v>
      </c>
      <c r="H106" s="190"/>
      <c r="I106" s="190"/>
      <c r="J106" s="187" t="s">
        <v>2735</v>
      </c>
      <c r="K106" s="187" t="s">
        <v>6576</v>
      </c>
      <c r="L106" s="270" t="str">
        <f>IFERROR(__xludf.DUMMYFUNCTION("IF(
  AND(D106=""Saída"", J106=""Sangria""),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"),"Caixa Sangria")</f>
        <v>Caixa Sangria</v>
      </c>
      <c r="M106" s="272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85">
        <f>IFERROR(__xludf.DUMMYFUNCTION("ifna(VALUE(REGEXEXTRACT(E106,""[0-9.]+[,]+[0-9]+"")))"),1450.0)</f>
        <v>1450</v>
      </c>
      <c r="O106" s="289" t="s">
        <v>6698</v>
      </c>
      <c r="W106" s="185"/>
    </row>
    <row r="107" ht="14.25" customHeight="1">
      <c r="A107" s="178"/>
      <c r="B107" s="12">
        <v>2238129.0</v>
      </c>
      <c r="C107" s="13">
        <v>46195.579560185186</v>
      </c>
      <c r="D107" s="179" t="s">
        <v>152</v>
      </c>
      <c r="E107" s="180" t="s">
        <v>623</v>
      </c>
      <c r="F107" s="181"/>
      <c r="G107" s="179" t="s">
        <v>267</v>
      </c>
      <c r="H107" s="190"/>
      <c r="I107" s="190"/>
      <c r="J107" s="187" t="s">
        <v>2669</v>
      </c>
      <c r="K107" s="187"/>
      <c r="L107" s="270" t="str">
        <f>IFERROR(__xludf.DUMMYFUNCTION("IF(
  AND(D107=""Saída"", J107=""Sangria""),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74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85">
        <f>IFERROR(__xludf.DUMMYFUNCTION("ifna(VALUE(REGEXEXTRACT(E107,""[0-9.]+[,]+[0-9]+"")))"),1.3)</f>
        <v>1.3</v>
      </c>
      <c r="O107" s="290" t="str">
        <f>IFERROR(__xludf.DUMMYFUNCTION("QUERY(B28:M507,""Select B,C,D,E,G,H,I,M where M = 'Não Encontrada'"",1)"),"ID")</f>
        <v>ID</v>
      </c>
      <c r="P107" s="290" t="str">
        <f>IFERROR(__xludf.DUMMYFUNCTION("""COMPUTED_VALUE"""),"Data")</f>
        <v>Data</v>
      </c>
      <c r="Q107" s="290" t="str">
        <f>IFERROR(__xludf.DUMMYFUNCTION("""COMPUTED_VALUE"""),"Entrada/Saída")</f>
        <v>Entrada/Saída</v>
      </c>
      <c r="R107" s="291" t="str">
        <f>IFERROR(__xludf.DUMMYFUNCTION("""COMPUTED_VALUE"""),"Valor ")</f>
        <v>Valor </v>
      </c>
      <c r="S107" s="290" t="str">
        <f>IFERROR(__xludf.DUMMYFUNCTION("""COMPUTED_VALUE"""),"Descrição")</f>
        <v>Descrição</v>
      </c>
      <c r="V107" s="292" t="str">
        <f>IFERROR(__xludf.DUMMYFUNCTION("""COMPUTED_VALUE"""),"Nota")</f>
        <v>Nota</v>
      </c>
      <c r="W107" s="185"/>
    </row>
    <row r="108" ht="14.25" customHeight="1">
      <c r="A108" s="178"/>
      <c r="B108" s="12">
        <v>2238399.0</v>
      </c>
      <c r="C108" s="13">
        <v>46195.719293981485</v>
      </c>
      <c r="D108" s="179" t="s">
        <v>81</v>
      </c>
      <c r="E108" s="180" t="s">
        <v>628</v>
      </c>
      <c r="F108" s="181"/>
      <c r="G108" s="179" t="s">
        <v>629</v>
      </c>
      <c r="H108" s="190"/>
      <c r="I108" s="190"/>
      <c r="J108" s="187" t="s">
        <v>2438</v>
      </c>
      <c r="K108" s="187"/>
      <c r="L108" s="270" t="str">
        <f>IFERROR(__xludf.DUMMYFUNCTION("IF(
  AND(D108=""Saída"", J108=""Sangria""),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72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85">
        <f>IFERROR(__xludf.DUMMYFUNCTION("ifna(VALUE(REGEXEXTRACT(E108,""[0-9.]+[,]+[0-9]+"")))"),9.56)</f>
        <v>9.56</v>
      </c>
      <c r="O108" s="293">
        <f>IFERROR(__xludf.DUMMYFUNCTION("""COMPUTED_VALUE"""),2197276.0)</f>
        <v>2197276</v>
      </c>
      <c r="P108" s="294">
        <f>IFERROR(__xludf.DUMMYFUNCTION("""COMPUTED_VALUE"""),46168.87329861111)</f>
        <v>46168.8733</v>
      </c>
      <c r="Q108" s="293" t="str">
        <f>IFERROR(__xludf.DUMMYFUNCTION("""COMPUTED_VALUE"""),"Saída")</f>
        <v>Saída</v>
      </c>
      <c r="R108" s="295" t="str">
        <f>IFERROR(__xludf.DUMMYFUNCTION("""COMPUTED_VALUE"""),"R$ 98,73")</f>
        <v>R$ 98,73</v>
      </c>
      <c r="S108" s="293" t="str">
        <f>IFERROR(__xludf.DUMMYFUNCTION("""COMPUTED_VALUE"""),"frutas")</f>
        <v>frutas</v>
      </c>
      <c r="V108" s="296" t="str">
        <f>IFERROR(__xludf.DUMMYFUNCTION("""COMPUTED_VALUE"""),"Não Encontrada")</f>
        <v>Não Encontrada</v>
      </c>
      <c r="W108" s="185"/>
    </row>
    <row r="109" ht="14.25" customHeight="1">
      <c r="A109" s="178"/>
      <c r="B109" s="12">
        <v>2238590.0</v>
      </c>
      <c r="C109" s="13">
        <v>46195.80793981482</v>
      </c>
      <c r="D109" s="179" t="s">
        <v>81</v>
      </c>
      <c r="E109" s="180" t="s">
        <v>634</v>
      </c>
      <c r="F109" s="181"/>
      <c r="G109" s="179" t="s">
        <v>313</v>
      </c>
      <c r="H109" s="190"/>
      <c r="I109" s="190"/>
      <c r="J109" s="187" t="s">
        <v>3151</v>
      </c>
      <c r="K109" s="187"/>
      <c r="L109" s="270" t="str">
        <f>IFERROR(__xludf.DUMMYFUNCTION("IF(
  AND(D109=""Saída"", J109=""Sangria""),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74" t="str">
        <f>IFERROR(__xludf.DUMMYFUNCTION("IF(J109=""Compra de Mercadorias"",
   IF(
      COUNTIF(ARRAYFORMULA(TRIM(CLEAN(TO_TEXT(Notas!BS:BS)))), TRIM(CLEAN(TO_TEXT(B109)))) &gt; 0,
      ""Encontrada"",
      ""Não Encontrada""
   ),
"""")"),"Não Encontrada")</f>
        <v>Não Encontrada</v>
      </c>
      <c r="N109" s="185">
        <f>IFERROR(__xludf.DUMMYFUNCTION("ifna(VALUE(REGEXEXTRACT(E109,""[0-9.]+[,]+[0-9]+"")))"),121.61)</f>
        <v>121.61</v>
      </c>
      <c r="O109" s="297">
        <f>IFERROR(__xludf.DUMMYFUNCTION("""COMPUTED_VALUE"""),2197278.0)</f>
        <v>2197278</v>
      </c>
      <c r="P109" s="298">
        <f>IFERROR(__xludf.DUMMYFUNCTION("""COMPUTED_VALUE"""),46168.87357638888)</f>
        <v>46168.87358</v>
      </c>
      <c r="Q109" s="297" t="str">
        <f>IFERROR(__xludf.DUMMYFUNCTION("""COMPUTED_VALUE"""),"Saída")</f>
        <v>Saída</v>
      </c>
      <c r="R109" s="299" t="str">
        <f>IFERROR(__xludf.DUMMYFUNCTION("""COMPUTED_VALUE"""),"R$ 71,27")</f>
        <v>R$ 71,27</v>
      </c>
      <c r="S109" s="297" t="str">
        <f>IFERROR(__xludf.DUMMYFUNCTION("""COMPUTED_VALUE"""),"frutas")</f>
        <v>frutas</v>
      </c>
      <c r="V109" s="300" t="str">
        <f>IFERROR(__xludf.DUMMYFUNCTION("""COMPUTED_VALUE"""),"Não Encontrada")</f>
        <v>Não Encontrada</v>
      </c>
      <c r="W109" s="185"/>
    </row>
    <row r="110" ht="14.25" customHeight="1">
      <c r="A110" s="178"/>
      <c r="B110" s="12">
        <v>2238591.0</v>
      </c>
      <c r="C110" s="13">
        <v>46195.80805555556</v>
      </c>
      <c r="D110" s="179" t="s">
        <v>81</v>
      </c>
      <c r="E110" s="180" t="s">
        <v>402</v>
      </c>
      <c r="F110" s="181"/>
      <c r="G110" s="179" t="s">
        <v>636</v>
      </c>
      <c r="H110" s="190"/>
      <c r="I110" s="190"/>
      <c r="J110" s="187" t="s">
        <v>3151</v>
      </c>
      <c r="K110" s="187"/>
      <c r="L110" s="270" t="str">
        <f>IFERROR(__xludf.DUMMYFUNCTION("IF(
  AND(D110=""Saída"", J110=""Sangria""),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72" t="str">
        <f>IFERROR(__xludf.DUMMYFUNCTION("IF(J110=""Compra de Mercadorias"",
   IF(
      COUNTIF(ARRAYFORMULA(TRIM(CLEAN(TO_TEXT(Notas!BS:BS)))), TRIM(CLEAN(TO_TEXT(B110)))) &gt; 0,
      ""Encontrada"",
      ""Não Encontrada""
   ),
"""")"),"Não Encontrada")</f>
        <v>Não Encontrada</v>
      </c>
      <c r="N110" s="185">
        <f>IFERROR(__xludf.DUMMYFUNCTION("ifna(VALUE(REGEXEXTRACT(E110,""[0-9.]+[,]+[0-9]+"")))"),20.0)</f>
        <v>20</v>
      </c>
      <c r="O110" s="293">
        <f>IFERROR(__xludf.DUMMYFUNCTION("""COMPUTED_VALUE"""),2201501.0)</f>
        <v>2201501</v>
      </c>
      <c r="P110" s="294">
        <f>IFERROR(__xludf.DUMMYFUNCTION("""COMPUTED_VALUE"""),46171.894641203704)</f>
        <v>46171.89464</v>
      </c>
      <c r="Q110" s="293" t="str">
        <f>IFERROR(__xludf.DUMMYFUNCTION("""COMPUTED_VALUE"""),"Saída")</f>
        <v>Saída</v>
      </c>
      <c r="R110" s="295" t="str">
        <f>IFERROR(__xludf.DUMMYFUNCTION("""COMPUTED_VALUE"""),"R$ 59,96")</f>
        <v>R$ 59,96</v>
      </c>
      <c r="S110" s="293" t="str">
        <f>IFERROR(__xludf.DUMMYFUNCTION("""COMPUTED_VALUE"""),"cafe funcionarios")</f>
        <v>cafe funcionarios</v>
      </c>
      <c r="V110" s="296" t="str">
        <f>IFERROR(__xludf.DUMMYFUNCTION("""COMPUTED_VALUE"""),"Não Encontrada")</f>
        <v>Não Encontrada</v>
      </c>
      <c r="W110" s="185"/>
    </row>
    <row r="111" ht="14.25" customHeight="1">
      <c r="A111" s="178"/>
      <c r="B111" s="12"/>
      <c r="C111" s="13"/>
      <c r="D111" s="179"/>
      <c r="E111" s="180"/>
      <c r="F111" s="181"/>
      <c r="G111" s="179"/>
      <c r="H111" s="190"/>
      <c r="I111" s="190"/>
      <c r="J111" s="187"/>
      <c r="K111" s="187"/>
      <c r="L111" s="270" t="str">
        <f>IFERROR(__xludf.DUMMYFUNCTION("IF(
  AND(D111=""Saída"", J111=""Sangria""),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74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85" t="str">
        <f>IFERROR(__xludf.DUMMYFUNCTION("ifna(VALUE(REGEXEXTRACT(E111,""[0-9.]+[,]+[0-9]+"")))"),"")</f>
        <v/>
      </c>
      <c r="O111" s="297">
        <f>IFERROR(__xludf.DUMMYFUNCTION("""COMPUTED_VALUE"""),2202228.0)</f>
        <v>2202228</v>
      </c>
      <c r="P111" s="298">
        <f>IFERROR(__xludf.DUMMYFUNCTION("""COMPUTED_VALUE"""),46172.625543981485)</f>
        <v>46172.62554</v>
      </c>
      <c r="Q111" s="297" t="str">
        <f>IFERROR(__xludf.DUMMYFUNCTION("""COMPUTED_VALUE"""),"Saída")</f>
        <v>Saída</v>
      </c>
      <c r="R111" s="299" t="str">
        <f>IFERROR(__xludf.DUMMYFUNCTION("""COMPUTED_VALUE"""),"R$ 227,35")</f>
        <v>R$ 227,35</v>
      </c>
      <c r="S111" s="297" t="str">
        <f>IFERROR(__xludf.DUMMYFUNCTION("""COMPUTED_VALUE"""),"frutas e cafe funcionarios")</f>
        <v>frutas e cafe funcionarios</v>
      </c>
      <c r="V111" s="300" t="str">
        <f>IFERROR(__xludf.DUMMYFUNCTION("""COMPUTED_VALUE"""),"Não Encontrada")</f>
        <v>Não Encontrada</v>
      </c>
      <c r="W111" s="185"/>
    </row>
    <row r="112" ht="14.25" customHeight="1">
      <c r="A112" s="178"/>
      <c r="B112" s="12"/>
      <c r="C112" s="13"/>
      <c r="D112" s="179"/>
      <c r="E112" s="180"/>
      <c r="F112" s="181"/>
      <c r="G112" s="179"/>
      <c r="H112" s="190"/>
      <c r="I112" s="190"/>
      <c r="J112" s="187"/>
      <c r="K112" s="187"/>
      <c r="L112" s="270" t="str">
        <f>IFERROR(__xludf.DUMMYFUNCTION("IF(
  AND(D112=""Saída"", J112=""Sangria""),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76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85" t="str">
        <f>IFERROR(__xludf.DUMMYFUNCTION("ifna(VALUE(REGEXEXTRACT(E112,""[0-9.]+[,]+[0-9]+"")))"),"")</f>
        <v/>
      </c>
      <c r="O112" s="293">
        <f>IFERROR(__xludf.DUMMYFUNCTION("""COMPUTED_VALUE"""),2205566.0)</f>
        <v>2205566</v>
      </c>
      <c r="P112" s="294">
        <f>IFERROR(__xludf.DUMMYFUNCTION("""COMPUTED_VALUE"""),46173.92166666666)</f>
        <v>46173.92167</v>
      </c>
      <c r="Q112" s="293" t="str">
        <f>IFERROR(__xludf.DUMMYFUNCTION("""COMPUTED_VALUE"""),"Saída")</f>
        <v>Saída</v>
      </c>
      <c r="R112" s="295" t="str">
        <f>IFERROR(__xludf.DUMMYFUNCTION("""COMPUTED_VALUE"""),"R$ 47,24")</f>
        <v>R$ 47,24</v>
      </c>
      <c r="S112" s="293" t="str">
        <f>IFERROR(__xludf.DUMMYFUNCTION("""COMPUTED_VALUE"""),"cafe funcionarios")</f>
        <v>cafe funcionarios</v>
      </c>
      <c r="V112" s="296" t="str">
        <f>IFERROR(__xludf.DUMMYFUNCTION("""COMPUTED_VALUE"""),"Não Encontrada")</f>
        <v>Não Encontrada</v>
      </c>
      <c r="W112" s="185"/>
    </row>
    <row r="113" ht="14.25" customHeight="1">
      <c r="A113" s="178"/>
      <c r="B113" s="12"/>
      <c r="C113" s="13"/>
      <c r="D113" s="179"/>
      <c r="E113" s="180"/>
      <c r="F113" s="181"/>
      <c r="G113" s="179"/>
      <c r="H113" s="190"/>
      <c r="I113" s="190"/>
      <c r="J113" s="187"/>
      <c r="K113" s="187"/>
      <c r="L113" s="270" t="str">
        <f>IFERROR(__xludf.DUMMYFUNCTION("IF(
  AND(D113=""Saída"", J113=""Sangria""),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74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85" t="str">
        <f>IFERROR(__xludf.DUMMYFUNCTION("ifna(VALUE(REGEXEXTRACT(E113,""[0-9.]+[,]+[0-9]+"")))"),"")</f>
        <v/>
      </c>
      <c r="O113" s="297">
        <f>IFERROR(__xludf.DUMMYFUNCTION("""COMPUTED_VALUE"""),2206865.0)</f>
        <v>2206865</v>
      </c>
      <c r="P113" s="298">
        <f>IFERROR(__xludf.DUMMYFUNCTION("""COMPUTED_VALUE"""),46174.78159722222)</f>
        <v>46174.7816</v>
      </c>
      <c r="Q113" s="297" t="str">
        <f>IFERROR(__xludf.DUMMYFUNCTION("""COMPUTED_VALUE"""),"Saída")</f>
        <v>Saída</v>
      </c>
      <c r="R113" s="299" t="str">
        <f>IFERROR(__xludf.DUMMYFUNCTION("""COMPUTED_VALUE"""),"R$ 82,75")</f>
        <v>R$ 82,75</v>
      </c>
      <c r="S113" s="297" t="str">
        <f>IFERROR(__xludf.DUMMYFUNCTION("""COMPUTED_VALUE"""),"decoração dia dos namorados")</f>
        <v>decoração dia dos namorados</v>
      </c>
      <c r="V113" s="300" t="str">
        <f>IFERROR(__xludf.DUMMYFUNCTION("""COMPUTED_VALUE"""),"Não Encontrada")</f>
        <v>Não Encontrada</v>
      </c>
      <c r="W113" s="185"/>
    </row>
    <row r="114" ht="14.25" customHeight="1">
      <c r="A114" s="178"/>
      <c r="B114" s="12"/>
      <c r="C114" s="13"/>
      <c r="D114" s="179"/>
      <c r="E114" s="180"/>
      <c r="F114" s="181"/>
      <c r="G114" s="179"/>
      <c r="H114" s="190"/>
      <c r="I114" s="190"/>
      <c r="J114" s="187"/>
      <c r="K114" s="187"/>
      <c r="L114" s="270" t="str">
        <f>IFERROR(__xludf.DUMMYFUNCTION("IF(
  AND(D114=""Saída"", J114=""Sangria""),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72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85" t="str">
        <f>IFERROR(__xludf.DUMMYFUNCTION("ifna(VALUE(REGEXEXTRACT(E114,""[0-9.]+[,]+[0-9]+"")))"),"")</f>
        <v/>
      </c>
      <c r="O114" s="293">
        <f>IFERROR(__xludf.DUMMYFUNCTION("""COMPUTED_VALUE"""),2206891.0)</f>
        <v>2206891</v>
      </c>
      <c r="P114" s="294">
        <f>IFERROR(__xludf.DUMMYFUNCTION("""COMPUTED_VALUE"""),46174.793067129634)</f>
        <v>46174.79307</v>
      </c>
      <c r="Q114" s="293" t="str">
        <f>IFERROR(__xludf.DUMMYFUNCTION("""COMPUTED_VALUE"""),"Saída")</f>
        <v>Saída</v>
      </c>
      <c r="R114" s="295" t="str">
        <f>IFERROR(__xludf.DUMMYFUNCTION("""COMPUTED_VALUE"""),"R$ 32,00")</f>
        <v>R$ 32,00</v>
      </c>
      <c r="S114" s="293" t="str">
        <f>IFERROR(__xludf.DUMMYFUNCTION("""COMPUTED_VALUE"""),"manutenção loja")</f>
        <v>manutenção loja</v>
      </c>
      <c r="V114" s="296" t="str">
        <f>IFERROR(__xludf.DUMMYFUNCTION("""COMPUTED_VALUE"""),"Não Encontrada")</f>
        <v>Não Encontrada</v>
      </c>
      <c r="W114" s="185"/>
    </row>
    <row r="115" ht="14.25" customHeight="1">
      <c r="A115" s="178"/>
      <c r="B115" s="12"/>
      <c r="C115" s="13"/>
      <c r="D115" s="179"/>
      <c r="E115" s="180"/>
      <c r="F115" s="181"/>
      <c r="G115" s="179"/>
      <c r="H115" s="190"/>
      <c r="I115" s="190"/>
      <c r="J115" s="187"/>
      <c r="K115" s="187"/>
      <c r="L115" s="270" t="str">
        <f>IFERROR(__xludf.DUMMYFUNCTION("IF(
  AND(D115=""Saída"", J115=""Sangria""),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74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85" t="str">
        <f>IFERROR(__xludf.DUMMYFUNCTION("ifna(VALUE(REGEXEXTRACT(E115,""[0-9.]+[,]+[0-9]+"")))"),"")</f>
        <v/>
      </c>
      <c r="O115" s="301">
        <f>IFERROR(__xludf.DUMMYFUNCTION("""COMPUTED_VALUE"""),2209194.0)</f>
        <v>2209194</v>
      </c>
      <c r="P115" s="302">
        <f>IFERROR(__xludf.DUMMYFUNCTION("""COMPUTED_VALUE"""),46176.62738425926)</f>
        <v>46176.62738</v>
      </c>
      <c r="Q115" s="301" t="str">
        <f>IFERROR(__xludf.DUMMYFUNCTION("""COMPUTED_VALUE"""),"Saída")</f>
        <v>Saída</v>
      </c>
      <c r="R115" s="303" t="str">
        <f>IFERROR(__xludf.DUMMYFUNCTION("""COMPUTED_VALUE"""),"R$ 86,87")</f>
        <v>R$ 86,87</v>
      </c>
      <c r="S115" s="301" t="str">
        <f>IFERROR(__xludf.DUMMYFUNCTION("""COMPUTED_VALUE"""),"enfeite dia dos namorados")</f>
        <v>enfeite dia dos namorados</v>
      </c>
      <c r="V115" s="304" t="str">
        <f>IFERROR(__xludf.DUMMYFUNCTION("""COMPUTED_VALUE"""),"Não Encontrada")</f>
        <v>Não Encontrada</v>
      </c>
      <c r="W115" s="185"/>
    </row>
    <row r="116" ht="14.25" customHeight="1">
      <c r="A116" s="178"/>
      <c r="B116" s="12"/>
      <c r="C116" s="13"/>
      <c r="D116" s="179"/>
      <c r="E116" s="180"/>
      <c r="F116" s="181"/>
      <c r="G116" s="179"/>
      <c r="H116" s="190"/>
      <c r="I116" s="190"/>
      <c r="J116" s="187"/>
      <c r="K116" s="187"/>
      <c r="L116" s="270" t="str">
        <f>IFERROR(__xludf.DUMMYFUNCTION("IF(
  AND(D116=""Saída"", J116=""Sangria""),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72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85" t="str">
        <f>IFERROR(__xludf.DUMMYFUNCTION("ifna(VALUE(REGEXEXTRACT(E116,""[0-9.]+[,]+[0-9]+"")))"),"")</f>
        <v/>
      </c>
      <c r="O116" s="305">
        <f>IFERROR(__xludf.DUMMYFUNCTION("""COMPUTED_VALUE"""),2209724.0)</f>
        <v>2209724</v>
      </c>
      <c r="P116" s="306">
        <f>IFERROR(__xludf.DUMMYFUNCTION("""COMPUTED_VALUE"""),46176.80887731482)</f>
        <v>46176.80888</v>
      </c>
      <c r="Q116" s="305" t="str">
        <f>IFERROR(__xludf.DUMMYFUNCTION("""COMPUTED_VALUE"""),"Saída")</f>
        <v>Saída</v>
      </c>
      <c r="R116" s="307" t="str">
        <f>IFERROR(__xludf.DUMMYFUNCTION("""COMPUTED_VALUE"""),"R$ 524,76")</f>
        <v>R$ 524,76</v>
      </c>
      <c r="S116" s="305" t="str">
        <f>IFERROR(__xludf.DUMMYFUNCTION("""COMPUTED_VALUE"""),"FRUTAS E CAFE FUNCIONARIOS")</f>
        <v>FRUTAS E CAFE FUNCIONARIOS</v>
      </c>
      <c r="V116" s="308" t="str">
        <f>IFERROR(__xludf.DUMMYFUNCTION("""COMPUTED_VALUE"""),"Não Encontrada")</f>
        <v>Não Encontrada</v>
      </c>
      <c r="W116" s="185"/>
    </row>
    <row r="117" ht="14.25" customHeight="1">
      <c r="A117" s="178"/>
      <c r="B117" s="12"/>
      <c r="C117" s="13"/>
      <c r="D117" s="179"/>
      <c r="E117" s="180"/>
      <c r="F117" s="181"/>
      <c r="G117" s="179"/>
      <c r="H117" s="190"/>
      <c r="I117" s="190"/>
      <c r="J117" s="187"/>
      <c r="K117" s="187"/>
      <c r="L117" s="270" t="str">
        <f>IFERROR(__xludf.DUMMYFUNCTION("IF(
  AND(D117=""Saída"", J117=""Sangria""),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74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85" t="str">
        <f>IFERROR(__xludf.DUMMYFUNCTION("ifna(VALUE(REGEXEXTRACT(E117,""[0-9.]+[,]+[0-9]+"")))"),"")</f>
        <v/>
      </c>
      <c r="O117" s="301">
        <f>IFERROR(__xludf.DUMMYFUNCTION("""COMPUTED_VALUE"""),2209729.0)</f>
        <v>2209729</v>
      </c>
      <c r="P117" s="302">
        <f>IFERROR(__xludf.DUMMYFUNCTION("""COMPUTED_VALUE"""),46176.80917824074)</f>
        <v>46176.80918</v>
      </c>
      <c r="Q117" s="301" t="str">
        <f>IFERROR(__xludf.DUMMYFUNCTION("""COMPUTED_VALUE"""),"Saída")</f>
        <v>Saída</v>
      </c>
      <c r="R117" s="303" t="str">
        <f>IFERROR(__xludf.DUMMYFUNCTION("""COMPUTED_VALUE"""),"R$ 12,97")</f>
        <v>R$ 12,97</v>
      </c>
      <c r="S117" s="301" t="str">
        <f>IFERROR(__xludf.DUMMYFUNCTION("""COMPUTED_VALUE"""),"DECORAÇÃO DIA DOS NAMORADOS")</f>
        <v>DECORAÇÃO DIA DOS NAMORADOS</v>
      </c>
      <c r="V117" s="304" t="str">
        <f>IFERROR(__xludf.DUMMYFUNCTION("""COMPUTED_VALUE"""),"Não Encontrada")</f>
        <v>Não Encontrada</v>
      </c>
      <c r="W117" s="185"/>
    </row>
    <row r="118" ht="14.25" customHeight="1">
      <c r="A118" s="178"/>
      <c r="B118" s="12"/>
      <c r="C118" s="13"/>
      <c r="D118" s="179"/>
      <c r="E118" s="180"/>
      <c r="F118" s="181"/>
      <c r="G118" s="179"/>
      <c r="H118" s="190"/>
      <c r="I118" s="190"/>
      <c r="J118" s="187"/>
      <c r="K118" s="187"/>
      <c r="L118" s="270" t="str">
        <f>IFERROR(__xludf.DUMMYFUNCTION("IF(
  AND(D118=""Saída"", J118=""Sangria""),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72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85" t="str">
        <f>IFERROR(__xludf.DUMMYFUNCTION("ifna(VALUE(REGEXEXTRACT(E118,""[0-9.]+[,]+[0-9]+"")))"),"")</f>
        <v/>
      </c>
      <c r="O118" s="305">
        <f>IFERROR(__xludf.DUMMYFUNCTION("""COMPUTED_VALUE"""),2209876.0)</f>
        <v>2209876</v>
      </c>
      <c r="P118" s="306">
        <f>IFERROR(__xludf.DUMMYFUNCTION("""COMPUTED_VALUE"""),46176.871724537035)</f>
        <v>46176.87172</v>
      </c>
      <c r="Q118" s="305" t="str">
        <f>IFERROR(__xludf.DUMMYFUNCTION("""COMPUTED_VALUE"""),"Saída")</f>
        <v>Saída</v>
      </c>
      <c r="R118" s="307" t="str">
        <f>IFERROR(__xludf.DUMMYFUNCTION("""COMPUTED_VALUE"""),"R$ 22,00")</f>
        <v>R$ 22,00</v>
      </c>
      <c r="S118" s="305" t="str">
        <f>IFERROR(__xludf.DUMMYFUNCTION("""COMPUTED_VALUE"""),"DECORAÇÃO COPA")</f>
        <v>DECORAÇÃO COPA</v>
      </c>
      <c r="V118" s="308" t="str">
        <f>IFERROR(__xludf.DUMMYFUNCTION("""COMPUTED_VALUE"""),"Não Encontrada")</f>
        <v>Não Encontrada</v>
      </c>
      <c r="W118" s="185"/>
    </row>
    <row r="119" ht="14.25" customHeight="1">
      <c r="A119" s="178"/>
      <c r="B119" s="12"/>
      <c r="C119" s="13"/>
      <c r="D119" s="179"/>
      <c r="E119" s="180"/>
      <c r="F119" s="181"/>
      <c r="G119" s="179"/>
      <c r="H119" s="190"/>
      <c r="I119" s="190"/>
      <c r="J119" s="187"/>
      <c r="K119" s="187"/>
      <c r="L119" s="270" t="str">
        <f>IFERROR(__xludf.DUMMYFUNCTION("IF(
  AND(D119=""Saída"", J119=""Sangria""),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74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85" t="str">
        <f>IFERROR(__xludf.DUMMYFUNCTION("ifna(VALUE(REGEXEXTRACT(E119,""[0-9.]+[,]+[0-9]+"")))"),"")</f>
        <v/>
      </c>
      <c r="O119" s="301">
        <f>IFERROR(__xludf.DUMMYFUNCTION("""COMPUTED_VALUE"""),2209958.0)</f>
        <v>2209958</v>
      </c>
      <c r="P119" s="302">
        <f>IFERROR(__xludf.DUMMYFUNCTION("""COMPUTED_VALUE"""),46176.89496527778)</f>
        <v>46176.89497</v>
      </c>
      <c r="Q119" s="301" t="str">
        <f>IFERROR(__xludf.DUMMYFUNCTION("""COMPUTED_VALUE"""),"Saída")</f>
        <v>Saída</v>
      </c>
      <c r="R119" s="303" t="str">
        <f>IFERROR(__xludf.DUMMYFUNCTION("""COMPUTED_VALUE"""),"R$ 10,00")</f>
        <v>R$ 10,00</v>
      </c>
      <c r="S119" s="301" t="str">
        <f>IFERROR(__xludf.DUMMYFUNCTION("""COMPUTED_VALUE"""),"uber")</f>
        <v>uber</v>
      </c>
      <c r="V119" s="304" t="str">
        <f>IFERROR(__xludf.DUMMYFUNCTION("""COMPUTED_VALUE"""),"Não Encontrada")</f>
        <v>Não Encontrada</v>
      </c>
      <c r="W119" s="185"/>
    </row>
    <row r="120" ht="14.25" customHeight="1">
      <c r="A120" s="178"/>
      <c r="B120" s="12"/>
      <c r="C120" s="13"/>
      <c r="D120" s="179"/>
      <c r="E120" s="180"/>
      <c r="F120" s="188"/>
      <c r="G120" s="179"/>
      <c r="H120" s="190"/>
      <c r="I120" s="190"/>
      <c r="J120" s="187"/>
      <c r="K120" s="187"/>
      <c r="L120" s="270" t="str">
        <f>IFERROR(__xludf.DUMMYFUNCTION("IF(
  AND(D120=""Saída"", J120=""Sangria""),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72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85" t="str">
        <f>IFERROR(__xludf.DUMMYFUNCTION("ifna(VALUE(REGEXEXTRACT(E120,""[0-9.]+[,]+[0-9]+"")))"),"")</f>
        <v/>
      </c>
      <c r="O120" s="305">
        <f>IFERROR(__xludf.DUMMYFUNCTION("""COMPUTED_VALUE"""),2215290.0)</f>
        <v>2215290</v>
      </c>
      <c r="P120" s="306">
        <f>IFERROR(__xludf.DUMMYFUNCTION("""COMPUTED_VALUE"""),46179.858090277776)</f>
        <v>46179.85809</v>
      </c>
      <c r="Q120" s="305" t="str">
        <f>IFERROR(__xludf.DUMMYFUNCTION("""COMPUTED_VALUE"""),"Saída")</f>
        <v>Saída</v>
      </c>
      <c r="R120" s="307" t="str">
        <f>IFERROR(__xludf.DUMMYFUNCTION("""COMPUTED_VALUE"""),"R$ 125,06")</f>
        <v>R$ 125,06</v>
      </c>
      <c r="S120" s="305" t="str">
        <f>IFERROR(__xludf.DUMMYFUNCTION("""COMPUTED_VALUE"""),"frutas")</f>
        <v>frutas</v>
      </c>
      <c r="V120" s="308" t="str">
        <f>IFERROR(__xludf.DUMMYFUNCTION("""COMPUTED_VALUE"""),"Não Encontrada")</f>
        <v>Não Encontrada</v>
      </c>
      <c r="W120" s="185"/>
    </row>
    <row r="121" ht="14.25" customHeight="1">
      <c r="A121" s="178"/>
      <c r="B121" s="12"/>
      <c r="C121" s="13"/>
      <c r="D121" s="179"/>
      <c r="E121" s="180"/>
      <c r="F121" s="188"/>
      <c r="G121" s="179"/>
      <c r="H121" s="190"/>
      <c r="I121" s="190"/>
      <c r="J121" s="187"/>
      <c r="K121" s="187"/>
      <c r="L121" s="270" t="str">
        <f>IFERROR(__xludf.DUMMYFUNCTION("IF(
  AND(D121=""Saída"", J121=""Sangria""),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74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85" t="str">
        <f>IFERROR(__xludf.DUMMYFUNCTION("ifna(VALUE(REGEXEXTRACT(E121,""[0-9.]+[,]+[0-9]+"")))"),"")</f>
        <v/>
      </c>
      <c r="O121" s="301">
        <f>IFERROR(__xludf.DUMMYFUNCTION("""COMPUTED_VALUE"""),2220778.0)</f>
        <v>2220778</v>
      </c>
      <c r="P121" s="302">
        <f>IFERROR(__xludf.DUMMYFUNCTION("""COMPUTED_VALUE"""),46182.894641203704)</f>
        <v>46182.89464</v>
      </c>
      <c r="Q121" s="301" t="str">
        <f>IFERROR(__xludf.DUMMYFUNCTION("""COMPUTED_VALUE"""),"Saída")</f>
        <v>Saída</v>
      </c>
      <c r="R121" s="303" t="str">
        <f>IFERROR(__xludf.DUMMYFUNCTION("""COMPUTED_VALUE"""),"R$ 210,00")</f>
        <v>R$ 210,00</v>
      </c>
      <c r="S121" s="301" t="str">
        <f>IFERROR(__xludf.DUMMYFUNCTION("""COMPUTED_VALUE"""),"RENOVAÇÃO DOS EXTINTORES")</f>
        <v>RENOVAÇÃO DOS EXTINTORES</v>
      </c>
      <c r="V121" s="304" t="str">
        <f>IFERROR(__xludf.DUMMYFUNCTION("""COMPUTED_VALUE"""),"Não Encontrada")</f>
        <v>Não Encontrada</v>
      </c>
      <c r="W121" s="185"/>
    </row>
    <row r="122" ht="14.25" customHeight="1">
      <c r="A122" s="178"/>
      <c r="B122" s="12"/>
      <c r="C122" s="13"/>
      <c r="D122" s="179"/>
      <c r="E122" s="180"/>
      <c r="F122" s="181"/>
      <c r="G122" s="179"/>
      <c r="H122" s="190"/>
      <c r="I122" s="190"/>
      <c r="J122" s="187"/>
      <c r="K122" s="187"/>
      <c r="L122" s="270" t="str">
        <f>IFERROR(__xludf.DUMMYFUNCTION("IF(
  AND(D122=""Saída"", J122=""Sangria""),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72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85" t="str">
        <f>IFERROR(__xludf.DUMMYFUNCTION("ifna(VALUE(REGEXEXTRACT(E122,""[0-9.]+[,]+[0-9]+"")))"),"")</f>
        <v/>
      </c>
      <c r="O122" s="305">
        <f>IFERROR(__xludf.DUMMYFUNCTION("""COMPUTED_VALUE"""),2220782.0)</f>
        <v>2220782</v>
      </c>
      <c r="P122" s="306">
        <f>IFERROR(__xludf.DUMMYFUNCTION("""COMPUTED_VALUE"""),46182.89601851851)</f>
        <v>46182.89602</v>
      </c>
      <c r="Q122" s="305" t="str">
        <f>IFERROR(__xludf.DUMMYFUNCTION("""COMPUTED_VALUE"""),"Saída")</f>
        <v>Saída</v>
      </c>
      <c r="R122" s="307" t="str">
        <f>IFERROR(__xludf.DUMMYFUNCTION("""COMPUTED_VALUE"""),"R$ 200,00")</f>
        <v>R$ 200,00</v>
      </c>
      <c r="S122" s="305" t="str">
        <f>IFERROR(__xludf.DUMMYFUNCTION("""COMPUTED_VALUE"""),"FRUTAS")</f>
        <v>FRUTAS</v>
      </c>
      <c r="V122" s="308" t="str">
        <f>IFERROR(__xludf.DUMMYFUNCTION("""COMPUTED_VALUE"""),"Não Encontrada")</f>
        <v>Não Encontrada</v>
      </c>
      <c r="W122" s="185"/>
    </row>
    <row r="123" ht="14.25" customHeight="1">
      <c r="A123" s="178"/>
      <c r="B123" s="12"/>
      <c r="C123" s="13"/>
      <c r="D123" s="179"/>
      <c r="E123" s="180"/>
      <c r="F123" s="188"/>
      <c r="G123" s="179"/>
      <c r="H123" s="190"/>
      <c r="I123" s="190"/>
      <c r="J123" s="187"/>
      <c r="K123" s="187"/>
      <c r="L123" s="270" t="str">
        <f>IFERROR(__xludf.DUMMYFUNCTION("IF(
  AND(D123=""Saída"", J123=""Sangria""),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74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85" t="str">
        <f>IFERROR(__xludf.DUMMYFUNCTION("ifna(VALUE(REGEXEXTRACT(E123,""[0-9.]+[,]+[0-9]+"")))"),"")</f>
        <v/>
      </c>
      <c r="O123" s="301">
        <f>IFERROR(__xludf.DUMMYFUNCTION("""COMPUTED_VALUE"""),2229177.0)</f>
        <v>2229177</v>
      </c>
      <c r="P123" s="302">
        <f>IFERROR(__xludf.DUMMYFUNCTION("""COMPUTED_VALUE"""),46188.87862268518)</f>
        <v>46188.87862</v>
      </c>
      <c r="Q123" s="301" t="str">
        <f>IFERROR(__xludf.DUMMYFUNCTION("""COMPUTED_VALUE"""),"Saída")</f>
        <v>Saída</v>
      </c>
      <c r="R123" s="303" t="str">
        <f>IFERROR(__xludf.DUMMYFUNCTION("""COMPUTED_VALUE"""),"R$ 143,48")</f>
        <v>R$ 143,48</v>
      </c>
      <c r="S123" s="301" t="str">
        <f>IFERROR(__xludf.DUMMYFUNCTION("""COMPUTED_VALUE"""),"FRUTAS")</f>
        <v>FRUTAS</v>
      </c>
      <c r="V123" s="304" t="str">
        <f>IFERROR(__xludf.DUMMYFUNCTION("""COMPUTED_VALUE"""),"Não Encontrada")</f>
        <v>Não Encontrada</v>
      </c>
      <c r="W123" s="185"/>
    </row>
    <row r="124" ht="14.25" customHeight="1">
      <c r="A124" s="178"/>
      <c r="B124" s="12"/>
      <c r="C124" s="13"/>
      <c r="D124" s="179"/>
      <c r="E124" s="180"/>
      <c r="F124" s="181"/>
      <c r="G124" s="179"/>
      <c r="H124" s="190"/>
      <c r="I124" s="190"/>
      <c r="J124" s="187"/>
      <c r="K124" s="187"/>
      <c r="L124" s="270" t="str">
        <f>IFERROR(__xludf.DUMMYFUNCTION("IF(
  AND(D124=""Saída"", J124=""Sangria""),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72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85" t="str">
        <f>IFERROR(__xludf.DUMMYFUNCTION("ifna(VALUE(REGEXEXTRACT(E124,""[0-9.]+[,]+[0-9]+"")))"),"")</f>
        <v/>
      </c>
      <c r="O124" s="305">
        <f>IFERROR(__xludf.DUMMYFUNCTION("""COMPUTED_VALUE"""),2229179.0)</f>
        <v>2229179</v>
      </c>
      <c r="P124" s="306">
        <f>IFERROR(__xludf.DUMMYFUNCTION("""COMPUTED_VALUE"""),46188.87883101852)</f>
        <v>46188.87883</v>
      </c>
      <c r="Q124" s="305" t="str">
        <f>IFERROR(__xludf.DUMMYFUNCTION("""COMPUTED_VALUE"""),"Saída")</f>
        <v>Saída</v>
      </c>
      <c r="R124" s="307" t="str">
        <f>IFERROR(__xludf.DUMMYFUNCTION("""COMPUTED_VALUE"""),"R$ 13,99")</f>
        <v>R$ 13,99</v>
      </c>
      <c r="S124" s="305" t="str">
        <f>IFERROR(__xludf.DUMMYFUNCTION("""COMPUTED_VALUE"""),"PILHAS CONTROLE TV")</f>
        <v>PILHAS CONTROLE TV</v>
      </c>
      <c r="V124" s="308" t="str">
        <f>IFERROR(__xludf.DUMMYFUNCTION("""COMPUTED_VALUE"""),"Não Encontrada")</f>
        <v>Não Encontrada</v>
      </c>
      <c r="W124" s="185"/>
    </row>
    <row r="125" ht="14.25" customHeight="1">
      <c r="A125" s="178"/>
      <c r="B125" s="12"/>
      <c r="C125" s="13"/>
      <c r="D125" s="179"/>
      <c r="E125" s="180"/>
      <c r="F125" s="181"/>
      <c r="G125" s="179"/>
      <c r="H125" s="190"/>
      <c r="I125" s="190"/>
      <c r="J125" s="187"/>
      <c r="K125" s="187"/>
      <c r="L125" s="270" t="str">
        <f>IFERROR(__xludf.DUMMYFUNCTION("IF(
  AND(D125=""Saída"", J125=""Sangria""),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74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85" t="str">
        <f>IFERROR(__xludf.DUMMYFUNCTION("ifna(VALUE(REGEXEXTRACT(E125,""[0-9.]+[,]+[0-9]+"")))"),"")</f>
        <v/>
      </c>
      <c r="O125" s="301">
        <f>IFERROR(__xludf.DUMMYFUNCTION("""COMPUTED_VALUE"""),2232911.0)</f>
        <v>2232911</v>
      </c>
      <c r="P125" s="302">
        <f>IFERROR(__xludf.DUMMYFUNCTION("""COMPUTED_VALUE"""),46191.875555555554)</f>
        <v>46191.87556</v>
      </c>
      <c r="Q125" s="301" t="str">
        <f>IFERROR(__xludf.DUMMYFUNCTION("""COMPUTED_VALUE"""),"Saída")</f>
        <v>Saída</v>
      </c>
      <c r="R125" s="303" t="str">
        <f>IFERROR(__xludf.DUMMYFUNCTION("""COMPUTED_VALUE"""),"R$ 128,94")</f>
        <v>R$ 128,94</v>
      </c>
      <c r="S125" s="301" t="str">
        <f>IFERROR(__xludf.DUMMYFUNCTION("""COMPUTED_VALUE"""),"frutas e cafe funcionarios")</f>
        <v>frutas e cafe funcionarios</v>
      </c>
      <c r="V125" s="304" t="str">
        <f>IFERROR(__xludf.DUMMYFUNCTION("""COMPUTED_VALUE"""),"Não Encontrada")</f>
        <v>Não Encontrada</v>
      </c>
      <c r="W125" s="185"/>
    </row>
    <row r="126" ht="14.25" customHeight="1">
      <c r="A126" s="178"/>
      <c r="B126" s="12"/>
      <c r="C126" s="13"/>
      <c r="D126" s="179"/>
      <c r="E126" s="180"/>
      <c r="F126" s="181"/>
      <c r="G126" s="179"/>
      <c r="H126" s="190"/>
      <c r="I126" s="190"/>
      <c r="J126" s="187"/>
      <c r="K126" s="187"/>
      <c r="L126" s="270" t="str">
        <f>IFERROR(__xludf.DUMMYFUNCTION("IF(
  AND(D126=""Saída"", J126=""Sangria""),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72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85" t="str">
        <f>IFERROR(__xludf.DUMMYFUNCTION("ifna(VALUE(REGEXEXTRACT(E126,""[0-9.]+[,]+[0-9]+"")))"),"")</f>
        <v/>
      </c>
      <c r="O126" s="305">
        <f>IFERROR(__xludf.DUMMYFUNCTION("""COMPUTED_VALUE"""),2238590.0)</f>
        <v>2238590</v>
      </c>
      <c r="P126" s="306">
        <f>IFERROR(__xludf.DUMMYFUNCTION("""COMPUTED_VALUE"""),46195.80793981481)</f>
        <v>46195.80794</v>
      </c>
      <c r="Q126" s="305" t="str">
        <f>IFERROR(__xludf.DUMMYFUNCTION("""COMPUTED_VALUE"""),"Saída")</f>
        <v>Saída</v>
      </c>
      <c r="R126" s="307" t="str">
        <f>IFERROR(__xludf.DUMMYFUNCTION("""COMPUTED_VALUE"""),"R$ 121,61")</f>
        <v>R$ 121,61</v>
      </c>
      <c r="S126" s="305" t="str">
        <f>IFERROR(__xludf.DUMMYFUNCTION("""COMPUTED_VALUE"""),"FRUTAS E CAFE FUNCIONARIOS")</f>
        <v>FRUTAS E CAFE FUNCIONARIOS</v>
      </c>
      <c r="V126" s="308" t="str">
        <f>IFERROR(__xludf.DUMMYFUNCTION("""COMPUTED_VALUE"""),"Não Encontrada")</f>
        <v>Não Encontrada</v>
      </c>
      <c r="W126" s="185"/>
    </row>
    <row r="127" ht="14.25" customHeight="1">
      <c r="A127" s="178"/>
      <c r="B127" s="12"/>
      <c r="C127" s="13"/>
      <c r="D127" s="179"/>
      <c r="E127" s="180"/>
      <c r="F127" s="188"/>
      <c r="G127" s="179"/>
      <c r="H127" s="190"/>
      <c r="I127" s="190"/>
      <c r="J127" s="187"/>
      <c r="K127" s="187"/>
      <c r="L127" s="270" t="str">
        <f>IFERROR(__xludf.DUMMYFUNCTION("IF(
  AND(D127=""Saída"", J127=""Sangria""),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74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85" t="str">
        <f>IFERROR(__xludf.DUMMYFUNCTION("ifna(VALUE(REGEXEXTRACT(E127,""[0-9.]+[,]+[0-9]+"")))"),"")</f>
        <v/>
      </c>
      <c r="O127" s="301">
        <f>IFERROR(__xludf.DUMMYFUNCTION("""COMPUTED_VALUE"""),2238591.0)</f>
        <v>2238591</v>
      </c>
      <c r="P127" s="302">
        <f>IFERROR(__xludf.DUMMYFUNCTION("""COMPUTED_VALUE"""),46195.80805555556)</f>
        <v>46195.80806</v>
      </c>
      <c r="Q127" s="301" t="str">
        <f>IFERROR(__xludf.DUMMYFUNCTION("""COMPUTED_VALUE"""),"Saída")</f>
        <v>Saída</v>
      </c>
      <c r="R127" s="303" t="str">
        <f>IFERROR(__xludf.DUMMYFUNCTION("""COMPUTED_VALUE"""),"R$ 20,00")</f>
        <v>R$ 20,00</v>
      </c>
      <c r="S127" s="301" t="str">
        <f>IFERROR(__xludf.DUMMYFUNCTION("""COMPUTED_VALUE"""),"UBER")</f>
        <v>UBER</v>
      </c>
      <c r="V127" s="304" t="str">
        <f>IFERROR(__xludf.DUMMYFUNCTION("""COMPUTED_VALUE"""),"Não Encontrada")</f>
        <v>Não Encontrada</v>
      </c>
      <c r="W127" s="185"/>
    </row>
    <row r="128" ht="14.25" customHeight="1">
      <c r="A128" s="178"/>
      <c r="B128" s="12"/>
      <c r="C128" s="13"/>
      <c r="D128" s="179"/>
      <c r="E128" s="180"/>
      <c r="F128" s="181"/>
      <c r="G128" s="179"/>
      <c r="H128" s="190"/>
      <c r="I128" s="190"/>
      <c r="J128" s="187"/>
      <c r="K128" s="187"/>
      <c r="L128" s="270" t="str">
        <f>IFERROR(__xludf.DUMMYFUNCTION("IF(
  AND(D128=""Saída"", J128=""Sangria""),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72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85" t="str">
        <f>IFERROR(__xludf.DUMMYFUNCTION("ifna(VALUE(REGEXEXTRACT(E128,""[0-9.]+[,]+[0-9]+"")))"),"")</f>
        <v/>
      </c>
      <c r="O128" s="308"/>
      <c r="P128" s="313"/>
      <c r="Q128" s="308"/>
      <c r="R128" s="307"/>
      <c r="S128" s="308"/>
      <c r="V128" s="308"/>
      <c r="W128" s="185"/>
    </row>
    <row r="129" ht="14.25" customHeight="1">
      <c r="A129" s="178"/>
      <c r="B129" s="12"/>
      <c r="C129" s="13"/>
      <c r="D129" s="179"/>
      <c r="E129" s="180"/>
      <c r="F129" s="181"/>
      <c r="G129" s="179"/>
      <c r="H129" s="190"/>
      <c r="I129" s="190"/>
      <c r="J129" s="187"/>
      <c r="K129" s="187"/>
      <c r="L129" s="270" t="str">
        <f>IFERROR(__xludf.DUMMYFUNCTION("IF(
  AND(D129=""Saída"", J129=""Sangria""),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74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85" t="str">
        <f>IFERROR(__xludf.DUMMYFUNCTION("ifna(VALUE(REGEXEXTRACT(E129,""[0-9.]+[,]+[0-9]+"")))"),"")</f>
        <v/>
      </c>
      <c r="O129" s="304"/>
      <c r="P129" s="312"/>
      <c r="Q129" s="304"/>
      <c r="R129" s="303"/>
      <c r="S129" s="304"/>
      <c r="V129" s="304"/>
      <c r="W129" s="185"/>
    </row>
    <row r="130" ht="14.25" customHeight="1">
      <c r="A130" s="178"/>
      <c r="B130" s="12"/>
      <c r="C130" s="13"/>
      <c r="D130" s="179"/>
      <c r="E130" s="180"/>
      <c r="F130" s="181"/>
      <c r="G130" s="179"/>
      <c r="H130" s="190"/>
      <c r="I130" s="190"/>
      <c r="J130" s="187"/>
      <c r="K130" s="187"/>
      <c r="L130" s="270" t="str">
        <f>IFERROR(__xludf.DUMMYFUNCTION("IF(
  AND(D130=""Saída"", J130=""Sangria""),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72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85" t="str">
        <f>IFERROR(__xludf.DUMMYFUNCTION("ifna(VALUE(REGEXEXTRACT(E130,""[0-9.]+[,]+[0-9]+"")))"),"")</f>
        <v/>
      </c>
      <c r="O130" s="305"/>
      <c r="P130" s="311"/>
      <c r="Q130" s="305"/>
      <c r="R130" s="307"/>
      <c r="S130" s="305"/>
      <c r="V130" s="305"/>
      <c r="W130" s="25"/>
    </row>
    <row r="131" ht="14.25" customHeight="1">
      <c r="A131" s="178"/>
      <c r="B131" s="12"/>
      <c r="C131" s="13"/>
      <c r="D131" s="179"/>
      <c r="E131" s="180"/>
      <c r="F131" s="181"/>
      <c r="G131" s="179"/>
      <c r="H131" s="190"/>
      <c r="I131" s="190"/>
      <c r="J131" s="187"/>
      <c r="K131" s="187"/>
      <c r="L131" s="270" t="str">
        <f>IFERROR(__xludf.DUMMYFUNCTION("IF(
  AND(D131=""Saída"", J131=""Sangria""),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76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85" t="str">
        <f>IFERROR(__xludf.DUMMYFUNCTION("ifna(VALUE(REGEXEXTRACT(E131,""[0-9.]+[,]+[0-9]+"")))"),"")</f>
        <v/>
      </c>
      <c r="O131" s="309"/>
      <c r="P131" s="321"/>
      <c r="Q131" s="301"/>
      <c r="R131" s="303"/>
      <c r="S131" s="301"/>
      <c r="V131" s="301"/>
      <c r="W131" s="25"/>
    </row>
    <row r="132" ht="14.25" customHeight="1">
      <c r="A132" s="178"/>
      <c r="B132" s="12"/>
      <c r="C132" s="13"/>
      <c r="D132" s="179"/>
      <c r="E132" s="180"/>
      <c r="F132" s="181"/>
      <c r="G132" s="179"/>
      <c r="H132" s="190"/>
      <c r="I132" s="190"/>
      <c r="J132" s="187"/>
      <c r="K132" s="187"/>
      <c r="L132" s="270" t="str">
        <f>IFERROR(__xludf.DUMMYFUNCTION("IF(
  AND(D132=""Saída"", J132=""Sangria""),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72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85" t="str">
        <f>IFERROR(__xludf.DUMMYFUNCTION("ifna(VALUE(REGEXEXTRACT(E132,""[0-9.]+[,]+[0-9]+"")))"),"")</f>
        <v/>
      </c>
      <c r="O132" s="305"/>
      <c r="P132" s="311"/>
      <c r="Q132" s="305"/>
      <c r="R132" s="307"/>
      <c r="S132" s="305"/>
      <c r="V132" s="305"/>
      <c r="W132" s="25"/>
    </row>
    <row r="133" ht="14.25" customHeight="1">
      <c r="A133" s="178"/>
      <c r="B133" s="12"/>
      <c r="C133" s="13"/>
      <c r="D133" s="179"/>
      <c r="E133" s="180"/>
      <c r="F133" s="181"/>
      <c r="G133" s="179"/>
      <c r="H133" s="190"/>
      <c r="I133" s="190"/>
      <c r="J133" s="187"/>
      <c r="K133" s="187"/>
      <c r="L133" s="270" t="str">
        <f>IFERROR(__xludf.DUMMYFUNCTION("IF(
  AND(D133=""Saída"", J133=""Sangria""),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74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85" t="str">
        <f>IFERROR(__xludf.DUMMYFUNCTION("ifna(VALUE(REGEXEXTRACT(E133,""[0-9.]+[,]+[0-9]+"")))"),"")</f>
        <v/>
      </c>
      <c r="O133" s="301"/>
      <c r="P133" s="321"/>
      <c r="Q133" s="301"/>
      <c r="R133" s="303"/>
      <c r="S133" s="301"/>
      <c r="V133" s="301"/>
      <c r="W133" s="25"/>
    </row>
    <row r="134" ht="14.25" customHeight="1">
      <c r="A134" s="178"/>
      <c r="B134" s="12"/>
      <c r="C134" s="13"/>
      <c r="D134" s="179"/>
      <c r="E134" s="180"/>
      <c r="F134" s="181"/>
      <c r="G134" s="179"/>
      <c r="H134" s="190"/>
      <c r="I134" s="190"/>
      <c r="J134" s="187"/>
      <c r="K134" s="187"/>
      <c r="L134" s="270" t="str">
        <f>IFERROR(__xludf.DUMMYFUNCTION("IF(
  AND(D134=""Saída"", J134=""Sangria""),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72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85" t="str">
        <f>IFERROR(__xludf.DUMMYFUNCTION("ifna(VALUE(REGEXEXTRACT(E134,""[0-9.]+[,]+[0-9]+"")))"),"")</f>
        <v/>
      </c>
      <c r="O134" s="305"/>
      <c r="P134" s="311"/>
      <c r="Q134" s="305"/>
      <c r="R134" s="307"/>
      <c r="S134" s="305"/>
      <c r="V134" s="305"/>
      <c r="W134" s="25"/>
    </row>
    <row r="135" ht="14.25" customHeight="1">
      <c r="A135" s="178"/>
      <c r="B135" s="12"/>
      <c r="C135" s="13"/>
      <c r="D135" s="179"/>
      <c r="E135" s="180"/>
      <c r="F135" s="181"/>
      <c r="G135" s="179"/>
      <c r="H135" s="190"/>
      <c r="I135" s="190"/>
      <c r="J135" s="187"/>
      <c r="K135" s="187"/>
      <c r="L135" s="270" t="str">
        <f>IFERROR(__xludf.DUMMYFUNCTION("IF(
  AND(D135=""Saída"", J135=""Sangria""),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74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85" t="str">
        <f>IFERROR(__xludf.DUMMYFUNCTION("ifna(VALUE(REGEXEXTRACT(E135,""[0-9.]+[,]+[0-9]+"")))"),"")</f>
        <v/>
      </c>
      <c r="O135" s="301"/>
      <c r="P135" s="321"/>
      <c r="Q135" s="301"/>
      <c r="R135" s="301"/>
      <c r="S135" s="301"/>
      <c r="V135" s="301"/>
      <c r="W135" s="25"/>
    </row>
    <row r="136" ht="14.25" customHeight="1">
      <c r="A136" s="178"/>
      <c r="B136" s="12"/>
      <c r="C136" s="13"/>
      <c r="D136" s="179"/>
      <c r="E136" s="180"/>
      <c r="F136" s="181"/>
      <c r="G136" s="179"/>
      <c r="H136" s="190"/>
      <c r="I136" s="190"/>
      <c r="J136" s="187"/>
      <c r="K136" s="187"/>
      <c r="L136" s="270" t="str">
        <f>IFERROR(__xludf.DUMMYFUNCTION("IF(
  AND(D136=""Saída"", J136=""Sangria""),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76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85" t="str">
        <f>IFERROR(__xludf.DUMMYFUNCTION("ifna(VALUE(REGEXEXTRACT(E136,""[0-9.]+[,]+[0-9]+"")))"),"")</f>
        <v/>
      </c>
      <c r="O136" s="305"/>
      <c r="P136" s="311"/>
      <c r="Q136" s="305"/>
      <c r="R136" s="305"/>
      <c r="S136" s="305"/>
      <c r="V136" s="305"/>
      <c r="W136" s="25"/>
    </row>
    <row r="137" ht="14.25" customHeight="1">
      <c r="A137" s="178"/>
      <c r="B137" s="12"/>
      <c r="C137" s="13"/>
      <c r="D137" s="179"/>
      <c r="E137" s="180"/>
      <c r="F137" s="181"/>
      <c r="G137" s="179"/>
      <c r="H137" s="190"/>
      <c r="I137" s="190"/>
      <c r="J137" s="187"/>
      <c r="K137" s="187"/>
      <c r="L137" s="270" t="str">
        <f>IFERROR(__xludf.DUMMYFUNCTION("IF(
  AND(D137=""Saída"", J137=""Sangria""),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74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85" t="str">
        <f>IFERROR(__xludf.DUMMYFUNCTION("ifna(VALUE(REGEXEXTRACT(E137,""[0-9.]+[,]+[0-9]+"")))"),"")</f>
        <v/>
      </c>
      <c r="O137" s="301"/>
      <c r="P137" s="321"/>
      <c r="Q137" s="301"/>
      <c r="R137" s="301"/>
      <c r="S137" s="301"/>
      <c r="V137" s="301"/>
      <c r="W137" s="25"/>
    </row>
    <row r="138" ht="14.25" customHeight="1">
      <c r="A138" s="178"/>
      <c r="B138" s="12"/>
      <c r="C138" s="13"/>
      <c r="D138" s="179"/>
      <c r="E138" s="180"/>
      <c r="F138" s="188"/>
      <c r="G138" s="179"/>
      <c r="H138" s="190"/>
      <c r="I138" s="190"/>
      <c r="J138" s="187"/>
      <c r="K138" s="187"/>
      <c r="L138" s="270" t="str">
        <f>IFERROR(__xludf.DUMMYFUNCTION("IF(
  AND(D138=""Saída"", J138=""Sangria""),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72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85" t="str">
        <f>IFERROR(__xludf.DUMMYFUNCTION("ifna(VALUE(REGEXEXTRACT(E138,""[0-9.]+[,]+[0-9]+"")))"),"")</f>
        <v/>
      </c>
      <c r="O138" s="305"/>
      <c r="P138" s="311"/>
      <c r="Q138" s="305"/>
      <c r="R138" s="305"/>
      <c r="S138" s="305"/>
      <c r="V138" s="305"/>
      <c r="W138" s="25"/>
    </row>
    <row r="139" ht="14.25" customHeight="1">
      <c r="A139" s="178"/>
      <c r="B139" s="12"/>
      <c r="C139" s="13"/>
      <c r="D139" s="179"/>
      <c r="E139" s="180"/>
      <c r="F139" s="181"/>
      <c r="G139" s="179"/>
      <c r="H139" s="190"/>
      <c r="I139" s="190"/>
      <c r="J139" s="187"/>
      <c r="K139" s="187"/>
      <c r="L139" s="270" t="str">
        <f>IFERROR(__xludf.DUMMYFUNCTION("IF(
  AND(D139=""Saída"", J139=""Sangria""),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74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85" t="str">
        <f>IFERROR(__xludf.DUMMYFUNCTION("ifna(VALUE(REGEXEXTRACT(E139,""[0-9.]+[,]+[0-9]+"")))"),"")</f>
        <v/>
      </c>
      <c r="O139" s="301"/>
      <c r="P139" s="310"/>
      <c r="Q139" s="301"/>
      <c r="R139" s="301"/>
      <c r="S139" s="301"/>
      <c r="V139" s="301"/>
      <c r="W139" s="25"/>
    </row>
    <row r="140" ht="14.25" customHeight="1">
      <c r="A140" s="178"/>
      <c r="B140" s="12"/>
      <c r="C140" s="13"/>
      <c r="D140" s="179"/>
      <c r="E140" s="180"/>
      <c r="F140" s="181"/>
      <c r="G140" s="179"/>
      <c r="H140" s="190"/>
      <c r="I140" s="190"/>
      <c r="J140" s="187"/>
      <c r="K140" s="187"/>
      <c r="L140" s="270" t="str">
        <f>IFERROR(__xludf.DUMMYFUNCTION("IF(
  AND(D140=""Saída"", J140=""Sangria""),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72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85" t="str">
        <f>IFERROR(__xludf.DUMMYFUNCTION("ifna(VALUE(REGEXEXTRACT(E140,""[0-9.]+[,]+[0-9]+"")))"),"")</f>
        <v/>
      </c>
      <c r="O140" s="305"/>
      <c r="P140" s="311"/>
      <c r="Q140" s="305"/>
      <c r="R140" s="305"/>
      <c r="S140" s="305"/>
      <c r="V140" s="305"/>
      <c r="W140" s="25"/>
    </row>
    <row r="141" ht="14.25" customHeight="1">
      <c r="A141" s="178"/>
      <c r="B141" s="12"/>
      <c r="C141" s="13"/>
      <c r="D141" s="179"/>
      <c r="E141" s="180"/>
      <c r="F141" s="181"/>
      <c r="G141" s="179"/>
      <c r="H141" s="190"/>
      <c r="I141" s="190"/>
      <c r="J141" s="187"/>
      <c r="K141" s="187"/>
      <c r="L141" s="270" t="str">
        <f>IFERROR(__xludf.DUMMYFUNCTION("IF(
  AND(D141=""Saída"", J141=""Sangria""),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74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85" t="str">
        <f>IFERROR(__xludf.DUMMYFUNCTION("ifna(VALUE(REGEXEXTRACT(E141,""[0-9.]+[,]+[0-9]+"")))"),"")</f>
        <v/>
      </c>
      <c r="O141" s="304"/>
      <c r="P141" s="312"/>
      <c r="Q141" s="304"/>
      <c r="R141" s="304"/>
      <c r="S141" s="304"/>
      <c r="V141" s="304"/>
      <c r="W141" s="185"/>
    </row>
    <row r="142" ht="14.25" customHeight="1">
      <c r="A142" s="178"/>
      <c r="B142" s="12"/>
      <c r="C142" s="13"/>
      <c r="D142" s="179"/>
      <c r="E142" s="180"/>
      <c r="F142" s="181"/>
      <c r="G142" s="179"/>
      <c r="H142" s="190"/>
      <c r="I142" s="190"/>
      <c r="J142" s="187"/>
      <c r="K142" s="187"/>
      <c r="L142" s="270" t="str">
        <f>IFERROR(__xludf.DUMMYFUNCTION("IF(
  AND(D142=""Saída"", J142=""Sangria""),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72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85" t="str">
        <f>IFERROR(__xludf.DUMMYFUNCTION("ifna(VALUE(REGEXEXTRACT(E142,""[0-9.]+[,]+[0-9]+"")))"),"")</f>
        <v/>
      </c>
      <c r="O142" s="308"/>
      <c r="P142" s="313"/>
      <c r="Q142" s="308"/>
      <c r="R142" s="308"/>
      <c r="S142" s="308"/>
      <c r="V142" s="308"/>
      <c r="W142" s="185"/>
    </row>
    <row r="143" ht="14.25" customHeight="1">
      <c r="A143" s="178"/>
      <c r="B143" s="12"/>
      <c r="C143" s="13"/>
      <c r="D143" s="179"/>
      <c r="E143" s="180"/>
      <c r="F143" s="181"/>
      <c r="G143" s="179"/>
      <c r="H143" s="190"/>
      <c r="I143" s="190"/>
      <c r="J143" s="187"/>
      <c r="K143" s="187"/>
      <c r="L143" s="270" t="str">
        <f>IFERROR(__xludf.DUMMYFUNCTION("IF(
  AND(D143=""Saída"", J143=""Sangria""),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74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85" t="str">
        <f>IFERROR(__xludf.DUMMYFUNCTION("ifna(VALUE(REGEXEXTRACT(E143,""[0-9.]+[,]+[0-9]+"")))"),"")</f>
        <v/>
      </c>
      <c r="O143" s="304"/>
      <c r="P143" s="312"/>
      <c r="Q143" s="304"/>
      <c r="R143" s="304"/>
      <c r="S143" s="304"/>
      <c r="V143" s="304"/>
      <c r="W143" s="185"/>
    </row>
    <row r="144" ht="14.25" customHeight="1">
      <c r="A144" s="178"/>
      <c r="B144" s="12"/>
      <c r="C144" s="13"/>
      <c r="D144" s="179"/>
      <c r="E144" s="180"/>
      <c r="F144" s="181"/>
      <c r="G144" s="179"/>
      <c r="H144" s="190"/>
      <c r="I144" s="190"/>
      <c r="J144" s="187"/>
      <c r="K144" s="187"/>
      <c r="L144" s="270" t="str">
        <f>IFERROR(__xludf.DUMMYFUNCTION("IF(
  AND(D144=""Saída"", J144=""Sangria""),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72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85" t="str">
        <f>IFERROR(__xludf.DUMMYFUNCTION("ifna(VALUE(REGEXEXTRACT(E144,""[0-9.]+[,]+[0-9]+"")))"),"")</f>
        <v/>
      </c>
      <c r="O144" s="308"/>
      <c r="P144" s="313"/>
      <c r="Q144" s="308"/>
      <c r="R144" s="308"/>
      <c r="S144" s="308"/>
      <c r="V144" s="308"/>
      <c r="W144" s="185"/>
    </row>
    <row r="145" ht="14.25" customHeight="1">
      <c r="A145" s="178"/>
      <c r="B145" s="12"/>
      <c r="C145" s="13"/>
      <c r="D145" s="179"/>
      <c r="E145" s="180"/>
      <c r="F145" s="181"/>
      <c r="G145" s="179"/>
      <c r="H145" s="190"/>
      <c r="I145" s="190"/>
      <c r="J145" s="187"/>
      <c r="K145" s="187"/>
      <c r="L145" s="270" t="str">
        <f>IFERROR(__xludf.DUMMYFUNCTION("IF(
  AND(D145=""Saída"", J145=""Sangria""),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74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85" t="str">
        <f>IFERROR(__xludf.DUMMYFUNCTION("ifna(VALUE(REGEXEXTRACT(E145,""[0-9.]+[,]+[0-9]+"")))"),"")</f>
        <v/>
      </c>
      <c r="O145" s="304"/>
      <c r="P145" s="312"/>
      <c r="Q145" s="304"/>
      <c r="R145" s="304"/>
      <c r="S145" s="304"/>
      <c r="V145" s="304"/>
      <c r="W145" s="185"/>
    </row>
    <row r="146" ht="14.25" customHeight="1">
      <c r="A146" s="178"/>
      <c r="B146" s="12"/>
      <c r="C146" s="13"/>
      <c r="D146" s="179"/>
      <c r="E146" s="180"/>
      <c r="F146" s="181"/>
      <c r="G146" s="179"/>
      <c r="H146" s="190"/>
      <c r="I146" s="190"/>
      <c r="J146" s="187"/>
      <c r="K146" s="187"/>
      <c r="L146" s="270" t="str">
        <f>IFERROR(__xludf.DUMMYFUNCTION("IF(
  AND(D146=""Saída"", J146=""Sangria""),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72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85" t="str">
        <f>IFERROR(__xludf.DUMMYFUNCTION("ifna(VALUE(REGEXEXTRACT(E146,""[0-9.]+[,]+[0-9]+"")))"),"")</f>
        <v/>
      </c>
      <c r="O146" s="308"/>
      <c r="P146" s="313"/>
      <c r="Q146" s="308"/>
      <c r="R146" s="308"/>
      <c r="S146" s="308"/>
      <c r="V146" s="308"/>
      <c r="W146" s="185"/>
    </row>
    <row r="147" ht="14.25" customHeight="1">
      <c r="A147" s="178"/>
      <c r="B147" s="12"/>
      <c r="C147" s="13"/>
      <c r="D147" s="179"/>
      <c r="E147" s="180"/>
      <c r="F147" s="181"/>
      <c r="G147" s="179"/>
      <c r="H147" s="190"/>
      <c r="I147" s="190"/>
      <c r="J147" s="187"/>
      <c r="K147" s="187"/>
      <c r="L147" s="270" t="str">
        <f>IFERROR(__xludf.DUMMYFUNCTION("IF(
  AND(D147=""Saída"", J147=""Sangria""),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74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85" t="str">
        <f>IFERROR(__xludf.DUMMYFUNCTION("ifna(VALUE(REGEXEXTRACT(E147,""[0-9.]+[,]+[0-9]+"")))"),"")</f>
        <v/>
      </c>
      <c r="O147" s="304"/>
      <c r="P147" s="312"/>
      <c r="Q147" s="304"/>
      <c r="R147" s="304"/>
      <c r="S147" s="304"/>
      <c r="V147" s="304"/>
      <c r="W147" s="185"/>
    </row>
    <row r="148" ht="14.25" customHeight="1">
      <c r="A148" s="178"/>
      <c r="B148" s="12"/>
      <c r="C148" s="13"/>
      <c r="D148" s="179"/>
      <c r="E148" s="180"/>
      <c r="F148" s="181"/>
      <c r="G148" s="179"/>
      <c r="H148" s="190"/>
      <c r="I148" s="190"/>
      <c r="J148" s="187"/>
      <c r="K148" s="187"/>
      <c r="L148" s="270" t="str">
        <f>IFERROR(__xludf.DUMMYFUNCTION("IF(
  AND(D148=""Saída"", J148=""Sangria""),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72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85" t="str">
        <f>IFERROR(__xludf.DUMMYFUNCTION("ifna(VALUE(REGEXEXTRACT(E148,""[0-9.]+[,]+[0-9]+"")))"),"")</f>
        <v/>
      </c>
      <c r="O148" s="308"/>
      <c r="P148" s="313"/>
      <c r="Q148" s="308"/>
      <c r="R148" s="308"/>
      <c r="S148" s="308"/>
      <c r="V148" s="308"/>
      <c r="W148" s="185"/>
    </row>
    <row r="149" ht="14.25" customHeight="1">
      <c r="A149" s="178"/>
      <c r="B149" s="12"/>
      <c r="C149" s="13"/>
      <c r="D149" s="179"/>
      <c r="E149" s="180"/>
      <c r="F149" s="181"/>
      <c r="G149" s="179"/>
      <c r="H149" s="190"/>
      <c r="I149" s="190"/>
      <c r="J149" s="187"/>
      <c r="K149" s="187"/>
      <c r="L149" s="270" t="str">
        <f>IFERROR(__xludf.DUMMYFUNCTION("IF(
  AND(D149=""Saída"", J149=""Sangria""),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74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85" t="str">
        <f>IFERROR(__xludf.DUMMYFUNCTION("ifna(VALUE(REGEXEXTRACT(E149,""[0-9.]+[,]+[0-9]+"")))"),"")</f>
        <v/>
      </c>
      <c r="O149" s="304"/>
      <c r="P149" s="312"/>
      <c r="Q149" s="304"/>
      <c r="R149" s="304"/>
      <c r="S149" s="304"/>
      <c r="V149" s="304"/>
      <c r="W149" s="185"/>
    </row>
    <row r="150" ht="14.25" customHeight="1">
      <c r="A150" s="178"/>
      <c r="B150" s="12"/>
      <c r="C150" s="13"/>
      <c r="D150" s="179"/>
      <c r="E150" s="180"/>
      <c r="F150" s="181"/>
      <c r="G150" s="179"/>
      <c r="H150" s="190"/>
      <c r="I150" s="190"/>
      <c r="J150" s="187"/>
      <c r="K150" s="187"/>
      <c r="L150" s="270" t="str">
        <f>IFERROR(__xludf.DUMMYFUNCTION("IF(
  AND(D150=""Saída"", J150=""Sangria""),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72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85" t="str">
        <f>IFERROR(__xludf.DUMMYFUNCTION("ifna(VALUE(REGEXEXTRACT(E150,""[0-9.]+[,]+[0-9]+"")))"),"")</f>
        <v/>
      </c>
      <c r="O150" s="308"/>
      <c r="P150" s="313"/>
      <c r="Q150" s="308"/>
      <c r="R150" s="308"/>
      <c r="S150" s="308"/>
      <c r="V150" s="308"/>
      <c r="W150" s="185"/>
    </row>
    <row r="151" ht="14.25" customHeight="1">
      <c r="A151" s="178"/>
      <c r="B151" s="12"/>
      <c r="C151" s="13"/>
      <c r="D151" s="179"/>
      <c r="E151" s="180"/>
      <c r="F151" s="181"/>
      <c r="G151" s="179"/>
      <c r="H151" s="190"/>
      <c r="I151" s="190"/>
      <c r="J151" s="187"/>
      <c r="K151" s="187"/>
      <c r="L151" s="270" t="str">
        <f>IFERROR(__xludf.DUMMYFUNCTION("IF(
  AND(D151=""Saída"", J151=""Sangria""),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74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85" t="str">
        <f>IFERROR(__xludf.DUMMYFUNCTION("ifna(VALUE(REGEXEXTRACT(E151,""[0-9.]+[,]+[0-9]+"")))"),"")</f>
        <v/>
      </c>
      <c r="O151" s="304"/>
      <c r="P151" s="312"/>
      <c r="Q151" s="304"/>
      <c r="R151" s="304"/>
      <c r="S151" s="304"/>
      <c r="V151" s="304"/>
      <c r="W151" s="185"/>
    </row>
    <row r="152" ht="14.25" customHeight="1">
      <c r="A152" s="178"/>
      <c r="B152" s="12"/>
      <c r="C152" s="13"/>
      <c r="D152" s="179"/>
      <c r="E152" s="180"/>
      <c r="F152" s="181"/>
      <c r="G152" s="179"/>
      <c r="H152" s="190"/>
      <c r="I152" s="190"/>
      <c r="J152" s="187"/>
      <c r="K152" s="187"/>
      <c r="L152" s="270" t="str">
        <f>IFERROR(__xludf.DUMMYFUNCTION("IF(
  AND(D152=""Saída"", J152=""Sangria""),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72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85" t="str">
        <f>IFERROR(__xludf.DUMMYFUNCTION("ifna(VALUE(REGEXEXTRACT(E152,""[0-9.]+[,]+[0-9]+"")))"),"")</f>
        <v/>
      </c>
      <c r="O152" s="308"/>
      <c r="P152" s="313"/>
      <c r="Q152" s="308"/>
      <c r="R152" s="308"/>
      <c r="S152" s="308"/>
      <c r="V152" s="308"/>
      <c r="W152" s="185"/>
    </row>
    <row r="153" ht="14.25" customHeight="1">
      <c r="A153" s="178"/>
      <c r="B153" s="12"/>
      <c r="C153" s="13"/>
      <c r="D153" s="179"/>
      <c r="E153" s="180"/>
      <c r="F153" s="181"/>
      <c r="G153" s="179"/>
      <c r="H153" s="190"/>
      <c r="I153" s="190"/>
      <c r="J153" s="187"/>
      <c r="K153" s="187"/>
      <c r="L153" s="270" t="str">
        <f>IFERROR(__xludf.DUMMYFUNCTION("IF(
  AND(D153=""Saída"", J153=""Sangria""),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74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85" t="str">
        <f>IFERROR(__xludf.DUMMYFUNCTION("ifna(VALUE(REGEXEXTRACT(E153,""[0-9.]+[,]+[0-9]+"")))"),"")</f>
        <v/>
      </c>
      <c r="O153" s="304"/>
      <c r="P153" s="312"/>
      <c r="Q153" s="304"/>
      <c r="R153" s="304"/>
      <c r="S153" s="304"/>
      <c r="V153" s="304"/>
      <c r="W153" s="185"/>
    </row>
    <row r="154" ht="14.25" customHeight="1">
      <c r="A154" s="178"/>
      <c r="B154" s="12"/>
      <c r="C154" s="13"/>
      <c r="D154" s="179"/>
      <c r="E154" s="180"/>
      <c r="F154" s="181"/>
      <c r="G154" s="179"/>
      <c r="H154" s="190"/>
      <c r="I154" s="190"/>
      <c r="J154" s="187"/>
      <c r="K154" s="187"/>
      <c r="L154" s="270" t="str">
        <f>IFERROR(__xludf.DUMMYFUNCTION("IF(
  AND(D154=""Saída"", J154=""Sangria""),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72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85" t="str">
        <f>IFERROR(__xludf.DUMMYFUNCTION("ifna(VALUE(REGEXEXTRACT(E154,""[0-9.]+[,]+[0-9]+"")))"),"")</f>
        <v/>
      </c>
      <c r="O154" s="308"/>
      <c r="P154" s="313"/>
      <c r="Q154" s="308"/>
      <c r="R154" s="308"/>
      <c r="S154" s="308"/>
      <c r="V154" s="308"/>
      <c r="W154" s="185"/>
    </row>
    <row r="155" ht="14.25" customHeight="1">
      <c r="A155" s="178"/>
      <c r="B155" s="12"/>
      <c r="C155" s="13"/>
      <c r="D155" s="179"/>
      <c r="E155" s="180"/>
      <c r="F155" s="181"/>
      <c r="G155" s="179"/>
      <c r="H155" s="190"/>
      <c r="I155" s="190"/>
      <c r="J155" s="187"/>
      <c r="K155" s="187"/>
      <c r="L155" s="270" t="str">
        <f>IFERROR(__xludf.DUMMYFUNCTION("IF(
  AND(D155=""Saída"", J155=""Sangria""),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74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85" t="str">
        <f>IFERROR(__xludf.DUMMYFUNCTION("ifna(VALUE(REGEXEXTRACT(E155,""[0-9.]+[,]+[0-9]+"")))"),"")</f>
        <v/>
      </c>
      <c r="O155" s="304"/>
      <c r="P155" s="312"/>
      <c r="Q155" s="304"/>
      <c r="R155" s="304"/>
      <c r="S155" s="304"/>
      <c r="V155" s="304"/>
      <c r="W155" s="185"/>
    </row>
    <row r="156" ht="14.25" customHeight="1">
      <c r="A156" s="178"/>
      <c r="B156" s="12"/>
      <c r="C156" s="13"/>
      <c r="D156" s="179"/>
      <c r="E156" s="180"/>
      <c r="F156" s="181"/>
      <c r="G156" s="179"/>
      <c r="H156" s="190"/>
      <c r="I156" s="190"/>
      <c r="J156" s="187"/>
      <c r="K156" s="187"/>
      <c r="L156" s="270" t="str">
        <f>IFERROR(__xludf.DUMMYFUNCTION("IF(
  AND(D156=""Saída"", J156=""Sangria""),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72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85" t="str">
        <f>IFERROR(__xludf.DUMMYFUNCTION("ifna(VALUE(REGEXEXTRACT(E156,""[0-9.]+[,]+[0-9]+"")))"),"")</f>
        <v/>
      </c>
      <c r="O156" s="308"/>
      <c r="P156" s="313"/>
      <c r="Q156" s="308"/>
      <c r="R156" s="308"/>
      <c r="S156" s="308"/>
      <c r="V156" s="308"/>
      <c r="W156" s="185"/>
    </row>
    <row r="157" ht="14.25" customHeight="1">
      <c r="A157" s="178"/>
      <c r="B157" s="12"/>
      <c r="C157" s="13"/>
      <c r="D157" s="179"/>
      <c r="E157" s="180"/>
      <c r="F157" s="181"/>
      <c r="G157" s="179"/>
      <c r="H157" s="190"/>
      <c r="I157" s="190"/>
      <c r="J157" s="187"/>
      <c r="K157" s="187"/>
      <c r="L157" s="270" t="str">
        <f>IFERROR(__xludf.DUMMYFUNCTION("IF(
  AND(D157=""Saída"", J157=""Sangria""),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74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85" t="str">
        <f>IFERROR(__xludf.DUMMYFUNCTION("ifna(VALUE(REGEXEXTRACT(E157,""[0-9.]+[,]+[0-9]+"")))"),"")</f>
        <v/>
      </c>
      <c r="O157" s="304"/>
      <c r="P157" s="312"/>
      <c r="Q157" s="304"/>
      <c r="R157" s="304"/>
      <c r="S157" s="304"/>
      <c r="V157" s="304"/>
      <c r="W157" s="185"/>
    </row>
    <row r="158" ht="14.25" customHeight="1">
      <c r="A158" s="178"/>
      <c r="B158" s="12"/>
      <c r="C158" s="13"/>
      <c r="D158" s="179"/>
      <c r="E158" s="180"/>
      <c r="F158" s="181"/>
      <c r="G158" s="179"/>
      <c r="H158" s="190"/>
      <c r="I158" s="190"/>
      <c r="J158" s="187"/>
      <c r="K158" s="187"/>
      <c r="L158" s="270" t="str">
        <f>IFERROR(__xludf.DUMMYFUNCTION("IF(
  AND(D158=""Saída"", J158=""Sangria""),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72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85" t="str">
        <f>IFERROR(__xludf.DUMMYFUNCTION("ifna(VALUE(REGEXEXTRACT(E158,""[0-9.]+[,]+[0-9]+"")))"),"")</f>
        <v/>
      </c>
      <c r="O158" s="308"/>
      <c r="P158" s="313"/>
      <c r="Q158" s="308"/>
      <c r="R158" s="308"/>
      <c r="S158" s="308"/>
      <c r="V158" s="308"/>
      <c r="W158" s="185"/>
    </row>
    <row r="159" ht="14.25" customHeight="1">
      <c r="A159" s="178"/>
      <c r="B159" s="12"/>
      <c r="C159" s="13"/>
      <c r="D159" s="179"/>
      <c r="E159" s="180"/>
      <c r="F159" s="188"/>
      <c r="G159" s="179"/>
      <c r="H159" s="190"/>
      <c r="I159" s="190"/>
      <c r="J159" s="187"/>
      <c r="K159" s="187"/>
      <c r="L159" s="270" t="str">
        <f>IFERROR(__xludf.DUMMYFUNCTION("IF(
  AND(D159=""Saída"", J159=""Sangria""),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74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85" t="str">
        <f>IFERROR(__xludf.DUMMYFUNCTION("ifna(VALUE(REGEXEXTRACT(E159,""[0-9.]+[,]+[0-9]+"")))"),"")</f>
        <v/>
      </c>
      <c r="O159" s="185"/>
      <c r="P159" s="185"/>
      <c r="Q159" s="185"/>
      <c r="R159" s="185"/>
      <c r="S159" s="185"/>
      <c r="T159" s="185"/>
      <c r="U159" s="185"/>
      <c r="V159" s="185"/>
      <c r="W159" s="185"/>
    </row>
    <row r="160" ht="14.25" customHeight="1">
      <c r="A160" s="178"/>
      <c r="B160" s="12"/>
      <c r="C160" s="13"/>
      <c r="D160" s="179"/>
      <c r="E160" s="180"/>
      <c r="F160" s="181"/>
      <c r="G160" s="179"/>
      <c r="H160" s="190"/>
      <c r="I160" s="190"/>
      <c r="J160" s="187"/>
      <c r="K160" s="187"/>
      <c r="L160" s="270" t="str">
        <f>IFERROR(__xludf.DUMMYFUNCTION("IF(
  AND(D160=""Saída"", J160=""Sangria""),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72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85" t="str">
        <f>IFERROR(__xludf.DUMMYFUNCTION("ifna(VALUE(REGEXEXTRACT(E160,""[0-9.]+[,]+[0-9]+"")))"),"")</f>
        <v/>
      </c>
      <c r="O160" s="185"/>
      <c r="P160" s="185"/>
      <c r="Q160" s="185"/>
      <c r="R160" s="185"/>
      <c r="S160" s="185"/>
      <c r="T160" s="185"/>
      <c r="U160" s="185"/>
      <c r="V160" s="185"/>
      <c r="W160" s="185"/>
    </row>
    <row r="161" ht="14.25" customHeight="1">
      <c r="A161" s="178"/>
      <c r="B161" s="12"/>
      <c r="C161" s="13"/>
      <c r="D161" s="179"/>
      <c r="E161" s="180"/>
      <c r="F161" s="181"/>
      <c r="G161" s="179"/>
      <c r="H161" s="190"/>
      <c r="I161" s="190"/>
      <c r="J161" s="187"/>
      <c r="K161" s="187"/>
      <c r="L161" s="270" t="str">
        <f>IFERROR(__xludf.DUMMYFUNCTION("IF(
  AND(D161=""Saída"", J161=""Sangria""),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74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85" t="str">
        <f>IFERROR(__xludf.DUMMYFUNCTION("ifna(VALUE(REGEXEXTRACT(E161,""[0-9.]+[,]+[0-9]+"")))"),"")</f>
        <v/>
      </c>
      <c r="O161" s="185"/>
      <c r="P161" s="185"/>
      <c r="Q161" s="185"/>
      <c r="R161" s="185"/>
      <c r="S161" s="185"/>
      <c r="T161" s="185"/>
      <c r="U161" s="185"/>
      <c r="V161" s="185"/>
      <c r="W161" s="185"/>
    </row>
    <row r="162" ht="14.25" customHeight="1">
      <c r="A162" s="178"/>
      <c r="B162" s="12"/>
      <c r="C162" s="13"/>
      <c r="D162" s="179"/>
      <c r="E162" s="180"/>
      <c r="F162" s="181"/>
      <c r="G162" s="179"/>
      <c r="H162" s="190"/>
      <c r="I162" s="190"/>
      <c r="J162" s="187"/>
      <c r="K162" s="187"/>
      <c r="L162" s="270" t="str">
        <f>IFERROR(__xludf.DUMMYFUNCTION("IF(
  AND(D162=""Saída"", J162=""Sangria""),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72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85" t="str">
        <f>IFERROR(__xludf.DUMMYFUNCTION("ifna(VALUE(REGEXEXTRACT(E162,""[0-9.]+[,]+[0-9]+"")))"),"")</f>
        <v/>
      </c>
      <c r="O162" s="185"/>
      <c r="P162" s="185"/>
      <c r="Q162" s="185"/>
      <c r="R162" s="185"/>
      <c r="S162" s="185"/>
      <c r="T162" s="185"/>
      <c r="U162" s="185"/>
      <c r="V162" s="185"/>
      <c r="W162" s="185"/>
    </row>
    <row r="163" ht="14.25" customHeight="1">
      <c r="A163" s="178"/>
      <c r="B163" s="12"/>
      <c r="C163" s="13"/>
      <c r="D163" s="179"/>
      <c r="E163" s="180"/>
      <c r="F163" s="181"/>
      <c r="G163" s="179"/>
      <c r="H163" s="190"/>
      <c r="I163" s="190"/>
      <c r="J163" s="187"/>
      <c r="K163" s="187"/>
      <c r="L163" s="270" t="str">
        <f>IFERROR(__xludf.DUMMYFUNCTION("IF(
  AND(D163=""Saída"", J163=""Sangria""),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74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85" t="str">
        <f>IFERROR(__xludf.DUMMYFUNCTION("ifna(VALUE(REGEXEXTRACT(E163,""[0-9.]+[,]+[0-9]+"")))"),"")</f>
        <v/>
      </c>
      <c r="O163" s="185"/>
      <c r="P163" s="185"/>
      <c r="Q163" s="185"/>
      <c r="R163" s="185"/>
      <c r="S163" s="185"/>
      <c r="T163" s="185"/>
      <c r="U163" s="185"/>
      <c r="V163" s="185"/>
      <c r="W163" s="185"/>
    </row>
    <row r="164" ht="14.25" customHeight="1">
      <c r="A164" s="178"/>
      <c r="B164" s="12"/>
      <c r="C164" s="13"/>
      <c r="D164" s="179"/>
      <c r="E164" s="180"/>
      <c r="F164" s="181"/>
      <c r="G164" s="179"/>
      <c r="H164" s="190"/>
      <c r="I164" s="190"/>
      <c r="J164" s="187"/>
      <c r="K164" s="187"/>
      <c r="L164" s="270" t="str">
        <f>IFERROR(__xludf.DUMMYFUNCTION("IF(
  AND(D164=""Saída"", J164=""Sangria""),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72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85" t="str">
        <f>IFERROR(__xludf.DUMMYFUNCTION("ifna(VALUE(REGEXEXTRACT(E164,""[0-9.]+[,]+[0-9]+"")))"),"")</f>
        <v/>
      </c>
      <c r="O164" s="185"/>
      <c r="P164" s="185"/>
      <c r="Q164" s="185"/>
      <c r="R164" s="185"/>
      <c r="S164" s="185"/>
      <c r="T164" s="185"/>
      <c r="U164" s="185"/>
      <c r="V164" s="185"/>
      <c r="W164" s="185"/>
    </row>
    <row r="165" ht="14.25" customHeight="1">
      <c r="A165" s="178"/>
      <c r="B165" s="12"/>
      <c r="C165" s="13"/>
      <c r="D165" s="179"/>
      <c r="E165" s="180"/>
      <c r="F165" s="181"/>
      <c r="G165" s="179"/>
      <c r="H165" s="190"/>
      <c r="I165" s="190"/>
      <c r="J165" s="187"/>
      <c r="K165" s="187"/>
      <c r="L165" s="270" t="str">
        <f>IFERROR(__xludf.DUMMYFUNCTION("IF(
  AND(D165=""Saída"", J165=""Sangria""),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74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85" t="str">
        <f>IFERROR(__xludf.DUMMYFUNCTION("ifna(VALUE(REGEXEXTRACT(E165,""[0-9.]+[,]+[0-9]+"")))"),"")</f>
        <v/>
      </c>
      <c r="O165" s="185"/>
      <c r="P165" s="185"/>
      <c r="Q165" s="185"/>
      <c r="R165" s="185"/>
      <c r="S165" s="185"/>
      <c r="T165" s="185"/>
      <c r="U165" s="185"/>
      <c r="V165" s="185"/>
      <c r="W165" s="185"/>
    </row>
    <row r="166" ht="14.25" customHeight="1">
      <c r="A166" s="178"/>
      <c r="B166" s="12"/>
      <c r="C166" s="13"/>
      <c r="D166" s="179"/>
      <c r="E166" s="180"/>
      <c r="F166" s="181"/>
      <c r="G166" s="179"/>
      <c r="H166" s="190"/>
      <c r="I166" s="190"/>
      <c r="J166" s="187"/>
      <c r="K166" s="187"/>
      <c r="L166" s="270" t="str">
        <f>IFERROR(__xludf.DUMMYFUNCTION("IF(
  AND(D166=""Saída"", J166=""Sangria""),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72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85" t="str">
        <f>IFERROR(__xludf.DUMMYFUNCTION("ifna(VALUE(REGEXEXTRACT(E166,""[0-9.]+[,]+[0-9]+"")))"),"")</f>
        <v/>
      </c>
      <c r="O166" s="185"/>
      <c r="P166" s="185"/>
      <c r="Q166" s="185"/>
      <c r="R166" s="185"/>
      <c r="S166" s="185"/>
      <c r="T166" s="185"/>
      <c r="U166" s="185"/>
      <c r="V166" s="185"/>
      <c r="W166" s="185"/>
    </row>
    <row r="167" ht="14.25" customHeight="1">
      <c r="A167" s="178"/>
      <c r="B167" s="12"/>
      <c r="C167" s="13"/>
      <c r="D167" s="179"/>
      <c r="E167" s="180"/>
      <c r="F167" s="181"/>
      <c r="G167" s="179"/>
      <c r="H167" s="190"/>
      <c r="I167" s="190"/>
      <c r="J167" s="187"/>
      <c r="K167" s="187"/>
      <c r="L167" s="270" t="str">
        <f>IFERROR(__xludf.DUMMYFUNCTION("IF(
  AND(D167=""Saída"", J167=""Sangria""),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74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85" t="str">
        <f>IFERROR(__xludf.DUMMYFUNCTION("ifna(VALUE(REGEXEXTRACT(E167,""[0-9.]+[,]+[0-9]+"")))"),"")</f>
        <v/>
      </c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ht="14.25" customHeight="1">
      <c r="A168" s="178"/>
      <c r="B168" s="12"/>
      <c r="C168" s="13"/>
      <c r="D168" s="179"/>
      <c r="E168" s="180"/>
      <c r="F168" s="181"/>
      <c r="G168" s="179"/>
      <c r="H168" s="190"/>
      <c r="I168" s="190"/>
      <c r="J168" s="187"/>
      <c r="K168" s="187"/>
      <c r="L168" s="270" t="str">
        <f>IFERROR(__xludf.DUMMYFUNCTION("IF(
  AND(D168=""Saída"", J168=""Sangria""),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72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85" t="str">
        <f>IFERROR(__xludf.DUMMYFUNCTION("ifna(VALUE(REGEXEXTRACT(E168,""[0-9.]+[,]+[0-9]+"")))"),"")</f>
        <v/>
      </c>
      <c r="O168" s="185"/>
      <c r="P168" s="185"/>
      <c r="Q168" s="185"/>
      <c r="R168" s="185"/>
      <c r="S168" s="185"/>
      <c r="T168" s="185"/>
      <c r="U168" s="185"/>
      <c r="V168" s="185"/>
      <c r="W168" s="185"/>
    </row>
    <row r="169" ht="14.25" customHeight="1">
      <c r="A169" s="178"/>
      <c r="B169" s="12"/>
      <c r="C169" s="13"/>
      <c r="D169" s="179"/>
      <c r="E169" s="180"/>
      <c r="F169" s="181"/>
      <c r="G169" s="179"/>
      <c r="H169" s="190"/>
      <c r="I169" s="190"/>
      <c r="J169" s="187"/>
      <c r="K169" s="187"/>
      <c r="L169" s="270" t="str">
        <f>IFERROR(__xludf.DUMMYFUNCTION("IF(
  AND(D169=""Saída"", J169=""Sangria""),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74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85" t="str">
        <f>IFERROR(__xludf.DUMMYFUNCTION("ifna(VALUE(REGEXEXTRACT(E169,""[0-9.]+[,]+[0-9]+"")))"),"")</f>
        <v/>
      </c>
      <c r="O169" s="185"/>
      <c r="P169" s="185"/>
      <c r="Q169" s="185"/>
      <c r="R169" s="185"/>
      <c r="S169" s="185"/>
      <c r="T169" s="185"/>
      <c r="U169" s="185"/>
      <c r="V169" s="185"/>
      <c r="W169" s="185"/>
    </row>
    <row r="170" ht="14.25" customHeight="1">
      <c r="A170" s="178"/>
      <c r="B170" s="12"/>
      <c r="C170" s="13"/>
      <c r="D170" s="179"/>
      <c r="E170" s="180"/>
      <c r="F170" s="188"/>
      <c r="G170" s="179"/>
      <c r="H170" s="190"/>
      <c r="I170" s="190"/>
      <c r="J170" s="187"/>
      <c r="K170" s="187"/>
      <c r="L170" s="270" t="str">
        <f>IFERROR(__xludf.DUMMYFUNCTION("IF(
  AND(D170=""Saída"", J170=""Sangria""),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72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85" t="str">
        <f>IFERROR(__xludf.DUMMYFUNCTION("ifna(VALUE(REGEXEXTRACT(E170,""[0-9.]+[,]+[0-9]+"")))"),"")</f>
        <v/>
      </c>
      <c r="O170" s="185"/>
      <c r="P170" s="185"/>
      <c r="Q170" s="185"/>
      <c r="R170" s="185"/>
      <c r="S170" s="185"/>
      <c r="T170" s="185"/>
      <c r="U170" s="185"/>
      <c r="V170" s="185"/>
      <c r="W170" s="185"/>
    </row>
    <row r="171" ht="14.25" customHeight="1">
      <c r="A171" s="178"/>
      <c r="B171" s="12"/>
      <c r="C171" s="13"/>
      <c r="D171" s="179"/>
      <c r="E171" s="180"/>
      <c r="F171" s="181"/>
      <c r="G171" s="179"/>
      <c r="H171" s="190"/>
      <c r="I171" s="190"/>
      <c r="J171" s="187"/>
      <c r="K171" s="187"/>
      <c r="L171" s="270" t="str">
        <f>IFERROR(__xludf.DUMMYFUNCTION("IF(
  AND(D171=""Saída"", J171=""Sangria""),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74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85" t="str">
        <f>IFERROR(__xludf.DUMMYFUNCTION("ifna(VALUE(REGEXEXTRACT(E171,""[0-9.]+[,]+[0-9]+"")))"),"")</f>
        <v/>
      </c>
      <c r="O171" s="185"/>
      <c r="P171" s="185"/>
      <c r="Q171" s="185"/>
      <c r="R171" s="185"/>
      <c r="S171" s="185"/>
      <c r="T171" s="185"/>
      <c r="U171" s="185"/>
      <c r="V171" s="185"/>
      <c r="W171" s="185"/>
    </row>
    <row r="172" ht="14.25" customHeight="1">
      <c r="A172" s="178"/>
      <c r="B172" s="12"/>
      <c r="C172" s="13"/>
      <c r="D172" s="179"/>
      <c r="E172" s="180"/>
      <c r="F172" s="181"/>
      <c r="G172" s="179"/>
      <c r="H172" s="190"/>
      <c r="I172" s="190"/>
      <c r="J172" s="187"/>
      <c r="K172" s="187"/>
      <c r="L172" s="270" t="str">
        <f>IFERROR(__xludf.DUMMYFUNCTION("IF(
  AND(D172=""Saída"", J172=""Sangria""),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72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85" t="str">
        <f>IFERROR(__xludf.DUMMYFUNCTION("ifna(VALUE(REGEXEXTRACT(E172,""[0-9.]+[,]+[0-9]+"")))"),"")</f>
        <v/>
      </c>
      <c r="O172" s="185"/>
      <c r="P172" s="185"/>
      <c r="Q172" s="185"/>
      <c r="R172" s="185"/>
      <c r="S172" s="185"/>
      <c r="T172" s="185"/>
      <c r="U172" s="185"/>
      <c r="V172" s="185"/>
      <c r="W172" s="185"/>
    </row>
    <row r="173" ht="14.25" customHeight="1">
      <c r="A173" s="178"/>
      <c r="B173" s="12"/>
      <c r="C173" s="13"/>
      <c r="D173" s="179"/>
      <c r="E173" s="180"/>
      <c r="F173" s="188"/>
      <c r="G173" s="179"/>
      <c r="H173" s="190"/>
      <c r="I173" s="190"/>
      <c r="J173" s="187"/>
      <c r="K173" s="187"/>
      <c r="L173" s="270" t="str">
        <f>IFERROR(__xludf.DUMMYFUNCTION("IF(
  AND(D173=""Saída"", J173=""Sangria""),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74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85" t="str">
        <f>IFERROR(__xludf.DUMMYFUNCTION("ifna(VALUE(REGEXEXTRACT(E173,""[0-9.]+[,]+[0-9]+"")))"),"")</f>
        <v/>
      </c>
      <c r="O173" s="185"/>
      <c r="P173" s="185"/>
      <c r="Q173" s="185"/>
      <c r="R173" s="185"/>
      <c r="S173" s="185"/>
      <c r="T173" s="185"/>
      <c r="U173" s="185"/>
      <c r="V173" s="185"/>
      <c r="W173" s="185"/>
    </row>
    <row r="174" ht="14.25" customHeight="1">
      <c r="A174" s="178"/>
      <c r="B174" s="12"/>
      <c r="C174" s="13"/>
      <c r="D174" s="179"/>
      <c r="E174" s="180"/>
      <c r="F174" s="181"/>
      <c r="G174" s="179"/>
      <c r="H174" s="190"/>
      <c r="I174" s="190"/>
      <c r="J174" s="187"/>
      <c r="K174" s="187"/>
      <c r="L174" s="270" t="str">
        <f>IFERROR(__xludf.DUMMYFUNCTION("IF(
  AND(D174=""Saída"", J174=""Sangria""),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72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85" t="str">
        <f>IFERROR(__xludf.DUMMYFUNCTION("ifna(VALUE(REGEXEXTRACT(E174,""[0-9.]+[,]+[0-9]+"")))"),"")</f>
        <v/>
      </c>
      <c r="O174" s="185"/>
      <c r="P174" s="185"/>
      <c r="Q174" s="185"/>
      <c r="R174" s="185"/>
      <c r="S174" s="185"/>
      <c r="T174" s="185"/>
      <c r="U174" s="185"/>
      <c r="V174" s="185"/>
      <c r="W174" s="185"/>
    </row>
    <row r="175" ht="14.25" customHeight="1">
      <c r="A175" s="178"/>
      <c r="B175" s="12"/>
      <c r="C175" s="13"/>
      <c r="D175" s="179"/>
      <c r="E175" s="180"/>
      <c r="F175" s="181"/>
      <c r="G175" s="179"/>
      <c r="H175" s="190"/>
      <c r="I175" s="190"/>
      <c r="J175" s="187"/>
      <c r="K175" s="187"/>
      <c r="L175" s="270" t="str">
        <f>IFERROR(__xludf.DUMMYFUNCTION("IF(
  AND(D175=""Saída"", J175=""Sangria""),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74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85" t="str">
        <f>IFERROR(__xludf.DUMMYFUNCTION("ifna(VALUE(REGEXEXTRACT(E175,""[0-9.]+[,]+[0-9]+"")))"),"")</f>
        <v/>
      </c>
      <c r="O175" s="185"/>
      <c r="P175" s="185"/>
      <c r="Q175" s="185"/>
      <c r="R175" s="185"/>
      <c r="S175" s="185"/>
      <c r="T175" s="185"/>
      <c r="U175" s="185"/>
      <c r="V175" s="185"/>
      <c r="W175" s="185"/>
    </row>
    <row r="176" ht="14.25" customHeight="1">
      <c r="A176" s="178"/>
      <c r="B176" s="12"/>
      <c r="C176" s="13"/>
      <c r="D176" s="179"/>
      <c r="E176" s="180"/>
      <c r="F176" s="181"/>
      <c r="G176" s="179"/>
      <c r="H176" s="190"/>
      <c r="I176" s="190"/>
      <c r="J176" s="187"/>
      <c r="K176" s="187"/>
      <c r="L176" s="270" t="str">
        <f>IFERROR(__xludf.DUMMYFUNCTION("IF(
  AND(D176=""Saída"", J176=""Sangria""),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72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85" t="str">
        <f>IFERROR(__xludf.DUMMYFUNCTION("ifna(VALUE(REGEXEXTRACT(E176,""[0-9.]+[,]+[0-9]+"")))"),"")</f>
        <v/>
      </c>
      <c r="O176" s="185"/>
      <c r="P176" s="185"/>
      <c r="Q176" s="185"/>
      <c r="R176" s="185"/>
      <c r="S176" s="185"/>
      <c r="T176" s="185"/>
      <c r="U176" s="185"/>
      <c r="V176" s="185"/>
      <c r="W176" s="185"/>
    </row>
    <row r="177" ht="14.25" customHeight="1">
      <c r="A177" s="178"/>
      <c r="B177" s="12"/>
      <c r="C177" s="13"/>
      <c r="D177" s="179"/>
      <c r="E177" s="180"/>
      <c r="F177" s="181"/>
      <c r="G177" s="179"/>
      <c r="H177" s="190"/>
      <c r="I177" s="190"/>
      <c r="J177" s="187"/>
      <c r="K177" s="187"/>
      <c r="L177" s="270" t="str">
        <f>IFERROR(__xludf.DUMMYFUNCTION("IF(
  AND(D177=""Saída"", J177=""Sangria""),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74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85" t="str">
        <f>IFERROR(__xludf.DUMMYFUNCTION("ifna(VALUE(REGEXEXTRACT(E177,""[0-9.]+[,]+[0-9]+"")))"),"")</f>
        <v/>
      </c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ht="14.25" customHeight="1">
      <c r="A178" s="178"/>
      <c r="B178" s="12"/>
      <c r="C178" s="13"/>
      <c r="D178" s="179"/>
      <c r="E178" s="180"/>
      <c r="F178" s="188"/>
      <c r="G178" s="179"/>
      <c r="H178" s="190"/>
      <c r="I178" s="190"/>
      <c r="J178" s="187"/>
      <c r="K178" s="187"/>
      <c r="L178" s="270" t="str">
        <f>IFERROR(__xludf.DUMMYFUNCTION("IF(
  AND(D178=""Saída"", J178=""Sangria""),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72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85" t="str">
        <f>IFERROR(__xludf.DUMMYFUNCTION("ifna(VALUE(REGEXEXTRACT(E178,""[0-9.]+[,]+[0-9]+"")))"),"")</f>
        <v/>
      </c>
      <c r="O178" s="185"/>
      <c r="P178" s="185"/>
      <c r="Q178" s="185"/>
      <c r="R178" s="185"/>
      <c r="S178" s="185"/>
      <c r="T178" s="185"/>
      <c r="U178" s="185"/>
      <c r="V178" s="185"/>
      <c r="W178" s="185"/>
    </row>
    <row r="179" ht="14.25" customHeight="1">
      <c r="A179" s="178"/>
      <c r="B179" s="12"/>
      <c r="C179" s="13"/>
      <c r="D179" s="179"/>
      <c r="E179" s="180"/>
      <c r="F179" s="181"/>
      <c r="G179" s="179"/>
      <c r="H179" s="190"/>
      <c r="I179" s="190"/>
      <c r="J179" s="187"/>
      <c r="K179" s="187"/>
      <c r="L179" s="270" t="str">
        <f>IFERROR(__xludf.DUMMYFUNCTION("IF(
  AND(D179=""Saída"", J179=""Sangria""),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74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85" t="str">
        <f>IFERROR(__xludf.DUMMYFUNCTION("ifna(VALUE(REGEXEXTRACT(E179,""[0-9.]+[,]+[0-9]+"")))"),"")</f>
        <v/>
      </c>
      <c r="O179" s="185"/>
      <c r="P179" s="185"/>
      <c r="Q179" s="185"/>
      <c r="R179" s="185"/>
      <c r="S179" s="185"/>
      <c r="T179" s="185"/>
      <c r="U179" s="185"/>
      <c r="V179" s="185"/>
      <c r="W179" s="185"/>
    </row>
    <row r="180" ht="14.25" customHeight="1">
      <c r="A180" s="178"/>
      <c r="B180" s="12"/>
      <c r="C180" s="13"/>
      <c r="D180" s="179"/>
      <c r="E180" s="180"/>
      <c r="F180" s="181"/>
      <c r="G180" s="179"/>
      <c r="H180" s="190"/>
      <c r="I180" s="190"/>
      <c r="J180" s="187"/>
      <c r="K180" s="187"/>
      <c r="L180" s="270" t="str">
        <f>IFERROR(__xludf.DUMMYFUNCTION("IF(
  AND(D180=""Saída"", J180=""Sangria""),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72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85" t="str">
        <f>IFERROR(__xludf.DUMMYFUNCTION("ifna(VALUE(REGEXEXTRACT(E180,""[0-9.]+[,]+[0-9]+"")))"),"")</f>
        <v/>
      </c>
      <c r="O180" s="185"/>
      <c r="P180" s="185"/>
      <c r="Q180" s="185"/>
      <c r="R180" s="185"/>
      <c r="S180" s="185"/>
      <c r="T180" s="185"/>
      <c r="U180" s="185"/>
      <c r="V180" s="185"/>
      <c r="W180" s="185"/>
    </row>
    <row r="181" ht="14.25" customHeight="1">
      <c r="A181" s="178"/>
      <c r="B181" s="12"/>
      <c r="C181" s="13"/>
      <c r="D181" s="179"/>
      <c r="E181" s="180"/>
      <c r="F181" s="188"/>
      <c r="G181" s="179"/>
      <c r="H181" s="190"/>
      <c r="I181" s="190"/>
      <c r="J181" s="187"/>
      <c r="K181" s="187"/>
      <c r="L181" s="270" t="str">
        <f>IFERROR(__xludf.DUMMYFUNCTION("IF(
  AND(D181=""Saída"", J181=""Sangria""),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74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85" t="str">
        <f>IFERROR(__xludf.DUMMYFUNCTION("ifna(VALUE(REGEXEXTRACT(E181,""[0-9.]+[,]+[0-9]+"")))"),"")</f>
        <v/>
      </c>
      <c r="O181" s="185"/>
      <c r="P181" s="185"/>
      <c r="Q181" s="185"/>
      <c r="R181" s="185"/>
      <c r="S181" s="185"/>
      <c r="T181" s="185"/>
      <c r="U181" s="185"/>
      <c r="V181" s="185"/>
      <c r="W181" s="185"/>
    </row>
    <row r="182" ht="14.25" customHeight="1">
      <c r="A182" s="178"/>
      <c r="B182" s="12"/>
      <c r="C182" s="13"/>
      <c r="D182" s="179"/>
      <c r="E182" s="180"/>
      <c r="F182" s="181"/>
      <c r="G182" s="179"/>
      <c r="H182" s="190"/>
      <c r="I182" s="190"/>
      <c r="J182" s="187"/>
      <c r="K182" s="187"/>
      <c r="L182" s="270" t="str">
        <f>IFERROR(__xludf.DUMMYFUNCTION("IF(
  AND(D182=""Saída"", J182=""Sangria""),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72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85" t="str">
        <f>IFERROR(__xludf.DUMMYFUNCTION("ifna(VALUE(REGEXEXTRACT(E182,""[0-9.]+[,]+[0-9]+"")))"),"")</f>
        <v/>
      </c>
      <c r="O182" s="185"/>
      <c r="P182" s="185"/>
      <c r="Q182" s="185"/>
      <c r="R182" s="185"/>
      <c r="S182" s="185"/>
      <c r="T182" s="185"/>
      <c r="U182" s="185"/>
      <c r="V182" s="185"/>
      <c r="W182" s="185"/>
    </row>
    <row r="183" ht="14.25" customHeight="1">
      <c r="A183" s="178"/>
      <c r="B183" s="12"/>
      <c r="C183" s="13"/>
      <c r="D183" s="179"/>
      <c r="E183" s="180"/>
      <c r="F183" s="181"/>
      <c r="G183" s="179"/>
      <c r="H183" s="190"/>
      <c r="I183" s="190"/>
      <c r="J183" s="187"/>
      <c r="K183" s="187"/>
      <c r="L183" s="270" t="str">
        <f>IFERROR(__xludf.DUMMYFUNCTION("IF(
  AND(D183=""Saída"", J183=""Sangria""),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74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85" t="str">
        <f>IFERROR(__xludf.DUMMYFUNCTION("ifna(VALUE(REGEXEXTRACT(E183,""[0-9.]+[,]+[0-9]+"")))"),"")</f>
        <v/>
      </c>
      <c r="O183" s="185"/>
      <c r="P183" s="185"/>
      <c r="Q183" s="185"/>
      <c r="R183" s="185"/>
      <c r="S183" s="185"/>
      <c r="T183" s="185"/>
      <c r="U183" s="185"/>
      <c r="V183" s="185"/>
      <c r="W183" s="185"/>
    </row>
    <row r="184" ht="14.25" customHeight="1">
      <c r="A184" s="178"/>
      <c r="B184" s="12"/>
      <c r="C184" s="13"/>
      <c r="D184" s="179"/>
      <c r="E184" s="180"/>
      <c r="F184" s="181"/>
      <c r="G184" s="179"/>
      <c r="H184" s="190"/>
      <c r="I184" s="190"/>
      <c r="J184" s="187"/>
      <c r="K184" s="187"/>
      <c r="L184" s="270" t="str">
        <f>IFERROR(__xludf.DUMMYFUNCTION("IF(
  AND(D184=""Saída"", J184=""Sangria""),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72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85" t="str">
        <f>IFERROR(__xludf.DUMMYFUNCTION("ifna(VALUE(REGEXEXTRACT(E184,""[0-9.]+[,]+[0-9]+"")))"),"")</f>
        <v/>
      </c>
      <c r="O184" s="185"/>
      <c r="P184" s="185"/>
      <c r="Q184" s="185"/>
      <c r="R184" s="185"/>
      <c r="S184" s="185"/>
      <c r="T184" s="185"/>
      <c r="U184" s="185"/>
      <c r="V184" s="185"/>
      <c r="W184" s="185"/>
    </row>
    <row r="185" ht="14.25" customHeight="1">
      <c r="A185" s="178"/>
      <c r="B185" s="12"/>
      <c r="C185" s="13"/>
      <c r="D185" s="179"/>
      <c r="E185" s="180"/>
      <c r="F185" s="181"/>
      <c r="G185" s="179"/>
      <c r="H185" s="190"/>
      <c r="I185" s="190"/>
      <c r="J185" s="187"/>
      <c r="K185" s="187"/>
      <c r="L185" s="270" t="str">
        <f>IFERROR(__xludf.DUMMYFUNCTION("IF(
  AND(D185=""Saída"", J185=""Sangria""),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74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85" t="str">
        <f>IFERROR(__xludf.DUMMYFUNCTION("ifna(VALUE(REGEXEXTRACT(E185,""[0-9.]+[,]+[0-9]+"")))"),"")</f>
        <v/>
      </c>
      <c r="O185" s="185"/>
      <c r="P185" s="185"/>
      <c r="Q185" s="185"/>
      <c r="R185" s="185"/>
      <c r="S185" s="185"/>
      <c r="T185" s="185"/>
      <c r="U185" s="185"/>
      <c r="V185" s="185"/>
      <c r="W185" s="185"/>
    </row>
    <row r="186" ht="14.25" customHeight="1">
      <c r="A186" s="178"/>
      <c r="B186" s="12"/>
      <c r="C186" s="13"/>
      <c r="D186" s="179"/>
      <c r="E186" s="180"/>
      <c r="F186" s="181"/>
      <c r="G186" s="179"/>
      <c r="H186" s="190"/>
      <c r="I186" s="190"/>
      <c r="J186" s="187"/>
      <c r="K186" s="187"/>
      <c r="L186" s="270" t="str">
        <f>IFERROR(__xludf.DUMMYFUNCTION("IF(
  AND(D186=""Saída"", J186=""Sangria""),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72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85" t="str">
        <f>IFERROR(__xludf.DUMMYFUNCTION("ifna(VALUE(REGEXEXTRACT(E186,""[0-9.]+[,]+[0-9]+"")))"),"")</f>
        <v/>
      </c>
      <c r="O186" s="185"/>
      <c r="P186" s="185"/>
      <c r="Q186" s="185"/>
      <c r="R186" s="185"/>
      <c r="S186" s="185"/>
      <c r="T186" s="185"/>
      <c r="U186" s="185"/>
      <c r="V186" s="185"/>
      <c r="W186" s="185"/>
    </row>
    <row r="187" ht="14.25" customHeight="1">
      <c r="A187" s="178"/>
      <c r="B187" s="12"/>
      <c r="C187" s="13"/>
      <c r="D187" s="179"/>
      <c r="E187" s="180"/>
      <c r="F187" s="181"/>
      <c r="G187" s="179"/>
      <c r="H187" s="190"/>
      <c r="I187" s="190"/>
      <c r="J187" s="187"/>
      <c r="K187" s="187"/>
      <c r="L187" s="270" t="str">
        <f>IFERROR(__xludf.DUMMYFUNCTION("IF(
  AND(D187=""Saída"", J187=""Sangria""),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74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85" t="str">
        <f>IFERROR(__xludf.DUMMYFUNCTION("ifna(VALUE(REGEXEXTRACT(E187,""[0-9.]+[,]+[0-9]+"")))"),"")</f>
        <v/>
      </c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ht="14.25" customHeight="1">
      <c r="A188" s="178"/>
      <c r="B188" s="12"/>
      <c r="C188" s="13"/>
      <c r="D188" s="179"/>
      <c r="E188" s="180"/>
      <c r="F188" s="181"/>
      <c r="G188" s="179"/>
      <c r="H188" s="190"/>
      <c r="I188" s="190"/>
      <c r="J188" s="187"/>
      <c r="K188" s="187"/>
      <c r="L188" s="270" t="str">
        <f>IFERROR(__xludf.DUMMYFUNCTION("IF(
  AND(D188=""Saída"", J188=""Sangria""),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72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85" t="str">
        <f>IFERROR(__xludf.DUMMYFUNCTION("ifna(VALUE(REGEXEXTRACT(E188,""[0-9.]+[,]+[0-9]+"")))"),"")</f>
        <v/>
      </c>
      <c r="O188" s="185"/>
      <c r="P188" s="185"/>
      <c r="Q188" s="185"/>
      <c r="R188" s="185"/>
      <c r="S188" s="185"/>
      <c r="T188" s="185"/>
      <c r="U188" s="185"/>
      <c r="V188" s="185"/>
      <c r="W188" s="185"/>
    </row>
    <row r="189" ht="14.25" customHeight="1">
      <c r="A189" s="178"/>
      <c r="B189" s="12"/>
      <c r="C189" s="13"/>
      <c r="D189" s="179"/>
      <c r="E189" s="180"/>
      <c r="F189" s="181"/>
      <c r="G189" s="179"/>
      <c r="H189" s="190"/>
      <c r="I189" s="190"/>
      <c r="J189" s="187"/>
      <c r="K189" s="187"/>
      <c r="L189" s="270" t="str">
        <f>IFERROR(__xludf.DUMMYFUNCTION("IF(
  AND(D189=""Saída"", J189=""Sangria""),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74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85" t="str">
        <f>IFERROR(__xludf.DUMMYFUNCTION("ifna(VALUE(REGEXEXTRACT(E189,""[0-9.]+[,]+[0-9]+"")))"),"")</f>
        <v/>
      </c>
      <c r="O189" s="185"/>
      <c r="P189" s="185"/>
      <c r="Q189" s="185"/>
      <c r="R189" s="185"/>
      <c r="S189" s="185"/>
      <c r="T189" s="185"/>
      <c r="U189" s="185"/>
      <c r="V189" s="185"/>
      <c r="W189" s="185"/>
    </row>
    <row r="190" ht="14.25" customHeight="1">
      <c r="A190" s="178"/>
      <c r="B190" s="12"/>
      <c r="C190" s="13"/>
      <c r="D190" s="179"/>
      <c r="E190" s="180"/>
      <c r="F190" s="188"/>
      <c r="G190" s="179"/>
      <c r="H190" s="190"/>
      <c r="I190" s="190"/>
      <c r="J190" s="187"/>
      <c r="K190" s="187"/>
      <c r="L190" s="270" t="str">
        <f>IFERROR(__xludf.DUMMYFUNCTION("IF(
  AND(D190=""Saída"", J190=""Sangria""),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72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85" t="str">
        <f>IFERROR(__xludf.DUMMYFUNCTION("ifna(VALUE(REGEXEXTRACT(E190,""[0-9.]+[,]+[0-9]+"")))"),"")</f>
        <v/>
      </c>
      <c r="O190" s="185"/>
      <c r="P190" s="185"/>
      <c r="Q190" s="185"/>
      <c r="R190" s="185"/>
      <c r="S190" s="185"/>
      <c r="T190" s="185"/>
      <c r="U190" s="185"/>
      <c r="V190" s="185"/>
      <c r="W190" s="185"/>
    </row>
    <row r="191" ht="14.25" customHeight="1">
      <c r="A191" s="178"/>
      <c r="B191" s="12"/>
      <c r="C191" s="13"/>
      <c r="D191" s="179"/>
      <c r="E191" s="180"/>
      <c r="F191" s="181"/>
      <c r="G191" s="179"/>
      <c r="H191" s="190"/>
      <c r="I191" s="190"/>
      <c r="J191" s="187"/>
      <c r="K191" s="187"/>
      <c r="L191" s="270" t="str">
        <f>IFERROR(__xludf.DUMMYFUNCTION("IF(
  AND(D191=""Saída"", J191=""Sangria""),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74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85" t="str">
        <f>IFERROR(__xludf.DUMMYFUNCTION("ifna(VALUE(REGEXEXTRACT(E191,""[0-9.]+[,]+[0-9]+"")))"),"")</f>
        <v/>
      </c>
      <c r="O191" s="185"/>
      <c r="P191" s="185"/>
      <c r="Q191" s="185"/>
      <c r="R191" s="185"/>
      <c r="S191" s="185"/>
      <c r="T191" s="185"/>
      <c r="U191" s="185"/>
      <c r="V191" s="185"/>
      <c r="W191" s="185"/>
    </row>
    <row r="192" ht="14.25" customHeight="1">
      <c r="A192" s="178"/>
      <c r="B192" s="12"/>
      <c r="C192" s="13"/>
      <c r="D192" s="179"/>
      <c r="E192" s="180"/>
      <c r="F192" s="181"/>
      <c r="G192" s="179"/>
      <c r="H192" s="190"/>
      <c r="I192" s="190"/>
      <c r="J192" s="187"/>
      <c r="K192" s="187"/>
      <c r="L192" s="270" t="str">
        <f>IFERROR(__xludf.DUMMYFUNCTION("IF(
  AND(D192=""Saída"", J192=""Sangria""),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72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85" t="str">
        <f>IFERROR(__xludf.DUMMYFUNCTION("ifna(VALUE(REGEXEXTRACT(E192,""[0-9.]+[,]+[0-9]+"")))"),"")</f>
        <v/>
      </c>
      <c r="O192" s="185"/>
      <c r="P192" s="185"/>
      <c r="Q192" s="185"/>
      <c r="R192" s="185"/>
      <c r="S192" s="185"/>
      <c r="T192" s="185"/>
      <c r="U192" s="185"/>
      <c r="V192" s="185"/>
      <c r="W192" s="185"/>
    </row>
    <row r="193" ht="14.25" customHeight="1">
      <c r="A193" s="178"/>
      <c r="B193" s="12"/>
      <c r="C193" s="13"/>
      <c r="D193" s="179"/>
      <c r="E193" s="180"/>
      <c r="F193" s="181"/>
      <c r="G193" s="179"/>
      <c r="H193" s="190"/>
      <c r="I193" s="190"/>
      <c r="J193" s="187"/>
      <c r="K193" s="187"/>
      <c r="L193" s="270" t="str">
        <f>IFERROR(__xludf.DUMMYFUNCTION("IF(
  AND(D193=""Saída"", J193=""Sangria""),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74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85" t="str">
        <f>IFERROR(__xludf.DUMMYFUNCTION("ifna(VALUE(REGEXEXTRACT(E193,""[0-9.]+[,]+[0-9]+"")))"),"")</f>
        <v/>
      </c>
      <c r="O193" s="185"/>
      <c r="P193" s="185"/>
      <c r="Q193" s="185"/>
      <c r="R193" s="185"/>
      <c r="S193" s="185"/>
      <c r="T193" s="185"/>
      <c r="U193" s="185"/>
      <c r="V193" s="185"/>
      <c r="W193" s="185"/>
    </row>
    <row r="194" ht="14.25" customHeight="1">
      <c r="A194" s="178"/>
      <c r="B194" s="12"/>
      <c r="C194" s="13"/>
      <c r="D194" s="179"/>
      <c r="E194" s="180"/>
      <c r="F194" s="181"/>
      <c r="G194" s="179"/>
      <c r="H194" s="190"/>
      <c r="I194" s="190"/>
      <c r="J194" s="187"/>
      <c r="K194" s="187"/>
      <c r="L194" s="270" t="str">
        <f>IFERROR(__xludf.DUMMYFUNCTION("IF(
  AND(D194=""Saída"", J194=""Sangria""),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72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85" t="str">
        <f>IFERROR(__xludf.DUMMYFUNCTION("ifna(VALUE(REGEXEXTRACT(E194,""[0-9.]+[,]+[0-9]+"")))"),"")</f>
        <v/>
      </c>
      <c r="O194" s="185"/>
      <c r="P194" s="185"/>
      <c r="Q194" s="185"/>
      <c r="R194" s="185"/>
      <c r="S194" s="185"/>
      <c r="T194" s="185"/>
      <c r="U194" s="185"/>
      <c r="V194" s="185"/>
      <c r="W194" s="185"/>
    </row>
    <row r="195" ht="14.25" customHeight="1">
      <c r="A195" s="178"/>
      <c r="B195" s="12"/>
      <c r="C195" s="13"/>
      <c r="D195" s="179"/>
      <c r="E195" s="180"/>
      <c r="F195" s="181"/>
      <c r="G195" s="179"/>
      <c r="H195" s="190"/>
      <c r="I195" s="190"/>
      <c r="J195" s="187"/>
      <c r="K195" s="187"/>
      <c r="L195" s="270" t="str">
        <f>IFERROR(__xludf.DUMMYFUNCTION("IF(
  AND(D195=""Saída"", J195=""Sangria""),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74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85" t="str">
        <f>IFERROR(__xludf.DUMMYFUNCTION("ifna(VALUE(REGEXEXTRACT(E195,""[0-9.]+[,]+[0-9]+"")))"),"")</f>
        <v/>
      </c>
      <c r="O195" s="185"/>
      <c r="P195" s="185"/>
      <c r="Q195" s="185"/>
      <c r="R195" s="185"/>
      <c r="S195" s="185"/>
      <c r="T195" s="185"/>
      <c r="U195" s="185"/>
      <c r="V195" s="185"/>
      <c r="W195" s="185"/>
    </row>
    <row r="196" ht="14.25" customHeight="1">
      <c r="A196" s="178"/>
      <c r="B196" s="12"/>
      <c r="C196" s="13"/>
      <c r="D196" s="179"/>
      <c r="E196" s="180"/>
      <c r="F196" s="181"/>
      <c r="G196" s="179"/>
      <c r="H196" s="190"/>
      <c r="I196" s="190"/>
      <c r="J196" s="187"/>
      <c r="K196" s="187"/>
      <c r="L196" s="270" t="str">
        <f>IFERROR(__xludf.DUMMYFUNCTION("IF(
  AND(D196=""Saída"", J196=""Sangria""),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72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85" t="str">
        <f>IFERROR(__xludf.DUMMYFUNCTION("ifna(VALUE(REGEXEXTRACT(E196,""[0-9.]+[,]+[0-9]+"")))"),"")</f>
        <v/>
      </c>
      <c r="O196" s="185"/>
      <c r="P196" s="185"/>
      <c r="Q196" s="185"/>
      <c r="R196" s="185"/>
      <c r="S196" s="185"/>
      <c r="T196" s="185"/>
      <c r="U196" s="185"/>
      <c r="V196" s="185"/>
      <c r="W196" s="185"/>
    </row>
    <row r="197" ht="14.25" customHeight="1">
      <c r="A197" s="178"/>
      <c r="B197" s="12"/>
      <c r="C197" s="13"/>
      <c r="D197" s="179"/>
      <c r="E197" s="180"/>
      <c r="F197" s="181"/>
      <c r="G197" s="179"/>
      <c r="H197" s="190"/>
      <c r="I197" s="190"/>
      <c r="J197" s="187"/>
      <c r="K197" s="187"/>
      <c r="L197" s="270" t="str">
        <f>IFERROR(__xludf.DUMMYFUNCTION("IF(
  AND(D197=""Saída"", J197=""Sangria""),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74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85" t="str">
        <f>IFERROR(__xludf.DUMMYFUNCTION("ifna(VALUE(REGEXEXTRACT(E197,""[0-9.]+[,]+[0-9]+"")))"),"")</f>
        <v/>
      </c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ht="14.25" customHeight="1">
      <c r="A198" s="178"/>
      <c r="B198" s="12"/>
      <c r="C198" s="13"/>
      <c r="D198" s="179"/>
      <c r="E198" s="180"/>
      <c r="F198" s="181"/>
      <c r="G198" s="179"/>
      <c r="H198" s="190"/>
      <c r="I198" s="190"/>
      <c r="J198" s="187"/>
      <c r="K198" s="187"/>
      <c r="L198" s="270" t="str">
        <f>IFERROR(__xludf.DUMMYFUNCTION("IF(
  AND(D198=""Saída"", J198=""Sangria""),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72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85" t="str">
        <f>IFERROR(__xludf.DUMMYFUNCTION("ifna(VALUE(REGEXEXTRACT(E198,""[0-9.]+[,]+[0-9]+"")))"),"")</f>
        <v/>
      </c>
      <c r="O198" s="185"/>
      <c r="P198" s="185"/>
      <c r="Q198" s="185"/>
      <c r="R198" s="185"/>
      <c r="S198" s="185"/>
      <c r="T198" s="185"/>
      <c r="U198" s="185"/>
      <c r="V198" s="185"/>
      <c r="W198" s="185"/>
    </row>
    <row r="199" ht="14.25" customHeight="1">
      <c r="A199" s="178"/>
      <c r="B199" s="12"/>
      <c r="C199" s="13"/>
      <c r="D199" s="179"/>
      <c r="E199" s="180"/>
      <c r="F199" s="181"/>
      <c r="G199" s="179"/>
      <c r="H199" s="190"/>
      <c r="I199" s="190"/>
      <c r="J199" s="187"/>
      <c r="K199" s="187"/>
      <c r="L199" s="270" t="str">
        <f>IFERROR(__xludf.DUMMYFUNCTION("IF(
  AND(D199=""Saída"", J199=""Sangria""),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74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85" t="str">
        <f>IFERROR(__xludf.DUMMYFUNCTION("ifna(VALUE(REGEXEXTRACT(E199,""[0-9.]+[,]+[0-9]+"")))"),"")</f>
        <v/>
      </c>
      <c r="O199" s="185"/>
      <c r="P199" s="185"/>
      <c r="Q199" s="185"/>
      <c r="R199" s="185"/>
      <c r="S199" s="185"/>
      <c r="T199" s="185"/>
      <c r="U199" s="185"/>
      <c r="V199" s="185"/>
      <c r="W199" s="185"/>
    </row>
    <row r="200" ht="14.25" customHeight="1">
      <c r="A200" s="178"/>
      <c r="B200" s="12"/>
      <c r="C200" s="13"/>
      <c r="D200" s="179"/>
      <c r="E200" s="180"/>
      <c r="F200" s="188"/>
      <c r="G200" s="179"/>
      <c r="H200" s="190"/>
      <c r="I200" s="190"/>
      <c r="J200" s="187"/>
      <c r="K200" s="187"/>
      <c r="L200" s="270" t="str">
        <f>IFERROR(__xludf.DUMMYFUNCTION("IF(
  AND(D200=""Saída"", J200=""Sangria""),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72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85" t="str">
        <f>IFERROR(__xludf.DUMMYFUNCTION("ifna(VALUE(REGEXEXTRACT(E200,""[0-9.]+[,]+[0-9]+"")))"),"")</f>
        <v/>
      </c>
      <c r="O200" s="185"/>
      <c r="P200" s="185"/>
      <c r="Q200" s="185"/>
      <c r="R200" s="185"/>
      <c r="S200" s="185"/>
      <c r="T200" s="185"/>
      <c r="U200" s="185"/>
      <c r="V200" s="185"/>
      <c r="W200" s="185"/>
    </row>
    <row r="201" ht="14.25" customHeight="1">
      <c r="A201" s="178"/>
      <c r="B201" s="12"/>
      <c r="C201" s="13"/>
      <c r="D201" s="179"/>
      <c r="E201" s="180"/>
      <c r="F201" s="181"/>
      <c r="G201" s="179"/>
      <c r="H201" s="190"/>
      <c r="I201" s="190"/>
      <c r="J201" s="187"/>
      <c r="K201" s="187"/>
      <c r="L201" s="270" t="str">
        <f>IFERROR(__xludf.DUMMYFUNCTION("IF(
  AND(D201=""Saída"", J201=""Sangria""),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74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85" t="str">
        <f>IFERROR(__xludf.DUMMYFUNCTION("ifna(VALUE(REGEXEXTRACT(E201,""[0-9.]+[,]+[0-9]+"")))"),"")</f>
        <v/>
      </c>
      <c r="O201" s="185"/>
      <c r="P201" s="185"/>
      <c r="Q201" s="185"/>
      <c r="R201" s="185"/>
      <c r="S201" s="185"/>
      <c r="T201" s="185"/>
      <c r="U201" s="185"/>
      <c r="V201" s="185"/>
      <c r="W201" s="185"/>
    </row>
    <row r="202" ht="14.25" customHeight="1">
      <c r="A202" s="178"/>
      <c r="B202" s="12"/>
      <c r="C202" s="13"/>
      <c r="D202" s="179"/>
      <c r="E202" s="180"/>
      <c r="F202" s="181"/>
      <c r="G202" s="179"/>
      <c r="H202" s="190"/>
      <c r="I202" s="190"/>
      <c r="J202" s="187"/>
      <c r="K202" s="187"/>
      <c r="L202" s="270" t="str">
        <f>IFERROR(__xludf.DUMMYFUNCTION("IF(
  AND(D202=""Saída"", J202=""Sangria""),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72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85" t="str">
        <f>IFERROR(__xludf.DUMMYFUNCTION("ifna(VALUE(REGEXEXTRACT(E202,""[0-9.]+[,]+[0-9]+"")))"),"")</f>
        <v/>
      </c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ht="14.25" customHeight="1">
      <c r="A203" s="178"/>
      <c r="B203" s="12"/>
      <c r="C203" s="13"/>
      <c r="D203" s="179"/>
      <c r="E203" s="180"/>
      <c r="F203" s="181"/>
      <c r="G203" s="179"/>
      <c r="H203" s="190"/>
      <c r="I203" s="190"/>
      <c r="J203" s="187"/>
      <c r="K203" s="187"/>
      <c r="L203" s="270" t="str">
        <f>IFERROR(__xludf.DUMMYFUNCTION("IF(
  AND(D203=""Saída"", J203=""Sangria""),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74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85" t="str">
        <f>IFERROR(__xludf.DUMMYFUNCTION("ifna(VALUE(REGEXEXTRACT(E203,""[0-9.]+[,]+[0-9]+"")))"),"")</f>
        <v/>
      </c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ht="14.25" customHeight="1">
      <c r="A204" s="178"/>
      <c r="B204" s="12"/>
      <c r="C204" s="13"/>
      <c r="D204" s="179"/>
      <c r="E204" s="180"/>
      <c r="F204" s="181"/>
      <c r="G204" s="179"/>
      <c r="H204" s="190"/>
      <c r="I204" s="190"/>
      <c r="J204" s="187"/>
      <c r="K204" s="187"/>
      <c r="L204" s="270" t="str">
        <f>IFERROR(__xludf.DUMMYFUNCTION("IF(
  AND(D204=""Saída"", J204=""Sangria""),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72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85" t="str">
        <f>IFERROR(__xludf.DUMMYFUNCTION("ifna(VALUE(REGEXEXTRACT(E204,""[0-9.]+[,]+[0-9]+"")))"),"")</f>
        <v/>
      </c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ht="14.25" customHeight="1">
      <c r="A205" s="178"/>
      <c r="B205" s="12"/>
      <c r="C205" s="13"/>
      <c r="D205" s="179"/>
      <c r="E205" s="180"/>
      <c r="F205" s="181"/>
      <c r="G205" s="179"/>
      <c r="H205" s="190"/>
      <c r="I205" s="190"/>
      <c r="J205" s="187"/>
      <c r="K205" s="187"/>
      <c r="L205" s="270" t="str">
        <f>IFERROR(__xludf.DUMMYFUNCTION("IF(
  AND(D205=""Saída"", J205=""Sangria""),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74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85" t="str">
        <f>IFERROR(__xludf.DUMMYFUNCTION("ifna(VALUE(REGEXEXTRACT(E205,""[0-9.]+[,]+[0-9]+"")))"),"")</f>
        <v/>
      </c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ht="14.25" customHeight="1">
      <c r="A206" s="178"/>
      <c r="B206" s="12"/>
      <c r="C206" s="13"/>
      <c r="D206" s="179"/>
      <c r="E206" s="180"/>
      <c r="F206" s="188"/>
      <c r="G206" s="179"/>
      <c r="H206" s="190"/>
      <c r="I206" s="190"/>
      <c r="J206" s="187"/>
      <c r="K206" s="187"/>
      <c r="L206" s="270" t="str">
        <f>IFERROR(__xludf.DUMMYFUNCTION("IF(
  AND(D206=""Saída"", J206=""Sangria""),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72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85" t="str">
        <f>IFERROR(__xludf.DUMMYFUNCTION("ifna(VALUE(REGEXEXTRACT(E206,""[0-9.]+[,]+[0-9]+"")))"),"")</f>
        <v/>
      </c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ht="14.25" customHeight="1">
      <c r="A207" s="178"/>
      <c r="B207" s="12"/>
      <c r="C207" s="13"/>
      <c r="D207" s="179"/>
      <c r="E207" s="180"/>
      <c r="F207" s="181"/>
      <c r="G207" s="179"/>
      <c r="H207" s="190"/>
      <c r="I207" s="190"/>
      <c r="J207" s="187"/>
      <c r="K207" s="187"/>
      <c r="L207" s="270" t="str">
        <f>IFERROR(__xludf.DUMMYFUNCTION("IF(
  AND(D207=""Saída"", J207=""Sangria""),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74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85" t="str">
        <f>IFERROR(__xludf.DUMMYFUNCTION("ifna(VALUE(REGEXEXTRACT(E207,""[0-9.]+[,]+[0-9]+"")))"),"")</f>
        <v/>
      </c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ht="14.25" customHeight="1">
      <c r="A208" s="178"/>
      <c r="B208" s="12"/>
      <c r="C208" s="13"/>
      <c r="D208" s="179"/>
      <c r="E208" s="180"/>
      <c r="F208" s="181"/>
      <c r="G208" s="179"/>
      <c r="H208" s="190"/>
      <c r="I208" s="190"/>
      <c r="J208" s="187"/>
      <c r="K208" s="187"/>
      <c r="L208" s="270" t="str">
        <f>IFERROR(__xludf.DUMMYFUNCTION("IF(
  AND(D208=""Saída"", J208=""Sangria""),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72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85" t="str">
        <f>IFERROR(__xludf.DUMMYFUNCTION("ifna(VALUE(REGEXEXTRACT(E208,""[0-9.]+[,]+[0-9]+"")))"),"")</f>
        <v/>
      </c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ht="14.25" customHeight="1">
      <c r="A209" s="178"/>
      <c r="B209" s="12"/>
      <c r="C209" s="13"/>
      <c r="D209" s="179"/>
      <c r="E209" s="180"/>
      <c r="F209" s="181"/>
      <c r="G209" s="179"/>
      <c r="H209" s="190"/>
      <c r="I209" s="190"/>
      <c r="K209" s="187"/>
      <c r="L209" s="270" t="str">
        <f>IFERROR(__xludf.DUMMYFUNCTION("IF(
  AND(D209=""Saída"", J209=""Sangria""),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74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85" t="str">
        <f>IFERROR(__xludf.DUMMYFUNCTION("ifna(VALUE(REGEXEXTRACT(E209,""[0-9.]+[,]+[0-9]+"")))"),"")</f>
        <v/>
      </c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ht="14.25" customHeight="1">
      <c r="A210" s="178"/>
      <c r="B210" s="12"/>
      <c r="C210" s="13"/>
      <c r="D210" s="179"/>
      <c r="E210" s="180"/>
      <c r="F210" s="188"/>
      <c r="G210" s="179"/>
      <c r="H210" s="190"/>
      <c r="I210" s="190"/>
      <c r="J210" s="187"/>
      <c r="K210" s="187"/>
      <c r="L210" s="270" t="str">
        <f>IFERROR(__xludf.DUMMYFUNCTION("IF(
  AND(D210=""Saída"", J210=""Sangria""),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72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85" t="str">
        <f>IFERROR(__xludf.DUMMYFUNCTION("ifna(VALUE(REGEXEXTRACT(E210,""[0-9.]+[,]+[0-9]+"")))"),"")</f>
        <v/>
      </c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ht="14.25" customHeight="1">
      <c r="A211" s="178"/>
      <c r="B211" s="12"/>
      <c r="C211" s="13"/>
      <c r="D211" s="179"/>
      <c r="E211" s="180"/>
      <c r="F211" s="181"/>
      <c r="G211" s="179"/>
      <c r="H211" s="190"/>
      <c r="I211" s="190"/>
      <c r="J211" s="187"/>
      <c r="K211" s="187"/>
      <c r="L211" s="270" t="str">
        <f>IFERROR(__xludf.DUMMYFUNCTION("IF(
  AND(D211=""Saída"", J211=""Sangria""),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74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85" t="str">
        <f>IFERROR(__xludf.DUMMYFUNCTION("ifna(VALUE(REGEXEXTRACT(E211,""[0-9.]+[,]+[0-9]+"")))"),"")</f>
        <v/>
      </c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ht="14.25" customHeight="1">
      <c r="A212" s="178"/>
      <c r="B212" s="12"/>
      <c r="C212" s="13"/>
      <c r="D212" s="179"/>
      <c r="E212" s="180"/>
      <c r="F212" s="188"/>
      <c r="G212" s="179"/>
      <c r="H212" s="190"/>
      <c r="I212" s="190"/>
      <c r="J212" s="187"/>
      <c r="K212" s="187"/>
      <c r="L212" s="270" t="str">
        <f>IFERROR(__xludf.DUMMYFUNCTION("IF(
  AND(D212=""Saída"", J212=""Sangria""),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72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85" t="str">
        <f>IFERROR(__xludf.DUMMYFUNCTION("ifna(VALUE(REGEXEXTRACT(E212,""[0-9.]+[,]+[0-9]+"")))"),"")</f>
        <v/>
      </c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ht="14.25" customHeight="1">
      <c r="A213" s="178"/>
      <c r="B213" s="12"/>
      <c r="C213" s="13"/>
      <c r="D213" s="179"/>
      <c r="E213" s="180"/>
      <c r="F213" s="181"/>
      <c r="G213" s="179"/>
      <c r="H213" s="190"/>
      <c r="I213" s="190"/>
      <c r="J213" s="187"/>
      <c r="K213" s="187"/>
      <c r="L213" s="270" t="str">
        <f>IFERROR(__xludf.DUMMYFUNCTION("IF(
  AND(D213=""Saída"", J213=""Sangria""),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74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85" t="str">
        <f>IFERROR(__xludf.DUMMYFUNCTION("ifna(VALUE(REGEXEXTRACT(E213,""[0-9.]+[,]+[0-9]+"")))"),"")</f>
        <v/>
      </c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ht="14.25" customHeight="1">
      <c r="A214" s="178"/>
      <c r="B214" s="12"/>
      <c r="C214" s="13"/>
      <c r="D214" s="179"/>
      <c r="E214" s="180"/>
      <c r="F214" s="181"/>
      <c r="G214" s="179"/>
      <c r="H214" s="190"/>
      <c r="I214" s="190"/>
      <c r="J214" s="187"/>
      <c r="K214" s="187"/>
      <c r="L214" s="270" t="str">
        <f>IFERROR(__xludf.DUMMYFUNCTION("IF(
  AND(D214=""Saída"", J214=""Sangria""),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72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85" t="str">
        <f>IFERROR(__xludf.DUMMYFUNCTION("ifna(VALUE(REGEXEXTRACT(E214,""[0-9.]+[,]+[0-9]+"")))"),"")</f>
        <v/>
      </c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ht="14.25" customHeight="1">
      <c r="A215" s="178"/>
      <c r="B215" s="12"/>
      <c r="C215" s="13"/>
      <c r="D215" s="179"/>
      <c r="E215" s="180"/>
      <c r="F215" s="181"/>
      <c r="G215" s="179"/>
      <c r="H215" s="190"/>
      <c r="I215" s="190"/>
      <c r="J215" s="187"/>
      <c r="K215" s="187"/>
      <c r="L215" s="270" t="str">
        <f>IFERROR(__xludf.DUMMYFUNCTION("IF(
  AND(D215=""Saída"", J215=""Sangria""),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74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85" t="str">
        <f>IFERROR(__xludf.DUMMYFUNCTION("ifna(VALUE(REGEXEXTRACT(E215,""[0-9.]+[,]+[0-9]+"")))"),"")</f>
        <v/>
      </c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ht="14.25" customHeight="1">
      <c r="A216" s="178"/>
      <c r="B216" s="12"/>
      <c r="C216" s="13"/>
      <c r="D216" s="179"/>
      <c r="E216" s="180"/>
      <c r="F216" s="188"/>
      <c r="G216" s="179"/>
      <c r="H216" s="190"/>
      <c r="I216" s="190"/>
      <c r="J216" s="187"/>
      <c r="K216" s="187"/>
      <c r="L216" s="270" t="str">
        <f>IFERROR(__xludf.DUMMYFUNCTION("IF(
  AND(D216=""Saída"", J216=""Sangria""),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72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85" t="str">
        <f>IFERROR(__xludf.DUMMYFUNCTION("ifna(VALUE(REGEXEXTRACT(E216,""[0-9.]+[,]+[0-9]+"")))"),"")</f>
        <v/>
      </c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ht="14.25" customHeight="1">
      <c r="A217" s="178"/>
      <c r="B217" s="12"/>
      <c r="C217" s="13"/>
      <c r="D217" s="179"/>
      <c r="E217" s="180"/>
      <c r="F217" s="181"/>
      <c r="G217" s="179"/>
      <c r="H217" s="190"/>
      <c r="I217" s="190"/>
      <c r="J217" s="187"/>
      <c r="K217" s="187"/>
      <c r="L217" s="270" t="str">
        <f>IFERROR(__xludf.DUMMYFUNCTION("IF(
  AND(D217=""Saída"", J217=""Sangria""),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74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85" t="str">
        <f>IFERROR(__xludf.DUMMYFUNCTION("ifna(VALUE(REGEXEXTRACT(E217,""[0-9.]+[,]+[0-9]+"")))"),"")</f>
        <v/>
      </c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ht="14.25" customHeight="1">
      <c r="A218" s="178"/>
      <c r="B218" s="12"/>
      <c r="C218" s="13"/>
      <c r="D218" s="179"/>
      <c r="E218" s="180"/>
      <c r="F218" s="181"/>
      <c r="G218" s="179"/>
      <c r="H218" s="190"/>
      <c r="I218" s="190"/>
      <c r="J218" s="187"/>
      <c r="K218" s="187"/>
      <c r="L218" s="270" t="str">
        <f>IFERROR(__xludf.DUMMYFUNCTION("IF(
  AND(D218=""Saída"", J218=""Sangria""),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72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85" t="str">
        <f>IFERROR(__xludf.DUMMYFUNCTION("ifna(VALUE(REGEXEXTRACT(E218,""[0-9.]+[,]+[0-9]+"")))"),"")</f>
        <v/>
      </c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ht="14.25" customHeight="1">
      <c r="A219" s="178"/>
      <c r="B219" s="12"/>
      <c r="C219" s="13"/>
      <c r="D219" s="179"/>
      <c r="E219" s="180"/>
      <c r="F219" s="181"/>
      <c r="G219" s="179"/>
      <c r="H219" s="190"/>
      <c r="I219" s="190"/>
      <c r="J219" s="187"/>
      <c r="K219" s="187"/>
      <c r="L219" s="270" t="str">
        <f>IFERROR(__xludf.DUMMYFUNCTION("IF(
  AND(D219=""Saída"", J219=""Sangria""),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74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85" t="str">
        <f>IFERROR(__xludf.DUMMYFUNCTION("ifna(VALUE(REGEXEXTRACT(E219,""[0-9.]+[,]+[0-9]+"")))"),"")</f>
        <v/>
      </c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ht="14.25" customHeight="1">
      <c r="A220" s="178"/>
      <c r="B220" s="12"/>
      <c r="C220" s="13"/>
      <c r="D220" s="179"/>
      <c r="E220" s="180"/>
      <c r="F220" s="181"/>
      <c r="G220" s="179"/>
      <c r="H220" s="190"/>
      <c r="I220" s="190"/>
      <c r="J220" s="187"/>
      <c r="K220" s="187"/>
      <c r="L220" s="270" t="str">
        <f>IFERROR(__xludf.DUMMYFUNCTION("IF(
  AND(D220=""Saída"", J220=""Sangria""),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72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85" t="str">
        <f>IFERROR(__xludf.DUMMYFUNCTION("ifna(VALUE(REGEXEXTRACT(E220,""[0-9.]+[,]+[0-9]+"")))"),"")</f>
        <v/>
      </c>
      <c r="O220" s="185"/>
      <c r="P220" s="185"/>
      <c r="Q220" s="185"/>
      <c r="R220" s="185"/>
      <c r="S220" s="185"/>
      <c r="T220" s="185"/>
      <c r="U220" s="185"/>
      <c r="V220" s="185"/>
      <c r="W220" s="185"/>
    </row>
    <row r="221" ht="14.25" customHeight="1">
      <c r="A221" s="178"/>
      <c r="B221" s="12"/>
      <c r="C221" s="13"/>
      <c r="D221" s="179"/>
      <c r="E221" s="180"/>
      <c r="F221" s="181"/>
      <c r="G221" s="179"/>
      <c r="H221" s="190"/>
      <c r="I221" s="190"/>
      <c r="J221" s="187"/>
      <c r="K221" s="187"/>
      <c r="L221" s="270" t="str">
        <f>IFERROR(__xludf.DUMMYFUNCTION("IF(
  AND(D221=""Saída"", J221=""Sangria""),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74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85" t="str">
        <f>IFERROR(__xludf.DUMMYFUNCTION("ifna(VALUE(REGEXEXTRACT(E221,""[0-9.]+[,]+[0-9]+"")))"),"")</f>
        <v/>
      </c>
      <c r="O221" s="185"/>
      <c r="P221" s="185"/>
      <c r="Q221" s="185"/>
      <c r="R221" s="185"/>
      <c r="S221" s="185"/>
      <c r="T221" s="185"/>
      <c r="U221" s="185"/>
      <c r="V221" s="185"/>
      <c r="W221" s="185"/>
    </row>
    <row r="222" ht="14.25" customHeight="1">
      <c r="A222" s="178"/>
      <c r="B222" s="12"/>
      <c r="C222" s="13"/>
      <c r="D222" s="179"/>
      <c r="E222" s="180"/>
      <c r="F222" s="181"/>
      <c r="G222" s="179"/>
      <c r="H222" s="190"/>
      <c r="I222" s="190"/>
      <c r="J222" s="187"/>
      <c r="K222" s="187"/>
      <c r="L222" s="270" t="str">
        <f>IFERROR(__xludf.DUMMYFUNCTION("IF(
  AND(D222=""Saída"", J222=""Sangria""),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72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85" t="str">
        <f>IFERROR(__xludf.DUMMYFUNCTION("ifna(VALUE(REGEXEXTRACT(E222,""[0-9.]+[,]+[0-9]+"")))"),"")</f>
        <v/>
      </c>
      <c r="O222" s="185"/>
      <c r="P222" s="185"/>
      <c r="Q222" s="185"/>
      <c r="R222" s="185"/>
      <c r="S222" s="185"/>
      <c r="T222" s="185"/>
      <c r="U222" s="185"/>
      <c r="V222" s="185"/>
      <c r="W222" s="185"/>
    </row>
    <row r="223" ht="14.25" customHeight="1">
      <c r="A223" s="178"/>
      <c r="B223" s="12"/>
      <c r="C223" s="13"/>
      <c r="D223" s="179"/>
      <c r="E223" s="180"/>
      <c r="F223" s="181"/>
      <c r="G223" s="179"/>
      <c r="H223" s="190"/>
      <c r="I223" s="190"/>
      <c r="J223" s="187"/>
      <c r="K223" s="187"/>
      <c r="L223" s="270" t="str">
        <f>IFERROR(__xludf.DUMMYFUNCTION("IF(
  AND(D223=""Saída"", J223=""Sangria""),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74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85" t="str">
        <f>IFERROR(__xludf.DUMMYFUNCTION("ifna(VALUE(REGEXEXTRACT(E223,""[0-9.]+[,]+[0-9]+"")))"),"")</f>
        <v/>
      </c>
      <c r="O223" s="185"/>
      <c r="P223" s="185"/>
      <c r="Q223" s="185"/>
      <c r="R223" s="185"/>
      <c r="S223" s="185"/>
      <c r="T223" s="185"/>
      <c r="U223" s="185"/>
      <c r="V223" s="185"/>
      <c r="W223" s="185"/>
    </row>
    <row r="224" ht="14.25" customHeight="1">
      <c r="A224" s="178"/>
      <c r="B224" s="12"/>
      <c r="C224" s="13"/>
      <c r="D224" s="179"/>
      <c r="E224" s="180"/>
      <c r="F224" s="181"/>
      <c r="G224" s="179"/>
      <c r="H224" s="190"/>
      <c r="I224" s="190"/>
      <c r="J224" s="187"/>
      <c r="K224" s="187"/>
      <c r="L224" s="270" t="str">
        <f>IFERROR(__xludf.DUMMYFUNCTION("IF(
  AND(D224=""Saída"", J224=""Sangria""),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72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85" t="str">
        <f>IFERROR(__xludf.DUMMYFUNCTION("ifna(VALUE(REGEXEXTRACT(E224,""[0-9.]+[,]+[0-9]+"")))"),"")</f>
        <v/>
      </c>
      <c r="O224" s="185"/>
      <c r="P224" s="185"/>
      <c r="Q224" s="185"/>
      <c r="R224" s="185"/>
      <c r="S224" s="185"/>
      <c r="T224" s="185"/>
      <c r="U224" s="185"/>
      <c r="V224" s="185"/>
      <c r="W224" s="185"/>
    </row>
    <row r="225" ht="14.25" customHeight="1">
      <c r="A225" s="178"/>
      <c r="B225" s="12"/>
      <c r="C225" s="13"/>
      <c r="D225" s="179"/>
      <c r="E225" s="180"/>
      <c r="F225" s="181"/>
      <c r="G225" s="179"/>
      <c r="H225" s="190"/>
      <c r="I225" s="190"/>
      <c r="J225" s="187"/>
      <c r="K225" s="189"/>
      <c r="L225" s="270" t="str">
        <f>IFERROR(__xludf.DUMMYFUNCTION("IF(
  AND(D225=""Saída"", J225=""Sangria""),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74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85" t="str">
        <f>IFERROR(__xludf.DUMMYFUNCTION("ifna(VALUE(REGEXEXTRACT(E225,""[0-9.]+[,]+[0-9]+"")))"),"")</f>
        <v/>
      </c>
      <c r="O225" s="185"/>
      <c r="P225" s="185"/>
      <c r="Q225" s="185"/>
      <c r="R225" s="185"/>
      <c r="S225" s="185"/>
      <c r="T225" s="185"/>
      <c r="U225" s="185"/>
      <c r="V225" s="185"/>
      <c r="W225" s="185"/>
    </row>
    <row r="226" ht="14.25" customHeight="1">
      <c r="A226" s="178"/>
      <c r="B226" s="12"/>
      <c r="C226" s="13"/>
      <c r="D226" s="179"/>
      <c r="E226" s="180"/>
      <c r="F226" s="188"/>
      <c r="G226" s="179"/>
      <c r="H226" s="190"/>
      <c r="I226" s="190"/>
      <c r="J226" s="187"/>
      <c r="K226" s="187"/>
      <c r="L226" s="270" t="str">
        <f>IFERROR(__xludf.DUMMYFUNCTION("IF(
  AND(D226=""Saída"", J226=""Sangria""),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72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85" t="str">
        <f>IFERROR(__xludf.DUMMYFUNCTION("ifna(VALUE(REGEXEXTRACT(E226,""[0-9.]+[,]+[0-9]+"")))"),"")</f>
        <v/>
      </c>
      <c r="O226" s="185"/>
      <c r="P226" s="185"/>
      <c r="Q226" s="185"/>
      <c r="R226" s="185"/>
      <c r="S226" s="185"/>
      <c r="T226" s="185"/>
      <c r="U226" s="185"/>
      <c r="V226" s="185"/>
      <c r="W226" s="185"/>
    </row>
    <row r="227" ht="14.25" customHeight="1">
      <c r="A227" s="178"/>
      <c r="B227" s="12"/>
      <c r="C227" s="13"/>
      <c r="D227" s="179"/>
      <c r="E227" s="180"/>
      <c r="F227" s="181"/>
      <c r="G227" s="179"/>
      <c r="H227" s="190"/>
      <c r="I227" s="190"/>
      <c r="J227" s="187"/>
      <c r="K227" s="187"/>
      <c r="L227" s="270" t="str">
        <f>IFERROR(__xludf.DUMMYFUNCTION("IF(
  AND(D227=""Saída"", J227=""Sangria""),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74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85" t="str">
        <f>IFERROR(__xludf.DUMMYFUNCTION("ifna(VALUE(REGEXEXTRACT(E227,""[0-9.]+[,]+[0-9]+"")))"),"")</f>
        <v/>
      </c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ht="14.25" customHeight="1">
      <c r="A228" s="178"/>
      <c r="B228" s="12"/>
      <c r="C228" s="13"/>
      <c r="D228" s="179"/>
      <c r="E228" s="180"/>
      <c r="F228" s="181"/>
      <c r="G228" s="179"/>
      <c r="H228" s="190"/>
      <c r="I228" s="190"/>
      <c r="J228" s="187"/>
      <c r="K228" s="187"/>
      <c r="L228" s="270" t="str">
        <f>IFERROR(__xludf.DUMMYFUNCTION("IF(
  AND(D228=""Saída"", J228=""Sangria""),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72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85" t="str">
        <f>IFERROR(__xludf.DUMMYFUNCTION("ifna(VALUE(REGEXEXTRACT(E228,""[0-9.]+[,]+[0-9]+"")))"),"")</f>
        <v/>
      </c>
      <c r="O228" s="185"/>
      <c r="P228" s="185"/>
      <c r="Q228" s="185"/>
      <c r="R228" s="185"/>
      <c r="S228" s="185"/>
      <c r="T228" s="185"/>
      <c r="U228" s="185"/>
      <c r="V228" s="185"/>
      <c r="W228" s="185"/>
    </row>
    <row r="229" ht="14.25" customHeight="1">
      <c r="A229" s="178"/>
      <c r="B229" s="12"/>
      <c r="C229" s="13"/>
      <c r="D229" s="179"/>
      <c r="E229" s="180"/>
      <c r="F229" s="181"/>
      <c r="G229" s="179"/>
      <c r="H229" s="190"/>
      <c r="I229" s="190"/>
      <c r="J229" s="187"/>
      <c r="K229" s="187"/>
      <c r="L229" s="270" t="str">
        <f>IFERROR(__xludf.DUMMYFUNCTION("IF(
  AND(D229=""Saída"", J229=""Sangria""),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74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85" t="str">
        <f>IFERROR(__xludf.DUMMYFUNCTION("ifna(VALUE(REGEXEXTRACT(E229,""[0-9.]+[,]+[0-9]+"")))"),"")</f>
        <v/>
      </c>
      <c r="O229" s="185"/>
      <c r="P229" s="185"/>
      <c r="Q229" s="185"/>
      <c r="R229" s="185"/>
      <c r="S229" s="185"/>
      <c r="T229" s="185"/>
      <c r="U229" s="185"/>
      <c r="V229" s="185"/>
      <c r="W229" s="185"/>
    </row>
    <row r="230" ht="14.25" customHeight="1">
      <c r="A230" s="178"/>
      <c r="B230" s="12"/>
      <c r="C230" s="13"/>
      <c r="D230" s="179"/>
      <c r="E230" s="180"/>
      <c r="F230" s="181"/>
      <c r="G230" s="179"/>
      <c r="H230" s="190"/>
      <c r="I230" s="190"/>
      <c r="J230" s="187"/>
      <c r="K230" s="187"/>
      <c r="L230" s="270" t="str">
        <f>IFERROR(__xludf.DUMMYFUNCTION("IF(
  AND(D230=""Saída"", J230=""Sangria""),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72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85" t="str">
        <f>IFERROR(__xludf.DUMMYFUNCTION("ifna(VALUE(REGEXEXTRACT(E230,""[0-9.]+[,]+[0-9]+"")))"),"")</f>
        <v/>
      </c>
      <c r="O230" s="185"/>
      <c r="P230" s="185"/>
      <c r="Q230" s="185"/>
      <c r="R230" s="185"/>
      <c r="S230" s="185"/>
      <c r="T230" s="185"/>
      <c r="U230" s="185"/>
      <c r="V230" s="185"/>
      <c r="W230" s="185"/>
    </row>
    <row r="231" ht="14.25" customHeight="1">
      <c r="A231" s="178"/>
      <c r="B231" s="12"/>
      <c r="C231" s="13"/>
      <c r="D231" s="179"/>
      <c r="E231" s="180"/>
      <c r="F231" s="181"/>
      <c r="G231" s="12"/>
      <c r="H231" s="190"/>
      <c r="I231" s="190"/>
      <c r="J231" s="187"/>
      <c r="K231" s="187"/>
      <c r="L231" s="270" t="str">
        <f>IFERROR(__xludf.DUMMYFUNCTION("IF(
  AND(D231=""Saída"", J231=""Sangria""),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74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85" t="str">
        <f>IFERROR(__xludf.DUMMYFUNCTION("ifna(VALUE(REGEXEXTRACT(E231,""[0-9.]+[,]+[0-9]+"")))"),"")</f>
        <v/>
      </c>
      <c r="O231" s="185"/>
      <c r="P231" s="185"/>
      <c r="Q231" s="185"/>
      <c r="R231" s="185"/>
      <c r="S231" s="185"/>
      <c r="T231" s="185"/>
      <c r="U231" s="185"/>
      <c r="V231" s="185"/>
      <c r="W231" s="185"/>
    </row>
    <row r="232" ht="14.25" customHeight="1">
      <c r="A232" s="178"/>
      <c r="B232" s="12"/>
      <c r="C232" s="13"/>
      <c r="D232" s="179"/>
      <c r="E232" s="180"/>
      <c r="F232" s="188"/>
      <c r="G232" s="179"/>
      <c r="H232" s="190"/>
      <c r="I232" s="190"/>
      <c r="J232" s="187"/>
      <c r="K232" s="187"/>
      <c r="L232" s="270" t="str">
        <f>IFERROR(__xludf.DUMMYFUNCTION("IF(
  AND(D232=""Saída"", J232=""Sangria""),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72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85" t="str">
        <f>IFERROR(__xludf.DUMMYFUNCTION("ifna(VALUE(REGEXEXTRACT(E232,""[0-9.]+[,]+[0-9]+"")))"),"")</f>
        <v/>
      </c>
      <c r="O232" s="185"/>
      <c r="P232" s="185"/>
      <c r="Q232" s="185"/>
      <c r="R232" s="185"/>
      <c r="S232" s="185"/>
      <c r="T232" s="185"/>
      <c r="U232" s="185"/>
      <c r="V232" s="185"/>
      <c r="W232" s="185"/>
    </row>
    <row r="233" ht="14.25" customHeight="1">
      <c r="A233" s="178"/>
      <c r="B233" s="12"/>
      <c r="C233" s="13"/>
      <c r="D233" s="179"/>
      <c r="E233" s="180"/>
      <c r="F233" s="181"/>
      <c r="G233" s="179"/>
      <c r="H233" s="190"/>
      <c r="I233" s="190"/>
      <c r="J233" s="187"/>
      <c r="K233" s="187"/>
      <c r="L233" s="270" t="str">
        <f>IFERROR(__xludf.DUMMYFUNCTION("IF(
  AND(D233=""Saída"", J233=""Sangria""),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74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85" t="str">
        <f>IFERROR(__xludf.DUMMYFUNCTION("ifna(VALUE(REGEXEXTRACT(E233,""[0-9.]+[,]+[0-9]+"")))"),"")</f>
        <v/>
      </c>
      <c r="O233" s="185"/>
      <c r="P233" s="185"/>
      <c r="Q233" s="185"/>
      <c r="R233" s="185"/>
      <c r="S233" s="185"/>
      <c r="T233" s="185"/>
      <c r="U233" s="185"/>
      <c r="V233" s="185"/>
      <c r="W233" s="185"/>
    </row>
    <row r="234" ht="14.25" customHeight="1">
      <c r="A234" s="178"/>
      <c r="B234" s="12"/>
      <c r="C234" s="13"/>
      <c r="D234" s="179"/>
      <c r="E234" s="180"/>
      <c r="F234" s="181"/>
      <c r="G234" s="179"/>
      <c r="H234" s="190"/>
      <c r="I234" s="190"/>
      <c r="J234" s="187"/>
      <c r="K234" s="187"/>
      <c r="L234" s="270" t="str">
        <f>IFERROR(__xludf.DUMMYFUNCTION("IF(
  AND(D234=""Saída"", J234=""Sangria""),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72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85" t="str">
        <f>IFERROR(__xludf.DUMMYFUNCTION("ifna(VALUE(REGEXEXTRACT(E234,""[0-9.]+[,]+[0-9]+"")))"),"")</f>
        <v/>
      </c>
      <c r="O234" s="185"/>
      <c r="P234" s="185"/>
      <c r="Q234" s="185"/>
      <c r="R234" s="185"/>
      <c r="S234" s="185"/>
      <c r="T234" s="185"/>
      <c r="U234" s="185"/>
      <c r="V234" s="185"/>
      <c r="W234" s="185"/>
    </row>
    <row r="235" ht="14.25" customHeight="1">
      <c r="A235" s="178"/>
      <c r="C235" s="13"/>
      <c r="D235" s="179"/>
      <c r="E235" s="180"/>
      <c r="F235" s="181"/>
      <c r="G235" s="179"/>
      <c r="H235" s="190"/>
      <c r="I235" s="190"/>
      <c r="J235" s="187"/>
      <c r="K235" s="187"/>
      <c r="L235" s="270" t="str">
        <f>IFERROR(__xludf.DUMMYFUNCTION("IF(
  AND(D235=""Saída"", J235=""Sangria""),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74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85" t="str">
        <f>IFERROR(__xludf.DUMMYFUNCTION("ifna(VALUE(REGEXEXTRACT(E235,""[0-9.]+[,]+[0-9]+"")))"),"")</f>
        <v/>
      </c>
      <c r="O235" s="185"/>
      <c r="P235" s="185"/>
      <c r="Q235" s="185"/>
      <c r="R235" s="185"/>
      <c r="S235" s="185"/>
      <c r="T235" s="185"/>
      <c r="U235" s="185"/>
      <c r="V235" s="185"/>
      <c r="W235" s="185"/>
    </row>
    <row r="236" ht="14.25" customHeight="1">
      <c r="A236" s="178"/>
      <c r="B236" s="12"/>
      <c r="C236" s="13"/>
      <c r="D236" s="179"/>
      <c r="E236" s="180"/>
      <c r="F236" s="188"/>
      <c r="G236" s="179"/>
      <c r="H236" s="190"/>
      <c r="I236" s="190"/>
      <c r="J236" s="187"/>
      <c r="K236" s="187"/>
      <c r="L236" s="270" t="str">
        <f>IFERROR(__xludf.DUMMYFUNCTION("IF(
  AND(D236=""Saída"", J236=""Sangria""),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72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85" t="str">
        <f>IFERROR(__xludf.DUMMYFUNCTION("ifna(VALUE(REGEXEXTRACT(E236,""[0-9.]+[,]+[0-9]+"")))"),"")</f>
        <v/>
      </c>
      <c r="O236" s="185"/>
      <c r="P236" s="185"/>
      <c r="Q236" s="185"/>
      <c r="R236" s="185"/>
      <c r="S236" s="185"/>
      <c r="T236" s="185"/>
      <c r="U236" s="185"/>
      <c r="V236" s="185"/>
      <c r="W236" s="185"/>
    </row>
    <row r="237" ht="14.25" customHeight="1">
      <c r="A237" s="178"/>
      <c r="B237" s="12"/>
      <c r="C237" s="243"/>
      <c r="D237" s="179"/>
      <c r="E237" s="180"/>
      <c r="F237" s="181"/>
      <c r="G237" s="179"/>
      <c r="H237" s="190"/>
      <c r="I237" s="190"/>
      <c r="J237" s="187"/>
      <c r="K237" s="187"/>
      <c r="L237" s="270" t="str">
        <f>IFERROR(__xludf.DUMMYFUNCTION("IF(
  AND(D237=""Saída"", J237=""Sangria""),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74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85" t="str">
        <f>IFERROR(__xludf.DUMMYFUNCTION("ifna(VALUE(REGEXEXTRACT(E237,""[0-9.]+[,]+[0-9]+"")))"),"")</f>
        <v/>
      </c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ht="14.25" customHeight="1">
      <c r="A238" s="178"/>
      <c r="B238" s="12"/>
      <c r="C238" s="13"/>
      <c r="D238" s="179"/>
      <c r="E238" s="180"/>
      <c r="F238" s="181"/>
      <c r="G238" s="179"/>
      <c r="H238" s="190"/>
      <c r="I238" s="190"/>
      <c r="J238" s="187"/>
      <c r="K238" s="187"/>
      <c r="L238" s="270" t="str">
        <f>IFERROR(__xludf.DUMMYFUNCTION("IF(
  AND(D238=""Saída"", J238=""Sangria""),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72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85" t="str">
        <f>IFERROR(__xludf.DUMMYFUNCTION("ifna(VALUE(REGEXEXTRACT(E238,""[0-9.]+[,]+[0-9]+"")))"),"")</f>
        <v/>
      </c>
      <c r="O238" s="185"/>
      <c r="P238" s="185"/>
      <c r="Q238" s="185"/>
      <c r="R238" s="185"/>
      <c r="S238" s="185"/>
      <c r="T238" s="185"/>
      <c r="U238" s="185"/>
      <c r="V238" s="185"/>
      <c r="W238" s="185"/>
    </row>
    <row r="239" ht="14.25" customHeight="1">
      <c r="A239" s="178"/>
      <c r="B239" s="12"/>
      <c r="C239" s="13"/>
      <c r="D239" s="179"/>
      <c r="E239" s="180"/>
      <c r="F239" s="181"/>
      <c r="G239" s="179"/>
      <c r="H239" s="190"/>
      <c r="I239" s="190"/>
      <c r="J239" s="187"/>
      <c r="K239" s="187"/>
      <c r="L239" s="270" t="str">
        <f>IFERROR(__xludf.DUMMYFUNCTION("IF(
  AND(D239=""Saída"", J239=""Sangria""),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74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85" t="str">
        <f>IFERROR(__xludf.DUMMYFUNCTION("ifna(VALUE(REGEXEXTRACT(E239,""[0-9.]+[,]+[0-9]+"")))"),"")</f>
        <v/>
      </c>
      <c r="O239" s="185"/>
      <c r="P239" s="185"/>
      <c r="Q239" s="185"/>
      <c r="R239" s="185"/>
      <c r="S239" s="185"/>
      <c r="T239" s="185"/>
      <c r="U239" s="185"/>
      <c r="V239" s="185"/>
      <c r="W239" s="185"/>
    </row>
    <row r="240" ht="14.25" customHeight="1">
      <c r="A240" s="178"/>
      <c r="B240" s="12"/>
      <c r="C240" s="13"/>
      <c r="D240" s="179"/>
      <c r="E240" s="180"/>
      <c r="F240" s="181"/>
      <c r="G240" s="179"/>
      <c r="H240" s="190"/>
      <c r="I240" s="190"/>
      <c r="J240" s="187"/>
      <c r="K240" s="187"/>
      <c r="L240" s="270" t="str">
        <f>IFERROR(__xludf.DUMMYFUNCTION("IF(
  AND(D240=""Saída"", J240=""Sangria""),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72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85" t="str">
        <f>IFERROR(__xludf.DUMMYFUNCTION("ifna(VALUE(REGEXEXTRACT(E240,""[0-9.]+[,]+[0-9]+"")))"),"")</f>
        <v/>
      </c>
      <c r="O240" s="185"/>
      <c r="P240" s="185"/>
      <c r="Q240" s="185"/>
      <c r="R240" s="185"/>
      <c r="S240" s="185"/>
      <c r="T240" s="185"/>
      <c r="U240" s="185"/>
      <c r="V240" s="185"/>
      <c r="W240" s="185"/>
    </row>
    <row r="241" ht="14.25" customHeight="1">
      <c r="A241" s="178"/>
      <c r="B241" s="12"/>
      <c r="C241" s="13"/>
      <c r="D241" s="179"/>
      <c r="E241" s="180"/>
      <c r="F241" s="181"/>
      <c r="G241" s="179"/>
      <c r="H241" s="190"/>
      <c r="I241" s="190"/>
      <c r="J241" s="187"/>
      <c r="K241" s="187"/>
      <c r="L241" s="270" t="str">
        <f>IFERROR(__xludf.DUMMYFUNCTION("IF(
  AND(D241=""Saída"", J241=""Sangria""),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74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85" t="str">
        <f>IFERROR(__xludf.DUMMYFUNCTION("ifna(VALUE(REGEXEXTRACT(E241,""[0-9.]+[,]+[0-9]+"")))"),"")</f>
        <v/>
      </c>
      <c r="O241" s="185"/>
      <c r="P241" s="185"/>
      <c r="Q241" s="185"/>
      <c r="R241" s="185"/>
      <c r="S241" s="185"/>
      <c r="T241" s="185"/>
      <c r="U241" s="185"/>
      <c r="V241" s="185"/>
      <c r="W241" s="185"/>
    </row>
    <row r="242" ht="14.25" customHeight="1">
      <c r="A242" s="178"/>
      <c r="B242" s="12"/>
      <c r="C242" s="13"/>
      <c r="D242" s="179"/>
      <c r="E242" s="180"/>
      <c r="F242" s="181"/>
      <c r="G242" s="179"/>
      <c r="H242" s="190"/>
      <c r="I242" s="190"/>
      <c r="J242" s="187"/>
      <c r="K242" s="187"/>
      <c r="L242" s="270" t="str">
        <f>IFERROR(__xludf.DUMMYFUNCTION("IF(
  AND(D242=""Saída"", J242=""Sangria""),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72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85" t="str">
        <f>IFERROR(__xludf.DUMMYFUNCTION("ifna(VALUE(REGEXEXTRACT(E242,""[0-9.]+[,]+[0-9]+"")))"),"")</f>
        <v/>
      </c>
      <c r="O242" s="185"/>
      <c r="P242" s="185"/>
      <c r="Q242" s="185"/>
      <c r="R242" s="185"/>
      <c r="S242" s="185"/>
      <c r="T242" s="185"/>
      <c r="U242" s="185"/>
      <c r="V242" s="185"/>
      <c r="W242" s="185"/>
    </row>
    <row r="243" ht="14.25" customHeight="1">
      <c r="A243" s="178"/>
      <c r="B243" s="12"/>
      <c r="C243" s="13"/>
      <c r="D243" s="179"/>
      <c r="E243" s="180"/>
      <c r="F243" s="181"/>
      <c r="G243" s="179"/>
      <c r="H243" s="190"/>
      <c r="I243" s="190"/>
      <c r="J243" s="187"/>
      <c r="K243" s="187"/>
      <c r="L243" s="270" t="str">
        <f>IFERROR(__xludf.DUMMYFUNCTION("IF(
  AND(D243=""Saída"", J243=""Sangria""),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74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85" t="str">
        <f>IFERROR(__xludf.DUMMYFUNCTION("ifna(VALUE(REGEXEXTRACT(E243,""[0-9.]+[,]+[0-9]+"")))"),"")</f>
        <v/>
      </c>
      <c r="O243" s="185"/>
      <c r="P243" s="185"/>
      <c r="Q243" s="185"/>
      <c r="R243" s="185"/>
      <c r="S243" s="185"/>
      <c r="T243" s="185"/>
      <c r="U243" s="185"/>
      <c r="V243" s="185"/>
      <c r="W243" s="185"/>
    </row>
    <row r="244" ht="14.25" customHeight="1">
      <c r="A244" s="178"/>
      <c r="B244" s="12"/>
      <c r="C244" s="13"/>
      <c r="D244" s="179"/>
      <c r="E244" s="180"/>
      <c r="F244" s="181"/>
      <c r="G244" s="179"/>
      <c r="H244" s="190"/>
      <c r="I244" s="190"/>
      <c r="J244" s="187"/>
      <c r="K244" s="187"/>
      <c r="L244" s="270" t="str">
        <f>IFERROR(__xludf.DUMMYFUNCTION("IF(
  AND(D244=""Saída"", J244=""Sangria""),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72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85" t="str">
        <f>IFERROR(__xludf.DUMMYFUNCTION("ifna(VALUE(REGEXEXTRACT(E244,""[0-9.]+[,]+[0-9]+"")))"),"")</f>
        <v/>
      </c>
      <c r="O244" s="185"/>
      <c r="P244" s="185"/>
      <c r="Q244" s="185"/>
      <c r="R244" s="185"/>
      <c r="S244" s="185"/>
      <c r="T244" s="185"/>
      <c r="U244" s="185"/>
      <c r="V244" s="185"/>
      <c r="W244" s="185"/>
    </row>
    <row r="245" ht="14.25" customHeight="1">
      <c r="A245" s="178"/>
      <c r="B245" s="12"/>
      <c r="C245" s="13"/>
      <c r="D245" s="179"/>
      <c r="E245" s="180"/>
      <c r="F245" s="181"/>
      <c r="G245" s="179"/>
      <c r="H245" s="190"/>
      <c r="I245" s="190"/>
      <c r="J245" s="187"/>
      <c r="K245" s="187"/>
      <c r="L245" s="270" t="str">
        <f>IFERROR(__xludf.DUMMYFUNCTION("IF(
  AND(D245=""Saída"", J245=""Sangria""),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74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85" t="str">
        <f>IFERROR(__xludf.DUMMYFUNCTION("ifna(VALUE(REGEXEXTRACT(E245,""[0-9.]+[,]+[0-9]+"")))"),"")</f>
        <v/>
      </c>
      <c r="O245" s="185"/>
      <c r="P245" s="185"/>
      <c r="Q245" s="185"/>
      <c r="R245" s="185"/>
      <c r="S245" s="185"/>
      <c r="T245" s="185"/>
      <c r="U245" s="185"/>
      <c r="V245" s="185"/>
      <c r="W245" s="185"/>
    </row>
    <row r="246" ht="14.25" customHeight="1">
      <c r="A246" s="178"/>
      <c r="C246" s="13"/>
      <c r="D246" s="179"/>
      <c r="E246" s="180"/>
      <c r="F246" s="181"/>
      <c r="G246" s="179"/>
      <c r="H246" s="190"/>
      <c r="I246" s="190"/>
      <c r="J246" s="187"/>
      <c r="K246" s="187"/>
      <c r="L246" s="270" t="str">
        <f>IFERROR(__xludf.DUMMYFUNCTION("IF(
  AND(D246=""Saída"", J246=""Sangria""),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72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85" t="str">
        <f>IFERROR(__xludf.DUMMYFUNCTION("ifna(VALUE(REGEXEXTRACT(E246,""[0-9.]+[,]+[0-9]+"")))"),"")</f>
        <v/>
      </c>
      <c r="O246" s="185"/>
      <c r="P246" s="185"/>
      <c r="Q246" s="185"/>
      <c r="R246" s="185"/>
      <c r="S246" s="185"/>
      <c r="T246" s="185"/>
      <c r="U246" s="185"/>
      <c r="V246" s="185"/>
      <c r="W246" s="185"/>
    </row>
    <row r="247" ht="14.25" customHeight="1">
      <c r="A247" s="178"/>
      <c r="B247" s="12"/>
      <c r="C247" s="13"/>
      <c r="D247" s="179"/>
      <c r="E247" s="180"/>
      <c r="F247" s="188"/>
      <c r="G247" s="179"/>
      <c r="H247" s="190"/>
      <c r="I247" s="190"/>
      <c r="J247" s="187"/>
      <c r="K247" s="187"/>
      <c r="L247" s="270" t="str">
        <f>IFERROR(__xludf.DUMMYFUNCTION("IF(
  AND(D247=""Saída"", J247=""Sangria""),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74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85" t="str">
        <f>IFERROR(__xludf.DUMMYFUNCTION("ifna(VALUE(REGEXEXTRACT(E247,""[0-9.]+[,]+[0-9]+"")))"),"")</f>
        <v/>
      </c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ht="14.25" customHeight="1">
      <c r="A248" s="178"/>
      <c r="B248" s="12"/>
      <c r="C248" s="13"/>
      <c r="D248" s="179"/>
      <c r="E248" s="180"/>
      <c r="F248" s="181"/>
      <c r="G248" s="179"/>
      <c r="H248" s="190"/>
      <c r="I248" s="190"/>
      <c r="J248" s="187"/>
      <c r="K248" s="187"/>
      <c r="L248" s="270" t="str">
        <f>IFERROR(__xludf.DUMMYFUNCTION("IF(
  AND(D248=""Saída"", J248=""Sangria""),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72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85" t="str">
        <f>IFERROR(__xludf.DUMMYFUNCTION("ifna(VALUE(REGEXEXTRACT(E248,""[0-9.]+[,]+[0-9]+"")))"),"")</f>
        <v/>
      </c>
      <c r="O248" s="185"/>
      <c r="P248" s="185"/>
      <c r="Q248" s="185"/>
      <c r="R248" s="185"/>
      <c r="S248" s="185"/>
      <c r="T248" s="185"/>
      <c r="U248" s="185"/>
      <c r="V248" s="185"/>
      <c r="W248" s="185"/>
    </row>
    <row r="249" ht="14.25" customHeight="1">
      <c r="A249" s="178"/>
      <c r="B249" s="12"/>
      <c r="C249" s="13"/>
      <c r="D249" s="179"/>
      <c r="E249" s="180"/>
      <c r="F249" s="181"/>
      <c r="G249" s="12"/>
      <c r="H249" s="190"/>
      <c r="I249" s="190"/>
      <c r="J249" s="187"/>
      <c r="K249" s="187"/>
      <c r="L249" s="270" t="str">
        <f>IFERROR(__xludf.DUMMYFUNCTION("IF(
  AND(D249=""Saída"", J249=""Sangria""),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74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85" t="str">
        <f>IFERROR(__xludf.DUMMYFUNCTION("ifna(VALUE(REGEXEXTRACT(E249,""[0-9.]+[,]+[0-9]+"")))"),"")</f>
        <v/>
      </c>
      <c r="O249" s="185"/>
      <c r="P249" s="185"/>
      <c r="Q249" s="185"/>
      <c r="R249" s="185"/>
      <c r="S249" s="185"/>
      <c r="T249" s="185"/>
      <c r="U249" s="185"/>
      <c r="V249" s="185"/>
      <c r="W249" s="185"/>
    </row>
    <row r="250" ht="14.25" customHeight="1">
      <c r="A250" s="178"/>
      <c r="B250" s="12"/>
      <c r="C250" s="13"/>
      <c r="D250" s="179"/>
      <c r="E250" s="180"/>
      <c r="F250" s="188"/>
      <c r="G250" s="179"/>
      <c r="H250" s="190"/>
      <c r="I250" s="190"/>
      <c r="J250" s="187"/>
      <c r="K250" s="187"/>
      <c r="L250" s="270" t="str">
        <f>IFERROR(__xludf.DUMMYFUNCTION("IF(
  AND(D250=""Saída"", J250=""Sangria""),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72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85" t="str">
        <f>IFERROR(__xludf.DUMMYFUNCTION("ifna(VALUE(REGEXEXTRACT(E250,""[0-9.]+[,]+[0-9]+"")))"),"")</f>
        <v/>
      </c>
      <c r="O250" s="185"/>
      <c r="P250" s="185"/>
      <c r="Q250" s="185"/>
      <c r="R250" s="185"/>
      <c r="S250" s="185"/>
      <c r="T250" s="185"/>
      <c r="U250" s="185"/>
      <c r="V250" s="185"/>
      <c r="W250" s="185"/>
    </row>
    <row r="251" ht="14.25" customHeight="1">
      <c r="A251" s="178"/>
      <c r="B251" s="12"/>
      <c r="C251" s="13"/>
      <c r="D251" s="179"/>
      <c r="E251" s="180"/>
      <c r="F251" s="188"/>
      <c r="G251" s="179"/>
      <c r="H251" s="190"/>
      <c r="I251" s="190"/>
      <c r="J251" s="187"/>
      <c r="K251" s="187"/>
      <c r="L251" s="270" t="str">
        <f>IFERROR(__xludf.DUMMYFUNCTION("IF(
  AND(D251=""Saída"", J251=""Sangria""),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74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85" t="str">
        <f>IFERROR(__xludf.DUMMYFUNCTION("ifna(VALUE(REGEXEXTRACT(E251,""[0-9.]+[,]+[0-9]+"")))"),"")</f>
        <v/>
      </c>
      <c r="O251" s="185"/>
      <c r="P251" s="185"/>
      <c r="Q251" s="185"/>
      <c r="R251" s="185"/>
      <c r="S251" s="185"/>
      <c r="T251" s="185"/>
      <c r="U251" s="185"/>
      <c r="V251" s="185"/>
      <c r="W251" s="185"/>
    </row>
    <row r="252" ht="14.25" customHeight="1">
      <c r="A252" s="178"/>
      <c r="B252" s="12"/>
      <c r="C252" s="13"/>
      <c r="D252" s="12"/>
      <c r="E252" s="180"/>
      <c r="F252" s="181"/>
      <c r="G252" s="179"/>
      <c r="H252" s="190"/>
      <c r="I252" s="190"/>
      <c r="J252" s="187"/>
      <c r="K252" s="187"/>
      <c r="L252" s="270" t="str">
        <f>IFERROR(__xludf.DUMMYFUNCTION("IF(
  AND(D252=""Saída"", J252=""Sangria""),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72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85" t="str">
        <f>IFERROR(__xludf.DUMMYFUNCTION("ifna(VALUE(REGEXEXTRACT(E252,""[0-9.]+[,]+[0-9]+"")))"),"")</f>
        <v/>
      </c>
      <c r="O252" s="185"/>
      <c r="P252" s="185"/>
      <c r="Q252" s="185"/>
      <c r="R252" s="185"/>
      <c r="S252" s="185"/>
      <c r="T252" s="185"/>
      <c r="U252" s="185"/>
      <c r="V252" s="185"/>
      <c r="W252" s="185"/>
    </row>
    <row r="253" ht="14.25" customHeight="1">
      <c r="A253" s="178"/>
      <c r="B253" s="12"/>
      <c r="C253" s="13"/>
      <c r="D253" s="179"/>
      <c r="E253" s="180"/>
      <c r="F253" s="181"/>
      <c r="G253" s="179"/>
      <c r="H253" s="190"/>
      <c r="I253" s="190"/>
      <c r="J253" s="187"/>
      <c r="K253" s="187"/>
      <c r="L253" s="270" t="str">
        <f>IFERROR(__xludf.DUMMYFUNCTION("IF(
  AND(D253=""Saída"", J253=""Sangria""),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74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85" t="str">
        <f>IFERROR(__xludf.DUMMYFUNCTION("ifna(VALUE(REGEXEXTRACT(E253,""[0-9.]+[,]+[0-9]+"")))"),"")</f>
        <v/>
      </c>
      <c r="O253" s="185"/>
      <c r="P253" s="185"/>
      <c r="Q253" s="185"/>
      <c r="R253" s="185"/>
      <c r="S253" s="185"/>
      <c r="T253" s="185"/>
      <c r="U253" s="185"/>
      <c r="V253" s="185"/>
      <c r="W253" s="185"/>
    </row>
    <row r="254" ht="14.25" customHeight="1">
      <c r="A254" s="178"/>
      <c r="B254" s="12"/>
      <c r="C254" s="13"/>
      <c r="D254" s="179"/>
      <c r="E254" s="180"/>
      <c r="F254" s="181"/>
      <c r="G254" s="179"/>
      <c r="H254" s="190"/>
      <c r="I254" s="190"/>
      <c r="J254" s="187"/>
      <c r="K254" s="187"/>
      <c r="L254" s="270" t="str">
        <f>IFERROR(__xludf.DUMMYFUNCTION("IF(
  AND(D254=""Saída"", J254=""Sangria""),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72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85" t="str">
        <f>IFERROR(__xludf.DUMMYFUNCTION("ifna(VALUE(REGEXEXTRACT(E254,""[0-9.]+[,]+[0-9]+"")))"),"")</f>
        <v/>
      </c>
      <c r="O254" s="185"/>
      <c r="P254" s="185"/>
      <c r="Q254" s="185"/>
      <c r="R254" s="185"/>
      <c r="S254" s="185"/>
      <c r="T254" s="185"/>
      <c r="U254" s="185"/>
      <c r="V254" s="185"/>
      <c r="W254" s="185"/>
    </row>
    <row r="255" ht="14.25" customHeight="1">
      <c r="A255" s="178"/>
      <c r="B255" s="12"/>
      <c r="C255" s="13"/>
      <c r="D255" s="179"/>
      <c r="E255" s="180"/>
      <c r="F255" s="181"/>
      <c r="G255" s="179"/>
      <c r="H255" s="190"/>
      <c r="I255" s="190"/>
      <c r="J255" s="187"/>
      <c r="K255" s="187"/>
      <c r="L255" s="270" t="str">
        <f>IFERROR(__xludf.DUMMYFUNCTION("IF(
  AND(D255=""Saída"", J255=""Sangria""),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74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85" t="str">
        <f>IFERROR(__xludf.DUMMYFUNCTION("ifna(VALUE(REGEXEXTRACT(E255,""[0-9.]+[,]+[0-9]+"")))"),"")</f>
        <v/>
      </c>
      <c r="O255" s="185"/>
      <c r="P255" s="185"/>
      <c r="Q255" s="185"/>
      <c r="R255" s="185"/>
      <c r="S255" s="185"/>
      <c r="T255" s="185"/>
      <c r="U255" s="185"/>
      <c r="V255" s="185"/>
      <c r="W255" s="185"/>
    </row>
    <row r="256" ht="14.25" customHeight="1">
      <c r="A256" s="178"/>
      <c r="B256" s="12"/>
      <c r="C256" s="13"/>
      <c r="D256" s="179"/>
      <c r="E256" s="180"/>
      <c r="F256" s="181"/>
      <c r="G256" s="179"/>
      <c r="H256" s="190"/>
      <c r="I256" s="190"/>
      <c r="J256" s="187"/>
      <c r="K256" s="187"/>
      <c r="L256" s="270" t="str">
        <f>IFERROR(__xludf.DUMMYFUNCTION("IF(
  AND(D256=""Saída"", J256=""Sangria""),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72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85" t="str">
        <f>IFERROR(__xludf.DUMMYFUNCTION("ifna(VALUE(REGEXEXTRACT(E256,""[0-9.]+[,]+[0-9]+"")))"),"")</f>
        <v/>
      </c>
      <c r="O256" s="185"/>
      <c r="P256" s="185"/>
      <c r="Q256" s="185"/>
      <c r="R256" s="185"/>
      <c r="S256" s="185"/>
      <c r="T256" s="185"/>
      <c r="U256" s="185"/>
      <c r="V256" s="185"/>
      <c r="W256" s="185"/>
    </row>
    <row r="257" ht="14.25" customHeight="1">
      <c r="A257" s="178"/>
      <c r="B257" s="12"/>
      <c r="C257" s="13"/>
      <c r="D257" s="179"/>
      <c r="E257" s="180"/>
      <c r="F257" s="181"/>
      <c r="G257" s="179"/>
      <c r="H257" s="190"/>
      <c r="I257" s="190"/>
      <c r="J257" s="187"/>
      <c r="K257" s="187"/>
      <c r="L257" s="270" t="str">
        <f>IFERROR(__xludf.DUMMYFUNCTION("IF(
  AND(D257=""Saída"", J257=""Sangria""),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74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85" t="str">
        <f>IFERROR(__xludf.DUMMYFUNCTION("ifna(VALUE(REGEXEXTRACT(E257,""[0-9.]+[,]+[0-9]+"")))"),"")</f>
        <v/>
      </c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ht="14.25" customHeight="1">
      <c r="A258" s="178"/>
      <c r="B258" s="12"/>
      <c r="C258" s="13"/>
      <c r="D258" s="179"/>
      <c r="E258" s="180"/>
      <c r="F258" s="181"/>
      <c r="G258" s="179"/>
      <c r="H258" s="190"/>
      <c r="I258" s="190"/>
      <c r="J258" s="187"/>
      <c r="K258" s="187"/>
      <c r="L258" s="270" t="str">
        <f>IFERROR(__xludf.DUMMYFUNCTION("IF(
  AND(D258=""Saída"", J258=""Sangria""),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72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85" t="str">
        <f>IFERROR(__xludf.DUMMYFUNCTION("ifna(VALUE(REGEXEXTRACT(E258,""[0-9.]+[,]+[0-9]+"")))"),"")</f>
        <v/>
      </c>
      <c r="O258" s="185"/>
      <c r="P258" s="185"/>
      <c r="Q258" s="185"/>
      <c r="R258" s="185"/>
      <c r="S258" s="185"/>
      <c r="T258" s="185"/>
      <c r="U258" s="185"/>
      <c r="V258" s="185"/>
      <c r="W258" s="185"/>
    </row>
    <row r="259" ht="14.25" customHeight="1">
      <c r="A259" s="178"/>
      <c r="B259" s="12"/>
      <c r="C259" s="13"/>
      <c r="D259" s="179"/>
      <c r="E259" s="180"/>
      <c r="F259" s="181"/>
      <c r="G259" s="179"/>
      <c r="H259" s="190"/>
      <c r="I259" s="190"/>
      <c r="J259" s="187"/>
      <c r="K259" s="187"/>
      <c r="L259" s="270" t="str">
        <f>IFERROR(__xludf.DUMMYFUNCTION("IF(
  AND(D259=""Saída"", J259=""Sangria""),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74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85" t="str">
        <f>IFERROR(__xludf.DUMMYFUNCTION("ifna(VALUE(REGEXEXTRACT(E259,""[0-9.]+[,]+[0-9]+"")))"),"")</f>
        <v/>
      </c>
      <c r="O259" s="185"/>
      <c r="P259" s="185"/>
      <c r="Q259" s="185"/>
      <c r="R259" s="185"/>
      <c r="S259" s="185"/>
      <c r="T259" s="185"/>
      <c r="U259" s="185"/>
      <c r="V259" s="185"/>
      <c r="W259" s="185"/>
    </row>
    <row r="260" ht="14.25" customHeight="1">
      <c r="A260" s="178"/>
      <c r="B260" s="12"/>
      <c r="C260" s="13"/>
      <c r="D260" s="179"/>
      <c r="E260" s="180"/>
      <c r="F260" s="188"/>
      <c r="G260" s="179"/>
      <c r="H260" s="190"/>
      <c r="I260" s="190"/>
      <c r="J260" s="187"/>
      <c r="K260" s="187"/>
      <c r="L260" s="270" t="str">
        <f>IFERROR(__xludf.DUMMYFUNCTION("IF(
  AND(D260=""Saída"", J260=""Sangria""),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72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85" t="str">
        <f>IFERROR(__xludf.DUMMYFUNCTION("ifna(VALUE(REGEXEXTRACT(E260,""[0-9.]+[,]+[0-9]+"")))"),"")</f>
        <v/>
      </c>
      <c r="O260" s="185"/>
      <c r="P260" s="185"/>
      <c r="Q260" s="185"/>
      <c r="R260" s="185"/>
      <c r="S260" s="185"/>
      <c r="T260" s="185"/>
      <c r="U260" s="185"/>
      <c r="V260" s="185"/>
      <c r="W260" s="185"/>
    </row>
    <row r="261" ht="14.25" customHeight="1">
      <c r="A261" s="178"/>
      <c r="B261" s="12"/>
      <c r="C261" s="13"/>
      <c r="D261" s="179"/>
      <c r="E261" s="180"/>
      <c r="F261" s="181"/>
      <c r="G261" s="12"/>
      <c r="H261" s="190"/>
      <c r="I261" s="190"/>
      <c r="J261" s="187"/>
      <c r="K261" s="187"/>
      <c r="L261" s="270" t="str">
        <f>IFERROR(__xludf.DUMMYFUNCTION("IF(
  AND(D261=""Saída"", J261=""Sangria""),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74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85" t="str">
        <f>IFERROR(__xludf.DUMMYFUNCTION("ifna(VALUE(REGEXEXTRACT(E261,""[0-9.]+[,]+[0-9]+"")))"),"")</f>
        <v/>
      </c>
      <c r="O261" s="185"/>
      <c r="P261" s="185"/>
      <c r="Q261" s="185"/>
      <c r="R261" s="185"/>
      <c r="S261" s="185"/>
      <c r="T261" s="185"/>
      <c r="U261" s="185"/>
      <c r="V261" s="185"/>
      <c r="W261" s="185"/>
    </row>
    <row r="262" ht="14.25" customHeight="1">
      <c r="A262" s="178"/>
      <c r="B262" s="12"/>
      <c r="C262" s="13"/>
      <c r="D262" s="179"/>
      <c r="E262" s="180"/>
      <c r="F262" s="181"/>
      <c r="G262" s="12"/>
      <c r="H262" s="190"/>
      <c r="I262" s="190"/>
      <c r="J262" s="187"/>
      <c r="K262" s="187"/>
      <c r="L262" s="270" t="str">
        <f>IFERROR(__xludf.DUMMYFUNCTION("IF(
  AND(D262=""Saída"", J262=""Sangria""),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72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85" t="str">
        <f>IFERROR(__xludf.DUMMYFUNCTION("ifna(VALUE(REGEXEXTRACT(E262,""[0-9.]+[,]+[0-9]+"")))"),"")</f>
        <v/>
      </c>
      <c r="O262" s="185"/>
      <c r="P262" s="185"/>
      <c r="Q262" s="185"/>
      <c r="R262" s="185"/>
      <c r="S262" s="185"/>
      <c r="T262" s="185"/>
      <c r="U262" s="185"/>
      <c r="V262" s="185"/>
      <c r="W262" s="185"/>
    </row>
    <row r="263" ht="14.25" customHeight="1">
      <c r="A263" s="178"/>
      <c r="B263" s="12"/>
      <c r="C263" s="13"/>
      <c r="D263" s="179"/>
      <c r="E263" s="180"/>
      <c r="F263" s="181"/>
      <c r="G263" s="179"/>
      <c r="H263" s="190"/>
      <c r="I263" s="190"/>
      <c r="J263" s="187"/>
      <c r="K263" s="187"/>
      <c r="L263" s="270" t="str">
        <f>IFERROR(__xludf.DUMMYFUNCTION("IF(
  AND(D263=""Saída"", J263=""Sangria""),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74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85" t="str">
        <f>IFERROR(__xludf.DUMMYFUNCTION("ifna(VALUE(REGEXEXTRACT(E263,""[0-9.]+[,]+[0-9]+"")))"),"")</f>
        <v/>
      </c>
      <c r="O263" s="185"/>
      <c r="P263" s="185"/>
      <c r="Q263" s="185"/>
      <c r="R263" s="185"/>
      <c r="S263" s="185"/>
      <c r="T263" s="185"/>
      <c r="U263" s="185"/>
      <c r="V263" s="185"/>
      <c r="W263" s="185"/>
    </row>
    <row r="264" ht="14.25" customHeight="1">
      <c r="A264" s="178"/>
      <c r="B264" s="12"/>
      <c r="C264" s="13"/>
      <c r="D264" s="179"/>
      <c r="E264" s="180"/>
      <c r="F264" s="181"/>
      <c r="G264" s="179"/>
      <c r="H264" s="190"/>
      <c r="I264" s="190"/>
      <c r="J264" s="187"/>
      <c r="K264" s="187"/>
      <c r="L264" s="270" t="str">
        <f>IFERROR(__xludf.DUMMYFUNCTION("IF(
  AND(D264=""Saída"", J264=""Sangria""),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72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85" t="str">
        <f>IFERROR(__xludf.DUMMYFUNCTION("ifna(VALUE(REGEXEXTRACT(E264,""[0-9.]+[,]+[0-9]+"")))"),"")</f>
        <v/>
      </c>
      <c r="O264" s="185"/>
      <c r="P264" s="185"/>
      <c r="Q264" s="185"/>
      <c r="R264" s="185"/>
      <c r="S264" s="185"/>
      <c r="T264" s="185"/>
      <c r="U264" s="185"/>
      <c r="V264" s="185"/>
      <c r="W264" s="185"/>
    </row>
    <row r="265" ht="14.25" customHeight="1">
      <c r="A265" s="178"/>
      <c r="B265" s="12"/>
      <c r="C265" s="13"/>
      <c r="D265" s="179"/>
      <c r="E265" s="180"/>
      <c r="F265" s="188"/>
      <c r="G265" s="179"/>
      <c r="H265" s="190"/>
      <c r="I265" s="190"/>
      <c r="J265" s="187"/>
      <c r="K265" s="187"/>
      <c r="L265" s="270" t="str">
        <f>IFERROR(__xludf.DUMMYFUNCTION("IF(
  AND(D265=""Saída"", J265=""Sangria""),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74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85" t="str">
        <f>IFERROR(__xludf.DUMMYFUNCTION("ifna(VALUE(REGEXEXTRACT(E265,""[0-9.]+[,]+[0-9]+"")))"),"")</f>
        <v/>
      </c>
      <c r="O265" s="185"/>
      <c r="P265" s="185"/>
      <c r="Q265" s="185"/>
      <c r="R265" s="185"/>
      <c r="S265" s="185"/>
      <c r="T265" s="185"/>
      <c r="U265" s="185"/>
      <c r="V265" s="185"/>
      <c r="W265" s="185"/>
    </row>
    <row r="266" ht="14.25" customHeight="1">
      <c r="A266" s="178"/>
      <c r="B266" s="244"/>
      <c r="C266" s="245"/>
      <c r="D266" s="246"/>
      <c r="E266" s="247"/>
      <c r="F266" s="248"/>
      <c r="G266" s="249"/>
      <c r="H266" s="190"/>
      <c r="I266" s="190"/>
      <c r="J266" s="187"/>
      <c r="K266" s="187"/>
      <c r="L266" s="270" t="str">
        <f>IFERROR(__xludf.DUMMYFUNCTION("IF(
  AND(D266=""Saída"", J266=""Sangria""),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72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85" t="str">
        <f>IFERROR(__xludf.DUMMYFUNCTION("ifna(VALUE(REGEXEXTRACT(E266,""[0-9.]+[,]+[0-9]+"")))"),"")</f>
        <v/>
      </c>
      <c r="O266" s="185"/>
      <c r="P266" s="185"/>
      <c r="Q266" s="185"/>
      <c r="R266" s="185"/>
      <c r="S266" s="185"/>
      <c r="T266" s="185"/>
      <c r="U266" s="185"/>
      <c r="V266" s="185"/>
      <c r="W266" s="185"/>
    </row>
    <row r="267" ht="14.25" customHeight="1">
      <c r="A267" s="178"/>
      <c r="B267" s="244"/>
      <c r="C267" s="245"/>
      <c r="D267" s="246"/>
      <c r="E267" s="247"/>
      <c r="F267" s="248"/>
      <c r="G267" s="250"/>
      <c r="H267" s="190"/>
      <c r="I267" s="190"/>
      <c r="J267" s="187"/>
      <c r="K267" s="187"/>
      <c r="L267" s="270" t="str">
        <f>IFERROR(__xludf.DUMMYFUNCTION("IF(
  AND(D267=""Saída"", J267=""Sangria""),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74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85" t="str">
        <f>IFERROR(__xludf.DUMMYFUNCTION("ifna(VALUE(REGEXEXTRACT(E267,""[0-9.]+[,]+[0-9]+"")))"),"")</f>
        <v/>
      </c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ht="14.25" customHeight="1">
      <c r="A268" s="178"/>
      <c r="B268" s="244"/>
      <c r="C268" s="245"/>
      <c r="D268" s="246"/>
      <c r="E268" s="247"/>
      <c r="F268" s="248"/>
      <c r="G268" s="249"/>
      <c r="H268" s="190"/>
      <c r="I268" s="190"/>
      <c r="J268" s="202"/>
      <c r="K268" s="187"/>
      <c r="L268" s="270" t="str">
        <f>IFERROR(__xludf.DUMMYFUNCTION("IF(
  AND(D268=""Saída"", J268=""Sangria""),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72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85" t="str">
        <f>IFERROR(__xludf.DUMMYFUNCTION("ifna(VALUE(REGEXEXTRACT(E268,""[0-9.]+[,]+[0-9]+"")))"),"")</f>
        <v/>
      </c>
      <c r="O268" s="185"/>
      <c r="P268" s="185"/>
      <c r="Q268" s="185"/>
      <c r="R268" s="185"/>
      <c r="S268" s="185"/>
      <c r="T268" s="185"/>
      <c r="U268" s="185"/>
      <c r="V268" s="185"/>
      <c r="W268" s="185"/>
    </row>
    <row r="269" ht="14.25" customHeight="1">
      <c r="A269" s="178"/>
      <c r="B269" s="244"/>
      <c r="C269" s="245"/>
      <c r="D269" s="246"/>
      <c r="E269" s="247"/>
      <c r="F269" s="248"/>
      <c r="G269" s="249"/>
      <c r="H269" s="190"/>
      <c r="I269" s="190"/>
      <c r="J269" s="187"/>
      <c r="K269" s="187"/>
      <c r="L269" s="270" t="str">
        <f>IFERROR(__xludf.DUMMYFUNCTION("IF(
  AND(D269=""Saída"", J269=""Sangria""),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74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85" t="str">
        <f>IFERROR(__xludf.DUMMYFUNCTION("ifna(VALUE(REGEXEXTRACT(E269,""[0-9.]+[,]+[0-9]+"")))"),"")</f>
        <v/>
      </c>
      <c r="O269" s="185"/>
      <c r="P269" s="185"/>
      <c r="Q269" s="185"/>
      <c r="R269" s="185"/>
      <c r="S269" s="185"/>
      <c r="T269" s="185"/>
      <c r="U269" s="185"/>
      <c r="V269" s="185"/>
      <c r="W269" s="185"/>
    </row>
    <row r="270" ht="14.25" customHeight="1">
      <c r="A270" s="178"/>
      <c r="B270" s="244"/>
      <c r="C270" s="245"/>
      <c r="D270" s="246"/>
      <c r="E270" s="247"/>
      <c r="F270" s="248"/>
      <c r="G270" s="249"/>
      <c r="H270" s="190"/>
      <c r="I270" s="190"/>
      <c r="J270" s="187"/>
      <c r="K270" s="187"/>
      <c r="L270" s="270" t="str">
        <f>IFERROR(__xludf.DUMMYFUNCTION("IF(
  AND(D270=""Saída"", J270=""Sangria""),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72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85" t="str">
        <f>IFERROR(__xludf.DUMMYFUNCTION("ifna(VALUE(REGEXEXTRACT(E270,""[0-9.]+[,]+[0-9]+"")))"),"")</f>
        <v/>
      </c>
      <c r="O270" s="185"/>
      <c r="P270" s="185"/>
      <c r="Q270" s="185"/>
      <c r="R270" s="185"/>
      <c r="S270" s="185"/>
      <c r="T270" s="185"/>
      <c r="U270" s="185"/>
      <c r="V270" s="185"/>
      <c r="W270" s="185"/>
    </row>
    <row r="271" ht="14.25" customHeight="1">
      <c r="A271" s="178"/>
      <c r="B271" s="244"/>
      <c r="C271" s="245"/>
      <c r="D271" s="246"/>
      <c r="E271" s="251"/>
      <c r="F271" s="252"/>
      <c r="G271" s="249"/>
      <c r="H271" s="190"/>
      <c r="I271" s="190"/>
      <c r="J271" s="187"/>
      <c r="K271" s="187"/>
      <c r="L271" s="270" t="str">
        <f>IFERROR(__xludf.DUMMYFUNCTION("IF(
  AND(D271=""Saída"", J271=""Sangria""),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74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85" t="str">
        <f>IFERROR(__xludf.DUMMYFUNCTION("ifna(VALUE(REGEXEXTRACT(E271,""[0-9.]+[,]+[0-9]+"")))"),"")</f>
        <v/>
      </c>
      <c r="O271" s="185"/>
      <c r="P271" s="185"/>
      <c r="Q271" s="185"/>
      <c r="R271" s="185"/>
      <c r="S271" s="185"/>
      <c r="T271" s="185"/>
      <c r="U271" s="185"/>
      <c r="V271" s="185"/>
      <c r="W271" s="185"/>
    </row>
    <row r="272" ht="14.25" customHeight="1">
      <c r="A272" s="178"/>
      <c r="B272" s="244"/>
      <c r="C272" s="245"/>
      <c r="D272" s="246"/>
      <c r="E272" s="247"/>
      <c r="F272" s="252"/>
      <c r="G272" s="249"/>
      <c r="H272" s="190"/>
      <c r="I272" s="190"/>
      <c r="J272" s="187"/>
      <c r="K272" s="187"/>
      <c r="L272" s="270" t="str">
        <f>IFERROR(__xludf.DUMMYFUNCTION("IF(
  AND(D272=""Saída"", J272=""Sangria""),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72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85" t="str">
        <f>IFERROR(__xludf.DUMMYFUNCTION("ifna(VALUE(REGEXEXTRACT(E272,""[0-9.]+[,]+[0-9]+"")))"),"")</f>
        <v/>
      </c>
      <c r="O272" s="185"/>
      <c r="P272" s="185"/>
      <c r="Q272" s="185"/>
      <c r="R272" s="185"/>
      <c r="S272" s="185"/>
      <c r="T272" s="185"/>
      <c r="U272" s="185"/>
      <c r="V272" s="185"/>
      <c r="W272" s="185"/>
    </row>
    <row r="273" ht="14.25" customHeight="1">
      <c r="A273" s="178"/>
      <c r="B273" s="244"/>
      <c r="C273" s="245"/>
      <c r="D273" s="246"/>
      <c r="E273" s="247"/>
      <c r="F273" s="248"/>
      <c r="G273" s="249"/>
      <c r="H273" s="190"/>
      <c r="I273" s="190"/>
      <c r="J273" s="187"/>
      <c r="K273" s="187"/>
      <c r="L273" s="270" t="str">
        <f>IFERROR(__xludf.DUMMYFUNCTION("IF(
  AND(D273=""Saída"", J273=""Sangria""),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74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85" t="str">
        <f>IFERROR(__xludf.DUMMYFUNCTION("ifna(VALUE(REGEXEXTRACT(E273,""[0-9.]+[,]+[0-9]+"")))"),"")</f>
        <v/>
      </c>
      <c r="O273" s="185"/>
      <c r="P273" s="185"/>
      <c r="Q273" s="185"/>
      <c r="R273" s="185"/>
      <c r="S273" s="185"/>
      <c r="T273" s="185"/>
      <c r="U273" s="185"/>
      <c r="V273" s="185"/>
      <c r="W273" s="185"/>
    </row>
    <row r="274" ht="14.25" customHeight="1">
      <c r="A274" s="178"/>
      <c r="B274" s="244"/>
      <c r="C274" s="245"/>
      <c r="D274" s="246"/>
      <c r="E274" s="247"/>
      <c r="F274" s="248"/>
      <c r="G274" s="249"/>
      <c r="H274" s="190"/>
      <c r="I274" s="190"/>
      <c r="J274" s="187"/>
      <c r="K274" s="187"/>
      <c r="L274" s="270" t="str">
        <f>IFERROR(__xludf.DUMMYFUNCTION("IF(
  AND(D274=""Saída"", J274=""Sangria""),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72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85" t="str">
        <f>IFERROR(__xludf.DUMMYFUNCTION("ifna(VALUE(REGEXEXTRACT(E274,""[0-9.]+[,]+[0-9]+"")))"),"")</f>
        <v/>
      </c>
      <c r="O274" s="185"/>
      <c r="P274" s="185"/>
      <c r="Q274" s="185"/>
      <c r="R274" s="185"/>
      <c r="S274" s="185"/>
      <c r="T274" s="185"/>
      <c r="U274" s="185"/>
      <c r="V274" s="185"/>
      <c r="W274" s="185"/>
    </row>
    <row r="275" ht="14.25" customHeight="1">
      <c r="A275" s="178"/>
      <c r="B275" s="244"/>
      <c r="C275" s="245"/>
      <c r="D275" s="246"/>
      <c r="E275" s="247"/>
      <c r="F275" s="252"/>
      <c r="G275" s="249"/>
      <c r="H275" s="190"/>
      <c r="I275" s="190"/>
      <c r="J275" s="187"/>
      <c r="K275" s="187"/>
      <c r="L275" s="270" t="str">
        <f>IFERROR(__xludf.DUMMYFUNCTION("IF(
  AND(D275=""Saída"", J275=""Sangria""),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74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85" t="str">
        <f>IFERROR(__xludf.DUMMYFUNCTION("ifna(VALUE(REGEXEXTRACT(E275,""[0-9.]+[,]+[0-9]+"")))"),"")</f>
        <v/>
      </c>
      <c r="O275" s="185"/>
      <c r="P275" s="185"/>
      <c r="Q275" s="185"/>
      <c r="R275" s="185"/>
      <c r="S275" s="185"/>
      <c r="T275" s="185"/>
      <c r="U275" s="185"/>
      <c r="V275" s="185"/>
      <c r="W275" s="185"/>
    </row>
    <row r="276" ht="14.25" customHeight="1">
      <c r="A276" s="178"/>
      <c r="B276" s="244"/>
      <c r="C276" s="245"/>
      <c r="D276" s="246"/>
      <c r="E276" s="247"/>
      <c r="F276" s="248"/>
      <c r="G276" s="249"/>
      <c r="H276" s="190"/>
      <c r="I276" s="190"/>
      <c r="J276" s="187"/>
      <c r="K276" s="187"/>
      <c r="L276" s="270" t="str">
        <f>IFERROR(__xludf.DUMMYFUNCTION("IF(
  AND(D276=""Saída"", J276=""Sangria""),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72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85" t="str">
        <f>IFERROR(__xludf.DUMMYFUNCTION("ifna(VALUE(REGEXEXTRACT(E276,""[0-9.]+[,]+[0-9]+"")))"),"")</f>
        <v/>
      </c>
      <c r="O276" s="185"/>
      <c r="P276" s="185"/>
      <c r="Q276" s="185"/>
      <c r="R276" s="185"/>
      <c r="S276" s="185"/>
      <c r="T276" s="185"/>
      <c r="U276" s="185"/>
      <c r="V276" s="185"/>
      <c r="W276" s="185"/>
    </row>
    <row r="277" ht="14.25" customHeight="1">
      <c r="A277" s="178"/>
      <c r="B277" s="244"/>
      <c r="C277" s="245"/>
      <c r="D277" s="246"/>
      <c r="E277" s="247"/>
      <c r="F277" s="248"/>
      <c r="G277" s="249"/>
      <c r="H277" s="190"/>
      <c r="I277" s="190"/>
      <c r="J277" s="187"/>
      <c r="K277" s="187"/>
      <c r="L277" s="270" t="str">
        <f>IFERROR(__xludf.DUMMYFUNCTION("IF(
  AND(D277=""Saída"", J277=""Sangria""),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74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85" t="str">
        <f>IFERROR(__xludf.DUMMYFUNCTION("ifna(VALUE(REGEXEXTRACT(E277,""[0-9.]+[,]+[0-9]+"")))"),"")</f>
        <v/>
      </c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ht="14.25" customHeight="1">
      <c r="A278" s="178"/>
      <c r="B278" s="244"/>
      <c r="C278" s="245"/>
      <c r="D278" s="246"/>
      <c r="E278" s="247"/>
      <c r="F278" s="248"/>
      <c r="G278" s="249"/>
      <c r="H278" s="190"/>
      <c r="I278" s="190"/>
      <c r="J278" s="187"/>
      <c r="K278" s="187"/>
      <c r="L278" s="270" t="str">
        <f>IFERROR(__xludf.DUMMYFUNCTION("IF(
  AND(D278=""Saída"", J278=""Sangria""),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72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85" t="str">
        <f>IFERROR(__xludf.DUMMYFUNCTION("ifna(VALUE(REGEXEXTRACT(E278,""[0-9.]+[,]+[0-9]+"")))"),"")</f>
        <v/>
      </c>
      <c r="O278" s="185"/>
      <c r="P278" s="185"/>
      <c r="Q278" s="185"/>
      <c r="R278" s="185"/>
      <c r="S278" s="185"/>
      <c r="T278" s="185"/>
      <c r="U278" s="185"/>
      <c r="V278" s="185"/>
      <c r="W278" s="185"/>
    </row>
    <row r="279" ht="14.25" customHeight="1">
      <c r="A279" s="178"/>
      <c r="B279" s="244"/>
      <c r="C279" s="245"/>
      <c r="D279" s="246"/>
      <c r="E279" s="247"/>
      <c r="F279" s="248"/>
      <c r="G279" s="249"/>
      <c r="H279" s="190"/>
      <c r="I279" s="190"/>
      <c r="J279" s="187"/>
      <c r="K279" s="187"/>
      <c r="L279" s="270" t="str">
        <f>IFERROR(__xludf.DUMMYFUNCTION("IF(
  AND(D279=""Saída"", J279=""Sangria""),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74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85" t="str">
        <f>IFERROR(__xludf.DUMMYFUNCTION("ifna(VALUE(REGEXEXTRACT(E279,""[0-9.]+[,]+[0-9]+"")))"),"")</f>
        <v/>
      </c>
      <c r="O279" s="185"/>
      <c r="P279" s="185"/>
      <c r="Q279" s="185"/>
      <c r="R279" s="185"/>
      <c r="S279" s="185"/>
      <c r="T279" s="185"/>
      <c r="U279" s="185"/>
      <c r="V279" s="185"/>
      <c r="W279" s="185"/>
    </row>
    <row r="280" ht="14.25" customHeight="1">
      <c r="A280" s="178"/>
      <c r="B280" s="244"/>
      <c r="C280" s="245"/>
      <c r="D280" s="246"/>
      <c r="E280" s="247"/>
      <c r="F280" s="248"/>
      <c r="G280" s="249"/>
      <c r="H280" s="190"/>
      <c r="I280" s="190"/>
      <c r="J280" s="187"/>
      <c r="K280" s="189"/>
      <c r="L280" s="270" t="str">
        <f>IFERROR(__xludf.DUMMYFUNCTION("IF(
  AND(D280=""Saída"", J280=""Sangria""),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72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85" t="str">
        <f>IFERROR(__xludf.DUMMYFUNCTION("ifna(VALUE(REGEXEXTRACT(E280,""[0-9.]+[,]+[0-9]+"")))"),"")</f>
        <v/>
      </c>
      <c r="O280" s="185"/>
      <c r="P280" s="185"/>
      <c r="Q280" s="185"/>
      <c r="R280" s="185"/>
      <c r="S280" s="185"/>
      <c r="T280" s="185"/>
      <c r="U280" s="185"/>
      <c r="V280" s="185"/>
      <c r="W280" s="185"/>
    </row>
    <row r="281" ht="14.25" customHeight="1">
      <c r="A281" s="178"/>
      <c r="B281" s="244"/>
      <c r="C281" s="245"/>
      <c r="D281" s="246"/>
      <c r="E281" s="247"/>
      <c r="F281" s="248"/>
      <c r="G281" s="249"/>
      <c r="H281" s="190"/>
      <c r="I281" s="190"/>
      <c r="J281" s="187"/>
      <c r="K281" s="187"/>
      <c r="L281" s="270" t="str">
        <f>IFERROR(__xludf.DUMMYFUNCTION("IF(
  AND(D281=""Saída"", J281=""Sangria""),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74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85" t="str">
        <f>IFERROR(__xludf.DUMMYFUNCTION("ifna(VALUE(REGEXEXTRACT(E281,""[0-9.]+[,]+[0-9]+"")))"),"")</f>
        <v/>
      </c>
      <c r="O281" s="185"/>
      <c r="P281" s="185"/>
      <c r="Q281" s="185"/>
      <c r="R281" s="185"/>
      <c r="S281" s="185"/>
      <c r="T281" s="185"/>
      <c r="U281" s="185"/>
      <c r="V281" s="185"/>
      <c r="W281" s="185"/>
    </row>
    <row r="282" ht="14.25" customHeight="1">
      <c r="A282" s="178"/>
      <c r="B282" s="244"/>
      <c r="C282" s="245"/>
      <c r="D282" s="246"/>
      <c r="E282" s="251"/>
      <c r="F282" s="248"/>
      <c r="G282" s="249"/>
      <c r="H282" s="190"/>
      <c r="I282" s="190"/>
      <c r="J282" s="187"/>
      <c r="K282" s="187"/>
      <c r="L282" s="270" t="str">
        <f>IFERROR(__xludf.DUMMYFUNCTION("IF(
  AND(D282=""Saída"", J282=""Sangria""),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72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85" t="str">
        <f>IFERROR(__xludf.DUMMYFUNCTION("ifna(VALUE(REGEXEXTRACT(E282,""[0-9.]+[,]+[0-9]+"")))"),"")</f>
        <v/>
      </c>
      <c r="O282" s="185"/>
      <c r="P282" s="185"/>
      <c r="Q282" s="185"/>
      <c r="R282" s="185"/>
      <c r="S282" s="185"/>
      <c r="T282" s="185"/>
      <c r="U282" s="185"/>
      <c r="V282" s="185"/>
      <c r="W282" s="185"/>
    </row>
    <row r="283" ht="14.25" customHeight="1">
      <c r="A283" s="178"/>
      <c r="B283" s="244"/>
      <c r="C283" s="245"/>
      <c r="D283" s="246"/>
      <c r="E283" s="247"/>
      <c r="F283" s="248"/>
      <c r="G283" s="249"/>
      <c r="H283" s="190"/>
      <c r="I283" s="190"/>
      <c r="J283" s="187"/>
      <c r="K283" s="187"/>
      <c r="L283" s="270" t="str">
        <f>IFERROR(__xludf.DUMMYFUNCTION("IF(
  AND(D283=""Saída"", J283=""Sangria""),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74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85" t="str">
        <f>IFERROR(__xludf.DUMMYFUNCTION("ifna(VALUE(REGEXEXTRACT(E283,""[0-9.]+[,]+[0-9]+"")))"),"")</f>
        <v/>
      </c>
      <c r="O283" s="185"/>
      <c r="P283" s="185"/>
      <c r="Q283" s="185"/>
      <c r="R283" s="185"/>
      <c r="S283" s="185"/>
      <c r="T283" s="185"/>
      <c r="U283" s="185"/>
      <c r="V283" s="185"/>
      <c r="W283" s="185"/>
    </row>
    <row r="284" ht="14.25" customHeight="1">
      <c r="A284" s="178"/>
      <c r="B284" s="244"/>
      <c r="C284" s="245"/>
      <c r="D284" s="246"/>
      <c r="E284" s="247"/>
      <c r="F284" s="248"/>
      <c r="G284" s="249"/>
      <c r="H284" s="190"/>
      <c r="I284" s="190"/>
      <c r="J284" s="187"/>
      <c r="K284" s="189"/>
      <c r="L284" s="270" t="str">
        <f>IFERROR(__xludf.DUMMYFUNCTION("IF(
  AND(D284=""Saída"", J284=""Sangria""),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72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85" t="str">
        <f>IFERROR(__xludf.DUMMYFUNCTION("ifna(VALUE(REGEXEXTRACT(E284,""[0-9.]+[,]+[0-9]+"")))"),"")</f>
        <v/>
      </c>
      <c r="O284" s="185"/>
      <c r="P284" s="185"/>
      <c r="Q284" s="185"/>
      <c r="R284" s="185"/>
      <c r="S284" s="185"/>
      <c r="T284" s="185"/>
      <c r="U284" s="185"/>
      <c r="V284" s="185"/>
      <c r="W284" s="185"/>
    </row>
    <row r="285" ht="14.25" customHeight="1">
      <c r="A285" s="178"/>
      <c r="B285" s="244"/>
      <c r="C285" s="245"/>
      <c r="D285" s="246"/>
      <c r="E285" s="247"/>
      <c r="F285" s="252"/>
      <c r="G285" s="249"/>
      <c r="H285" s="190"/>
      <c r="I285" s="190"/>
      <c r="J285" s="187"/>
      <c r="K285" s="187"/>
      <c r="L285" s="270" t="str">
        <f>IFERROR(__xludf.DUMMYFUNCTION("IF(
  AND(D285=""Saída"", J285=""Sangria""),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74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85" t="str">
        <f>IFERROR(__xludf.DUMMYFUNCTION("ifna(VALUE(REGEXEXTRACT(E285,""[0-9.]+[,]+[0-9]+"")))"),"")</f>
        <v/>
      </c>
      <c r="O285" s="185"/>
      <c r="P285" s="185"/>
      <c r="Q285" s="185"/>
      <c r="R285" s="185"/>
      <c r="S285" s="185"/>
      <c r="T285" s="185"/>
      <c r="U285" s="185"/>
      <c r="V285" s="185"/>
      <c r="W285" s="185"/>
    </row>
    <row r="286" ht="14.25" customHeight="1">
      <c r="A286" s="178"/>
      <c r="B286" s="244"/>
      <c r="C286" s="245"/>
      <c r="D286" s="246"/>
      <c r="E286" s="247"/>
      <c r="F286" s="252"/>
      <c r="G286" s="249"/>
      <c r="H286" s="190"/>
      <c r="I286" s="190"/>
      <c r="J286" s="187"/>
      <c r="K286" s="187"/>
      <c r="L286" s="270" t="str">
        <f>IFERROR(__xludf.DUMMYFUNCTION("IF(
  AND(D286=""Saída"", J286=""Sangria""),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72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85" t="str">
        <f>IFERROR(__xludf.DUMMYFUNCTION("ifna(VALUE(REGEXEXTRACT(E286,""[0-9.]+[,]+[0-9]+"")))"),"")</f>
        <v/>
      </c>
      <c r="O286" s="185"/>
      <c r="P286" s="185"/>
      <c r="Q286" s="185"/>
      <c r="R286" s="185"/>
      <c r="S286" s="185"/>
      <c r="T286" s="185"/>
      <c r="U286" s="185"/>
      <c r="V286" s="185"/>
      <c r="W286" s="185"/>
    </row>
    <row r="287" ht="14.25" customHeight="1">
      <c r="A287" s="178"/>
      <c r="B287" s="244"/>
      <c r="C287" s="245"/>
      <c r="D287" s="246"/>
      <c r="E287" s="247"/>
      <c r="F287" s="248"/>
      <c r="G287" s="249"/>
      <c r="H287" s="190"/>
      <c r="I287" s="190"/>
      <c r="J287" s="202"/>
      <c r="K287" s="189"/>
      <c r="L287" s="270" t="str">
        <f>IFERROR(__xludf.DUMMYFUNCTION("IF(
  AND(D287=""Saída"", J287=""Sangria""),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74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85" t="str">
        <f>IFERROR(__xludf.DUMMYFUNCTION("ifna(VALUE(REGEXEXTRACT(E287,""[0-9.]+[,]+[0-9]+"")))"),"")</f>
        <v/>
      </c>
      <c r="O287" s="185"/>
      <c r="P287" s="185"/>
      <c r="Q287" s="185"/>
      <c r="R287" s="185"/>
      <c r="S287" s="185"/>
      <c r="T287" s="185"/>
      <c r="U287" s="185"/>
      <c r="V287" s="185"/>
      <c r="W287" s="185"/>
    </row>
    <row r="288" ht="14.25" customHeight="1">
      <c r="A288" s="178"/>
      <c r="B288" s="244"/>
      <c r="C288" s="245"/>
      <c r="D288" s="246"/>
      <c r="E288" s="247"/>
      <c r="F288" s="248"/>
      <c r="G288" s="249"/>
      <c r="H288" s="190"/>
      <c r="I288" s="190"/>
      <c r="J288" s="187"/>
      <c r="K288" s="189"/>
      <c r="L288" s="270" t="str">
        <f>IFERROR(__xludf.DUMMYFUNCTION("IF(
  AND(D288=""Saída"", J288=""Sangria""),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72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85" t="str">
        <f>IFERROR(__xludf.DUMMYFUNCTION("ifna(VALUE(REGEXEXTRACT(E288,""[0-9.]+[,]+[0-9]+"")))"),"")</f>
        <v/>
      </c>
      <c r="O288" s="185"/>
      <c r="P288" s="185"/>
      <c r="Q288" s="185"/>
      <c r="R288" s="185"/>
      <c r="S288" s="185"/>
      <c r="T288" s="185"/>
      <c r="U288" s="185"/>
      <c r="V288" s="185"/>
      <c r="W288" s="185"/>
    </row>
    <row r="289" ht="14.25" customHeight="1">
      <c r="A289" s="178"/>
      <c r="B289" s="244"/>
      <c r="C289" s="245"/>
      <c r="D289" s="246"/>
      <c r="E289" s="247"/>
      <c r="F289" s="248"/>
      <c r="G289" s="249"/>
      <c r="H289" s="190"/>
      <c r="I289" s="190"/>
      <c r="J289" s="187"/>
      <c r="K289" s="187"/>
      <c r="L289" s="270" t="str">
        <f>IFERROR(__xludf.DUMMYFUNCTION("IF(
  AND(D289=""Saída"", J289=""Sangria""),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74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85" t="str">
        <f>IFERROR(__xludf.DUMMYFUNCTION("ifna(VALUE(REGEXEXTRACT(E289,""[0-9.]+[,]+[0-9]+"")))"),"")</f>
        <v/>
      </c>
      <c r="O289" s="185"/>
      <c r="P289" s="185"/>
      <c r="Q289" s="185"/>
      <c r="R289" s="185"/>
      <c r="S289" s="185"/>
      <c r="T289" s="185"/>
      <c r="U289" s="185"/>
      <c r="V289" s="185"/>
      <c r="W289" s="185"/>
    </row>
    <row r="290" ht="14.25" customHeight="1">
      <c r="A290" s="178"/>
      <c r="B290" s="244"/>
      <c r="C290" s="245"/>
      <c r="D290" s="246"/>
      <c r="E290" s="247"/>
      <c r="F290" s="248"/>
      <c r="G290" s="249"/>
      <c r="H290" s="190"/>
      <c r="I290" s="190"/>
      <c r="J290" s="187"/>
      <c r="K290" s="187"/>
      <c r="L290" s="270" t="str">
        <f>IFERROR(__xludf.DUMMYFUNCTION("IF(
  AND(D290=""Saída"", J290=""Sangria""),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72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85" t="str">
        <f>IFERROR(__xludf.DUMMYFUNCTION("ifna(VALUE(REGEXEXTRACT(E290,""[0-9.]+[,]+[0-9]+"")))"),"")</f>
        <v/>
      </c>
      <c r="O290" s="185"/>
      <c r="P290" s="185"/>
      <c r="Q290" s="185"/>
      <c r="R290" s="185"/>
      <c r="S290" s="185"/>
      <c r="T290" s="185"/>
      <c r="U290" s="185"/>
      <c r="V290" s="185"/>
      <c r="W290" s="185"/>
    </row>
    <row r="291" ht="14.25" customHeight="1">
      <c r="A291" s="178"/>
      <c r="B291" s="244"/>
      <c r="C291" s="245"/>
      <c r="D291" s="246"/>
      <c r="E291" s="247"/>
      <c r="F291" s="248"/>
      <c r="G291" s="249"/>
      <c r="H291" s="190"/>
      <c r="I291" s="190"/>
      <c r="J291" s="187"/>
      <c r="K291" s="187"/>
      <c r="L291" s="270" t="str">
        <f>IFERROR(__xludf.DUMMYFUNCTION("IF(
  AND(D291=""Saída"", J291=""Sangria""),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74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85" t="str">
        <f>IFERROR(__xludf.DUMMYFUNCTION("ifna(VALUE(REGEXEXTRACT(E291,""[0-9.]+[,]+[0-9]+"")))"),"")</f>
        <v/>
      </c>
      <c r="O291" s="185"/>
      <c r="P291" s="185"/>
      <c r="Q291" s="185"/>
      <c r="R291" s="185"/>
      <c r="S291" s="185"/>
      <c r="T291" s="185"/>
      <c r="U291" s="185"/>
      <c r="V291" s="185"/>
      <c r="W291" s="185"/>
    </row>
    <row r="292" ht="14.25" customHeight="1">
      <c r="A292" s="25"/>
      <c r="B292" s="244"/>
      <c r="C292" s="245"/>
      <c r="D292" s="246"/>
      <c r="E292" s="247"/>
      <c r="F292" s="248"/>
      <c r="G292" s="249"/>
      <c r="H292" s="190"/>
      <c r="I292" s="190"/>
      <c r="J292" s="187"/>
      <c r="K292" s="187"/>
      <c r="L292" s="270" t="str">
        <f>IFERROR(__xludf.DUMMYFUNCTION("IF(
  AND(D292=""Saída"", J292=""Sangria""),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72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85" t="str">
        <f>IFERROR(__xludf.DUMMYFUNCTION("ifna(VALUE(REGEXEXTRACT(E292,""[0-9.]+[,]+[0-9]+"")))"),"")</f>
        <v/>
      </c>
      <c r="O292" s="185"/>
      <c r="P292" s="185"/>
      <c r="Q292" s="185"/>
      <c r="R292" s="185"/>
      <c r="S292" s="185"/>
      <c r="T292" s="185"/>
      <c r="U292" s="185"/>
      <c r="V292" s="185"/>
      <c r="W292" s="185"/>
    </row>
    <row r="293" ht="14.25" customHeight="1">
      <c r="A293" s="25"/>
      <c r="B293" s="244"/>
      <c r="C293" s="245"/>
      <c r="D293" s="246"/>
      <c r="E293" s="247"/>
      <c r="F293" s="248"/>
      <c r="G293" s="249"/>
      <c r="H293" s="190"/>
      <c r="I293" s="190"/>
      <c r="J293" s="187"/>
      <c r="K293" s="189"/>
      <c r="L293" s="270" t="str">
        <f>IFERROR(__xludf.DUMMYFUNCTION("IF(
  AND(D293=""Saída"", J293=""Sangria""),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74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85" t="str">
        <f>IFERROR(__xludf.DUMMYFUNCTION("ifna(VALUE(REGEXEXTRACT(E293,""[0-9.]+[,]+[0-9]+"")))"),"")</f>
        <v/>
      </c>
      <c r="O293" s="185"/>
      <c r="P293" s="185"/>
      <c r="Q293" s="185"/>
      <c r="R293" s="185"/>
      <c r="S293" s="185"/>
      <c r="T293" s="185"/>
      <c r="U293" s="185"/>
      <c r="V293" s="185"/>
      <c r="W293" s="185"/>
    </row>
    <row r="294" ht="14.25" customHeight="1">
      <c r="A294" s="25"/>
      <c r="B294" s="244"/>
      <c r="C294" s="245"/>
      <c r="D294" s="246"/>
      <c r="E294" s="251"/>
      <c r="F294" s="248"/>
      <c r="G294" s="249"/>
      <c r="H294" s="190"/>
      <c r="I294" s="190"/>
      <c r="J294" s="187"/>
      <c r="K294" s="187"/>
      <c r="L294" s="270" t="str">
        <f>IFERROR(__xludf.DUMMYFUNCTION("IF(
  AND(D294=""Saída"", J294=""Sangria""),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72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85" t="str">
        <f>IFERROR(__xludf.DUMMYFUNCTION("ifna(VALUE(REGEXEXTRACT(E294,""[0-9.]+[,]+[0-9]+"")))"),"")</f>
        <v/>
      </c>
      <c r="O294" s="185"/>
      <c r="P294" s="185"/>
      <c r="Q294" s="185"/>
      <c r="R294" s="185"/>
      <c r="S294" s="185"/>
      <c r="T294" s="185"/>
      <c r="U294" s="185"/>
      <c r="V294" s="185"/>
      <c r="W294" s="185"/>
    </row>
    <row r="295" ht="14.25" customHeight="1">
      <c r="A295" s="25"/>
      <c r="B295" s="244"/>
      <c r="C295" s="245"/>
      <c r="D295" s="246"/>
      <c r="E295" s="247"/>
      <c r="F295" s="248"/>
      <c r="G295" s="249"/>
      <c r="H295" s="190"/>
      <c r="I295" s="190"/>
      <c r="J295" s="187"/>
      <c r="K295" s="187"/>
      <c r="L295" s="270" t="str">
        <f>IFERROR(__xludf.DUMMYFUNCTION("IF(
  AND(D295=""Saída"", J295=""Sangria""),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74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85" t="str">
        <f>IFERROR(__xludf.DUMMYFUNCTION("ifna(VALUE(REGEXEXTRACT(E295,""[0-9.]+[,]+[0-9]+"")))"),"")</f>
        <v/>
      </c>
      <c r="O295" s="185"/>
      <c r="P295" s="185"/>
      <c r="Q295" s="185"/>
      <c r="R295" s="185"/>
      <c r="S295" s="185"/>
      <c r="T295" s="185"/>
      <c r="U295" s="185"/>
      <c r="V295" s="185"/>
      <c r="W295" s="185"/>
    </row>
    <row r="296" ht="14.25" customHeight="1">
      <c r="A296" s="25"/>
      <c r="B296" s="244"/>
      <c r="C296" s="245"/>
      <c r="D296" s="246"/>
      <c r="E296" s="247"/>
      <c r="F296" s="252"/>
      <c r="G296" s="249"/>
      <c r="H296" s="190"/>
      <c r="I296" s="190"/>
      <c r="J296" s="187"/>
      <c r="K296" s="187"/>
      <c r="L296" s="270" t="str">
        <f>IFERROR(__xludf.DUMMYFUNCTION("IF(
  AND(D296=""Saída"", J296=""Sangria""),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72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85" t="str">
        <f>IFERROR(__xludf.DUMMYFUNCTION("ifna(VALUE(REGEXEXTRACT(E296,""[0-9.]+[,]+[0-9]+"")))"),"")</f>
        <v/>
      </c>
      <c r="O296" s="185"/>
      <c r="P296" s="185"/>
      <c r="Q296" s="185"/>
      <c r="R296" s="185"/>
      <c r="S296" s="185"/>
      <c r="T296" s="185"/>
      <c r="U296" s="185"/>
      <c r="V296" s="185"/>
      <c r="W296" s="185"/>
    </row>
    <row r="297" ht="14.25" customHeight="1">
      <c r="A297" s="25"/>
      <c r="B297" s="244"/>
      <c r="C297" s="245"/>
      <c r="D297" s="246"/>
      <c r="E297" s="247"/>
      <c r="F297" s="248"/>
      <c r="G297" s="249"/>
      <c r="H297" s="190"/>
      <c r="I297" s="190"/>
      <c r="J297" s="187"/>
      <c r="K297" s="187"/>
      <c r="L297" s="270" t="str">
        <f>IFERROR(__xludf.DUMMYFUNCTION("IF(
  AND(D297=""Saída"", J297=""Sangria""),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74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85" t="str">
        <f>IFERROR(__xludf.DUMMYFUNCTION("ifna(VALUE(REGEXEXTRACT(E297,""[0-9.]+[,]+[0-9]+"")))"),"")</f>
        <v/>
      </c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ht="14.25" customHeight="1">
      <c r="A298" s="25"/>
      <c r="B298" s="244"/>
      <c r="C298" s="245"/>
      <c r="D298" s="246"/>
      <c r="E298" s="247"/>
      <c r="F298" s="248"/>
      <c r="G298" s="249"/>
      <c r="H298" s="190"/>
      <c r="I298" s="190"/>
      <c r="J298" s="187"/>
      <c r="K298" s="187"/>
      <c r="L298" s="270" t="str">
        <f>IFERROR(__xludf.DUMMYFUNCTION("IF(
  AND(D298=""Saída"", J298=""Sangria""),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72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85" t="str">
        <f>IFERROR(__xludf.DUMMYFUNCTION("ifna(VALUE(REGEXEXTRACT(E298,""[0-9.]+[,]+[0-9]+"")))"),"")</f>
        <v/>
      </c>
      <c r="O298" s="185"/>
      <c r="P298" s="185"/>
      <c r="Q298" s="185"/>
      <c r="R298" s="185"/>
      <c r="S298" s="185"/>
      <c r="T298" s="185"/>
      <c r="U298" s="185"/>
      <c r="V298" s="185"/>
      <c r="W298" s="185"/>
    </row>
    <row r="299" ht="14.25" customHeight="1">
      <c r="A299" s="25"/>
      <c r="B299" s="244"/>
      <c r="C299" s="245"/>
      <c r="D299" s="246"/>
      <c r="E299" s="247"/>
      <c r="F299" s="248"/>
      <c r="G299" s="249"/>
      <c r="H299" s="190"/>
      <c r="I299" s="190"/>
      <c r="J299" s="187"/>
      <c r="K299" s="187"/>
      <c r="L299" s="270" t="str">
        <f>IFERROR(__xludf.DUMMYFUNCTION("IF(
  AND(D299=""Saída"", J299=""Sangria""),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74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85" t="str">
        <f>IFERROR(__xludf.DUMMYFUNCTION("ifna(VALUE(REGEXEXTRACT(E299,""[0-9.]+[,]+[0-9]+"")))"),"")</f>
        <v/>
      </c>
      <c r="O299" s="185"/>
      <c r="P299" s="185"/>
      <c r="Q299" s="185"/>
      <c r="R299" s="185"/>
      <c r="S299" s="185"/>
      <c r="T299" s="185"/>
      <c r="U299" s="185"/>
      <c r="V299" s="185"/>
      <c r="W299" s="185"/>
    </row>
    <row r="300" ht="14.25" customHeight="1">
      <c r="A300" s="25"/>
      <c r="B300" s="244"/>
      <c r="C300" s="245"/>
      <c r="D300" s="246"/>
      <c r="E300" s="247"/>
      <c r="F300" s="248"/>
      <c r="G300" s="249"/>
      <c r="H300" s="190"/>
      <c r="I300" s="190"/>
      <c r="J300" s="187"/>
      <c r="K300" s="187"/>
      <c r="L300" s="270" t="str">
        <f>IFERROR(__xludf.DUMMYFUNCTION("IF(
  AND(D300=""Saída"", J300=""Sangria""),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72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85" t="str">
        <f>IFERROR(__xludf.DUMMYFUNCTION("ifna(VALUE(REGEXEXTRACT(E300,""[0-9.]+[,]+[0-9]+"")))"),"")</f>
        <v/>
      </c>
      <c r="O300" s="185"/>
      <c r="P300" s="185"/>
      <c r="Q300" s="185"/>
      <c r="R300" s="185"/>
      <c r="S300" s="185"/>
      <c r="T300" s="185"/>
      <c r="U300" s="185"/>
      <c r="V300" s="185"/>
      <c r="W300" s="185"/>
    </row>
    <row r="301" ht="14.25" customHeight="1">
      <c r="A301" s="25"/>
      <c r="B301" s="244"/>
      <c r="C301" s="245"/>
      <c r="D301" s="246"/>
      <c r="E301" s="247"/>
      <c r="F301" s="252"/>
      <c r="G301" s="249"/>
      <c r="H301" s="190"/>
      <c r="I301" s="190"/>
      <c r="J301" s="187"/>
      <c r="K301" s="187"/>
      <c r="L301" s="270" t="str">
        <f>IFERROR(__xludf.DUMMYFUNCTION("IF(
  AND(D301=""Saída"", J301=""Sangria""),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74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85" t="str">
        <f>IFERROR(__xludf.DUMMYFUNCTION("ifna(VALUE(REGEXEXTRACT(E301,""[0-9.]+[,]+[0-9]+"")))"),"")</f>
        <v/>
      </c>
      <c r="O301" s="185"/>
      <c r="P301" s="185"/>
      <c r="Q301" s="185"/>
      <c r="R301" s="185"/>
      <c r="S301" s="185"/>
      <c r="T301" s="185"/>
      <c r="U301" s="185"/>
      <c r="V301" s="185"/>
      <c r="W301" s="185"/>
    </row>
    <row r="302" ht="14.25" customHeight="1">
      <c r="A302" s="25"/>
      <c r="B302" s="244"/>
      <c r="C302" s="245"/>
      <c r="D302" s="246"/>
      <c r="E302" s="247"/>
      <c r="F302" s="248"/>
      <c r="G302" s="249"/>
      <c r="H302" s="190"/>
      <c r="I302" s="190"/>
      <c r="J302" s="187"/>
      <c r="K302" s="189"/>
      <c r="L302" s="270" t="str">
        <f>IFERROR(__xludf.DUMMYFUNCTION("IF(
  AND(D302=""Saída"", J302=""Sangria""),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72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85" t="str">
        <f>IFERROR(__xludf.DUMMYFUNCTION("ifna(VALUE(REGEXEXTRACT(E302,""[0-9.]+[,]+[0-9]+"")))"),"")</f>
        <v/>
      </c>
      <c r="O302" s="185"/>
      <c r="P302" s="185"/>
      <c r="Q302" s="185"/>
      <c r="R302" s="185"/>
      <c r="S302" s="185"/>
      <c r="T302" s="185"/>
      <c r="U302" s="185"/>
      <c r="V302" s="185"/>
      <c r="W302" s="185"/>
    </row>
    <row r="303" ht="14.25" customHeight="1">
      <c r="A303" s="25"/>
      <c r="B303" s="244"/>
      <c r="C303" s="245"/>
      <c r="D303" s="246"/>
      <c r="E303" s="247"/>
      <c r="F303" s="252"/>
      <c r="G303" s="249"/>
      <c r="H303" s="190"/>
      <c r="I303" s="190"/>
      <c r="J303" s="187"/>
      <c r="K303" s="187"/>
      <c r="L303" s="270" t="str">
        <f>IFERROR(__xludf.DUMMYFUNCTION("IF(
  AND(D303=""Saída"", J303=""Sangria""),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74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85" t="str">
        <f>IFERROR(__xludf.DUMMYFUNCTION("ifna(VALUE(REGEXEXTRACT(E303,""[0-9.]+[,]+[0-9]+"")))"),"")</f>
        <v/>
      </c>
      <c r="O303" s="185"/>
      <c r="P303" s="185"/>
      <c r="Q303" s="185"/>
      <c r="R303" s="185"/>
      <c r="S303" s="185"/>
      <c r="T303" s="185"/>
      <c r="U303" s="185"/>
      <c r="V303" s="185"/>
      <c r="W303" s="185"/>
    </row>
    <row r="304" ht="14.25" customHeight="1">
      <c r="A304" s="25"/>
      <c r="B304" s="244"/>
      <c r="C304" s="245"/>
      <c r="D304" s="246"/>
      <c r="E304" s="247"/>
      <c r="F304" s="248"/>
      <c r="G304" s="249"/>
      <c r="H304" s="190"/>
      <c r="I304" s="190"/>
      <c r="J304" s="202"/>
      <c r="K304" s="187"/>
      <c r="L304" s="270" t="str">
        <f>IFERROR(__xludf.DUMMYFUNCTION("IF(
  AND(D304=""Saída"", J304=""Sangria""),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72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85" t="str">
        <f>IFERROR(__xludf.DUMMYFUNCTION("ifna(VALUE(REGEXEXTRACT(E304,""[0-9.]+[,]+[0-9]+"")))"),"")</f>
        <v/>
      </c>
      <c r="O304" s="185"/>
      <c r="P304" s="185"/>
      <c r="Q304" s="185"/>
      <c r="R304" s="185"/>
      <c r="S304" s="185"/>
      <c r="T304" s="185"/>
      <c r="U304" s="185"/>
      <c r="V304" s="185"/>
      <c r="W304" s="185"/>
    </row>
    <row r="305" ht="14.25" customHeight="1">
      <c r="A305" s="25"/>
      <c r="B305" s="244"/>
      <c r="C305" s="245"/>
      <c r="D305" s="246"/>
      <c r="E305" s="247"/>
      <c r="F305" s="248"/>
      <c r="G305" s="249"/>
      <c r="H305" s="190"/>
      <c r="I305" s="190"/>
      <c r="J305" s="202"/>
      <c r="K305" s="187"/>
      <c r="L305" s="270" t="str">
        <f>IFERROR(__xludf.DUMMYFUNCTION("IF(
  AND(D305=""Saída"", J305=""Sangria""),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74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85" t="str">
        <f>IFERROR(__xludf.DUMMYFUNCTION("ifna(VALUE(REGEXEXTRACT(E305,""[0-9.]+[,]+[0-9]+"")))"),"")</f>
        <v/>
      </c>
      <c r="O305" s="185"/>
      <c r="P305" s="185"/>
      <c r="Q305" s="185"/>
      <c r="R305" s="185"/>
      <c r="S305" s="185"/>
      <c r="T305" s="185"/>
      <c r="U305" s="185"/>
      <c r="V305" s="185"/>
      <c r="W305" s="185"/>
    </row>
    <row r="306" ht="14.25" customHeight="1">
      <c r="A306" s="25"/>
      <c r="B306" s="244"/>
      <c r="C306" s="245"/>
      <c r="D306" s="246"/>
      <c r="E306" s="247"/>
      <c r="F306" s="248"/>
      <c r="G306" s="249"/>
      <c r="H306" s="190"/>
      <c r="I306" s="190"/>
      <c r="J306" s="187"/>
      <c r="K306" s="187"/>
      <c r="L306" s="270" t="str">
        <f>IFERROR(__xludf.DUMMYFUNCTION("IF(
  AND(D306=""Saída"", J306=""Sangria""),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72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85" t="str">
        <f>IFERROR(__xludf.DUMMYFUNCTION("ifna(VALUE(REGEXEXTRACT(E306,""[0-9.]+[,]+[0-9]+"")))"),"")</f>
        <v/>
      </c>
      <c r="O306" s="185"/>
      <c r="P306" s="185"/>
      <c r="Q306" s="185"/>
      <c r="R306" s="185"/>
      <c r="S306" s="185"/>
      <c r="T306" s="185"/>
      <c r="U306" s="185"/>
      <c r="V306" s="185"/>
      <c r="W306" s="185"/>
    </row>
    <row r="307" ht="14.25" customHeight="1">
      <c r="A307" s="25"/>
      <c r="B307" s="244"/>
      <c r="C307" s="245"/>
      <c r="D307" s="246"/>
      <c r="E307" s="247"/>
      <c r="F307" s="248"/>
      <c r="G307" s="249"/>
      <c r="H307" s="190"/>
      <c r="I307" s="190"/>
      <c r="J307" s="187"/>
      <c r="K307" s="189"/>
      <c r="L307" s="270" t="str">
        <f>IFERROR(__xludf.DUMMYFUNCTION("IF(
  AND(D307=""Saída"", J307=""Sangria""),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74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85" t="str">
        <f>IFERROR(__xludf.DUMMYFUNCTION("ifna(VALUE(REGEXEXTRACT(E307,""[0-9.]+[,]+[0-9]+"")))"),"")</f>
        <v/>
      </c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ht="14.25" customHeight="1">
      <c r="A308" s="25"/>
      <c r="B308" s="244"/>
      <c r="C308" s="245"/>
      <c r="D308" s="246"/>
      <c r="E308" s="247"/>
      <c r="F308" s="252"/>
      <c r="G308" s="249"/>
      <c r="H308" s="190"/>
      <c r="I308" s="190"/>
      <c r="J308" s="187"/>
      <c r="K308" s="187"/>
      <c r="L308" s="270" t="str">
        <f>IFERROR(__xludf.DUMMYFUNCTION("IF(
  AND(D308=""Saída"", J308=""Sangria""),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72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85" t="str">
        <f>IFERROR(__xludf.DUMMYFUNCTION("ifna(VALUE(REGEXEXTRACT(E308,""[0-9.]+[,]+[0-9]+"")))"),"")</f>
        <v/>
      </c>
      <c r="O308" s="185"/>
      <c r="P308" s="185"/>
      <c r="Q308" s="185"/>
      <c r="R308" s="185"/>
      <c r="S308" s="185"/>
      <c r="T308" s="185"/>
      <c r="U308" s="185"/>
      <c r="V308" s="185"/>
      <c r="W308" s="185"/>
    </row>
    <row r="309" ht="14.25" customHeight="1">
      <c r="A309" s="25"/>
      <c r="B309" s="244"/>
      <c r="C309" s="245"/>
      <c r="D309" s="246"/>
      <c r="E309" s="247"/>
      <c r="F309" s="248"/>
      <c r="G309" s="249"/>
      <c r="H309" s="190"/>
      <c r="I309" s="190"/>
      <c r="J309" s="202"/>
      <c r="K309" s="187"/>
      <c r="L309" s="270" t="str">
        <f>IFERROR(__xludf.DUMMYFUNCTION("IF(
  AND(D309=""Saída"", J309=""Sangria""),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74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85" t="str">
        <f>IFERROR(__xludf.DUMMYFUNCTION("ifna(VALUE(REGEXEXTRACT(E309,""[0-9.]+[,]+[0-9]+"")))"),"")</f>
        <v/>
      </c>
      <c r="O309" s="185"/>
      <c r="P309" s="185"/>
      <c r="Q309" s="185"/>
      <c r="R309" s="185"/>
      <c r="S309" s="185"/>
      <c r="T309" s="185"/>
      <c r="U309" s="185"/>
      <c r="V309" s="185"/>
      <c r="W309" s="185"/>
    </row>
    <row r="310" ht="14.25" customHeight="1">
      <c r="A310" s="25"/>
      <c r="B310" s="244"/>
      <c r="C310" s="245"/>
      <c r="D310" s="246"/>
      <c r="E310" s="247"/>
      <c r="F310" s="248"/>
      <c r="G310" s="249"/>
      <c r="H310" s="190"/>
      <c r="I310" s="190"/>
      <c r="J310" s="187"/>
      <c r="K310" s="187"/>
      <c r="L310" s="270" t="str">
        <f>IFERROR(__xludf.DUMMYFUNCTION("IF(
  AND(D310=""Saída"", J310=""Sangria""),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72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85" t="str">
        <f>IFERROR(__xludf.DUMMYFUNCTION("ifna(VALUE(REGEXEXTRACT(E310,""[0-9.]+[,]+[0-9]+"")))"),"")</f>
        <v/>
      </c>
      <c r="O310" s="185"/>
      <c r="P310" s="185"/>
      <c r="Q310" s="185"/>
      <c r="R310" s="185"/>
      <c r="S310" s="185"/>
      <c r="T310" s="185"/>
      <c r="U310" s="185"/>
      <c r="V310" s="185"/>
      <c r="W310" s="185"/>
    </row>
    <row r="311" ht="14.25" customHeight="1">
      <c r="A311" s="25"/>
      <c r="B311" s="244"/>
      <c r="C311" s="245"/>
      <c r="D311" s="246"/>
      <c r="E311" s="247"/>
      <c r="F311" s="248"/>
      <c r="G311" s="249"/>
      <c r="H311" s="190"/>
      <c r="I311" s="190"/>
      <c r="J311" s="187"/>
      <c r="K311" s="187"/>
      <c r="L311" s="270" t="str">
        <f>IFERROR(__xludf.DUMMYFUNCTION("IF(
  AND(D311=""Saída"", J311=""Sangria""),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74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85" t="str">
        <f>IFERROR(__xludf.DUMMYFUNCTION("ifna(VALUE(REGEXEXTRACT(E311,""[0-9.]+[,]+[0-9]+"")))"),"")</f>
        <v/>
      </c>
      <c r="O311" s="185"/>
      <c r="P311" s="185"/>
      <c r="Q311" s="185"/>
      <c r="R311" s="185"/>
      <c r="S311" s="185"/>
      <c r="T311" s="185"/>
      <c r="U311" s="185"/>
      <c r="V311" s="185"/>
      <c r="W311" s="185"/>
    </row>
    <row r="312" ht="14.25" customHeight="1">
      <c r="A312" s="25"/>
      <c r="B312" s="244"/>
      <c r="C312" s="245"/>
      <c r="D312" s="246"/>
      <c r="E312" s="247"/>
      <c r="F312" s="248"/>
      <c r="G312" s="249"/>
      <c r="H312" s="190"/>
      <c r="I312" s="190"/>
      <c r="J312" s="187"/>
      <c r="K312" s="187"/>
      <c r="L312" s="270" t="str">
        <f>IFERROR(__xludf.DUMMYFUNCTION("IF(
  AND(D312=""Saída"", J312=""Sangria""),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72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85" t="str">
        <f>IFERROR(__xludf.DUMMYFUNCTION("ifna(VALUE(REGEXEXTRACT(E312,""[0-9.]+[,]+[0-9]+"")))"),"")</f>
        <v/>
      </c>
      <c r="O312" s="185"/>
      <c r="P312" s="185"/>
      <c r="Q312" s="185"/>
      <c r="R312" s="185"/>
      <c r="S312" s="185"/>
      <c r="T312" s="185"/>
      <c r="U312" s="185"/>
      <c r="V312" s="185"/>
      <c r="W312" s="185"/>
    </row>
    <row r="313" ht="14.25" customHeight="1">
      <c r="A313" s="25"/>
      <c r="B313" s="244"/>
      <c r="C313" s="245"/>
      <c r="D313" s="246"/>
      <c r="E313" s="247"/>
      <c r="F313" s="248"/>
      <c r="G313" s="249"/>
      <c r="H313" s="190"/>
      <c r="I313" s="190"/>
      <c r="J313" s="187"/>
      <c r="K313" s="187"/>
      <c r="L313" s="270" t="str">
        <f>IFERROR(__xludf.DUMMYFUNCTION("IF(
  AND(D313=""Saída"", J313=""Sangria""),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74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85" t="str">
        <f>IFERROR(__xludf.DUMMYFUNCTION("ifna(VALUE(REGEXEXTRACT(E313,""[0-9.]+[,]+[0-9]+"")))"),"")</f>
        <v/>
      </c>
      <c r="O313" s="185"/>
      <c r="P313" s="185"/>
      <c r="Q313" s="185"/>
      <c r="R313" s="185"/>
      <c r="S313" s="185"/>
      <c r="T313" s="185"/>
      <c r="U313" s="185"/>
      <c r="V313" s="185"/>
      <c r="W313" s="185"/>
    </row>
    <row r="314" ht="14.25" customHeight="1">
      <c r="A314" s="25"/>
      <c r="B314" s="244"/>
      <c r="C314" s="245"/>
      <c r="D314" s="246"/>
      <c r="E314" s="247"/>
      <c r="F314" s="252"/>
      <c r="G314" s="249"/>
      <c r="H314" s="190"/>
      <c r="I314" s="190"/>
      <c r="J314" s="187"/>
      <c r="K314" s="187"/>
      <c r="L314" s="270" t="str">
        <f>IFERROR(__xludf.DUMMYFUNCTION("IF(
  AND(D314=""Saída"", J314=""Sangria""),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72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85" t="str">
        <f>IFERROR(__xludf.DUMMYFUNCTION("ifna(VALUE(REGEXEXTRACT(E314,""[0-9.]+[,]+[0-9]+"")))"),"")</f>
        <v/>
      </c>
      <c r="O314" s="185"/>
      <c r="P314" s="185"/>
      <c r="Q314" s="185"/>
      <c r="R314" s="185"/>
      <c r="S314" s="185"/>
      <c r="T314" s="185"/>
      <c r="U314" s="185"/>
      <c r="V314" s="185"/>
      <c r="W314" s="185"/>
    </row>
    <row r="315" ht="14.25" customHeight="1">
      <c r="A315" s="25"/>
      <c r="B315" s="244"/>
      <c r="C315" s="245"/>
      <c r="D315" s="246"/>
      <c r="E315" s="247"/>
      <c r="F315" s="248"/>
      <c r="G315" s="249"/>
      <c r="H315" s="190"/>
      <c r="I315" s="190"/>
      <c r="J315" s="187"/>
      <c r="K315" s="187"/>
      <c r="L315" s="270" t="str">
        <f>IFERROR(__xludf.DUMMYFUNCTION("IF(
  AND(D315=""Saída"", J315=""Sangria""),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74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85" t="str">
        <f>IFERROR(__xludf.DUMMYFUNCTION("ifna(VALUE(REGEXEXTRACT(E315,""[0-9.]+[,]+[0-9]+"")))"),"")</f>
        <v/>
      </c>
      <c r="O315" s="185"/>
      <c r="P315" s="185"/>
      <c r="Q315" s="185"/>
      <c r="R315" s="185"/>
      <c r="S315" s="185"/>
      <c r="T315" s="185"/>
      <c r="U315" s="185"/>
      <c r="V315" s="185"/>
      <c r="W315" s="185"/>
    </row>
    <row r="316" ht="14.25" customHeight="1">
      <c r="A316" s="25"/>
      <c r="B316" s="244"/>
      <c r="C316" s="245"/>
      <c r="D316" s="246"/>
      <c r="E316" s="247"/>
      <c r="F316" s="252"/>
      <c r="G316" s="249"/>
      <c r="H316" s="190"/>
      <c r="I316" s="190"/>
      <c r="J316" s="187"/>
      <c r="K316" s="187"/>
      <c r="L316" s="270" t="str">
        <f>IFERROR(__xludf.DUMMYFUNCTION("IF(
  AND(D316=""Saída"", J316=""Sangria""),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72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85" t="str">
        <f>IFERROR(__xludf.DUMMYFUNCTION("ifna(VALUE(REGEXEXTRACT(E316,""[0-9.]+[,]+[0-9]+"")))"),"")</f>
        <v/>
      </c>
      <c r="O316" s="185"/>
      <c r="P316" s="185"/>
      <c r="Q316" s="185"/>
      <c r="R316" s="185"/>
      <c r="S316" s="185"/>
      <c r="T316" s="185"/>
      <c r="U316" s="185"/>
      <c r="V316" s="185"/>
      <c r="W316" s="185"/>
    </row>
    <row r="317" ht="14.25" customHeight="1">
      <c r="A317" s="25"/>
      <c r="B317" s="244"/>
      <c r="C317" s="245"/>
      <c r="D317" s="246"/>
      <c r="E317" s="247"/>
      <c r="F317" s="248"/>
      <c r="G317" s="249"/>
      <c r="H317" s="190"/>
      <c r="I317" s="190"/>
      <c r="J317" s="187"/>
      <c r="K317" s="187"/>
      <c r="L317" s="270" t="str">
        <f>IFERROR(__xludf.DUMMYFUNCTION("IF(
  AND(D317=""Saída"", J317=""Sangria""),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74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85" t="str">
        <f>IFERROR(__xludf.DUMMYFUNCTION("ifna(VALUE(REGEXEXTRACT(E317,""[0-9.]+[,]+[0-9]+"")))"),"")</f>
        <v/>
      </c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ht="14.25" customHeight="1">
      <c r="A318" s="25"/>
      <c r="B318" s="244"/>
      <c r="C318" s="245"/>
      <c r="D318" s="246"/>
      <c r="E318" s="247"/>
      <c r="F318" s="248"/>
      <c r="G318" s="249"/>
      <c r="H318" s="190"/>
      <c r="I318" s="190"/>
      <c r="J318" s="187"/>
      <c r="K318" s="187"/>
      <c r="L318" s="270" t="str">
        <f>IFERROR(__xludf.DUMMYFUNCTION("IF(
  AND(D318=""Saída"", J318=""Sangria""),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72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85" t="str">
        <f>IFERROR(__xludf.DUMMYFUNCTION("ifna(VALUE(REGEXEXTRACT(E318,""[0-9.]+[,]+[0-9]+"")))"),"")</f>
        <v/>
      </c>
      <c r="O318" s="185"/>
      <c r="P318" s="185"/>
      <c r="Q318" s="185"/>
      <c r="R318" s="185"/>
      <c r="S318" s="185"/>
      <c r="T318" s="185"/>
      <c r="U318" s="185"/>
      <c r="V318" s="185"/>
      <c r="W318" s="185"/>
    </row>
    <row r="319" ht="14.25" customHeight="1">
      <c r="A319" s="25"/>
      <c r="B319" s="244"/>
      <c r="C319" s="245"/>
      <c r="D319" s="246"/>
      <c r="E319" s="247"/>
      <c r="F319" s="248"/>
      <c r="G319" s="249"/>
      <c r="H319" s="190"/>
      <c r="I319" s="190"/>
      <c r="J319" s="187"/>
      <c r="K319" s="187"/>
      <c r="L319" s="270" t="str">
        <f>IFERROR(__xludf.DUMMYFUNCTION("IF(
  AND(D319=""Saída"", J319=""Sangria""),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74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85" t="str">
        <f>IFERROR(__xludf.DUMMYFUNCTION("ifna(VALUE(REGEXEXTRACT(E319,""[0-9.]+[,]+[0-9]+"")))"),"")</f>
        <v/>
      </c>
      <c r="O319" s="185"/>
      <c r="P319" s="185"/>
      <c r="Q319" s="185"/>
      <c r="R319" s="185"/>
      <c r="S319" s="185"/>
      <c r="T319" s="185"/>
      <c r="U319" s="185"/>
      <c r="V319" s="185"/>
      <c r="W319" s="185"/>
    </row>
    <row r="320" ht="14.25" customHeight="1">
      <c r="A320" s="25"/>
      <c r="B320" s="244"/>
      <c r="C320" s="245"/>
      <c r="D320" s="246"/>
      <c r="E320" s="247"/>
      <c r="F320" s="248"/>
      <c r="G320" s="249"/>
      <c r="H320" s="190"/>
      <c r="I320" s="190"/>
      <c r="J320" s="187"/>
      <c r="K320" s="187"/>
      <c r="L320" s="270" t="str">
        <f>IFERROR(__xludf.DUMMYFUNCTION("IF(
  AND(D320=""Saída"", J320=""Sangria""),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72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85" t="str">
        <f>IFERROR(__xludf.DUMMYFUNCTION("ifna(VALUE(REGEXEXTRACT(E320,""[0-9.]+[,]+[0-9]+"")))"),"")</f>
        <v/>
      </c>
      <c r="O320" s="185"/>
      <c r="P320" s="185"/>
      <c r="Q320" s="185"/>
      <c r="R320" s="185"/>
      <c r="S320" s="185"/>
      <c r="T320" s="185"/>
      <c r="U320" s="185"/>
      <c r="V320" s="185"/>
      <c r="W320" s="185"/>
    </row>
    <row r="321" ht="14.25" customHeight="1">
      <c r="A321" s="25"/>
      <c r="B321" s="244"/>
      <c r="C321" s="245"/>
      <c r="D321" s="246"/>
      <c r="E321" s="247"/>
      <c r="F321" s="248"/>
      <c r="G321" s="249"/>
      <c r="H321" s="190"/>
      <c r="I321" s="190"/>
      <c r="J321" s="187"/>
      <c r="K321" s="187"/>
      <c r="L321" s="270" t="str">
        <f>IFERROR(__xludf.DUMMYFUNCTION("IF(
  AND(D321=""Saída"", J321=""Sangria""),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74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85" t="str">
        <f>IFERROR(__xludf.DUMMYFUNCTION("ifna(VALUE(REGEXEXTRACT(E321,""[0-9.]+[,]+[0-9]+"")))"),"")</f>
        <v/>
      </c>
      <c r="O321" s="185"/>
      <c r="P321" s="185"/>
      <c r="Q321" s="185"/>
      <c r="R321" s="185"/>
      <c r="S321" s="185"/>
      <c r="T321" s="185"/>
      <c r="U321" s="185"/>
      <c r="V321" s="185"/>
      <c r="W321" s="185"/>
    </row>
    <row r="322" ht="14.25" customHeight="1">
      <c r="A322" s="25"/>
      <c r="B322" s="244"/>
      <c r="C322" s="245"/>
      <c r="D322" s="246"/>
      <c r="E322" s="247"/>
      <c r="F322" s="248"/>
      <c r="G322" s="249"/>
      <c r="H322" s="190"/>
      <c r="I322" s="190"/>
      <c r="J322" s="187"/>
      <c r="K322" s="187"/>
      <c r="L322" s="270" t="str">
        <f>IFERROR(__xludf.DUMMYFUNCTION("IF(
  AND(D322=""Saída"", J322=""Sangria""),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72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85" t="str">
        <f>IFERROR(__xludf.DUMMYFUNCTION("ifna(VALUE(REGEXEXTRACT(E322,""[0-9.]+[,]+[0-9]+"")))"),"")</f>
        <v/>
      </c>
      <c r="O322" s="185"/>
      <c r="P322" s="185"/>
      <c r="Q322" s="185"/>
      <c r="R322" s="185"/>
      <c r="S322" s="185"/>
      <c r="T322" s="185"/>
      <c r="U322" s="185"/>
      <c r="V322" s="185"/>
      <c r="W322" s="185"/>
    </row>
    <row r="323" ht="14.25" customHeight="1">
      <c r="A323" s="25"/>
      <c r="B323" s="244"/>
      <c r="C323" s="245"/>
      <c r="D323" s="246"/>
      <c r="E323" s="247"/>
      <c r="F323" s="248"/>
      <c r="G323" s="249"/>
      <c r="H323" s="190"/>
      <c r="I323" s="190"/>
      <c r="J323" s="187"/>
      <c r="K323" s="187"/>
      <c r="L323" s="270" t="str">
        <f>IFERROR(__xludf.DUMMYFUNCTION("IF(
  AND(D323=""Saída"", J323=""Sangria""),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74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85" t="str">
        <f>IFERROR(__xludf.DUMMYFUNCTION("ifna(VALUE(REGEXEXTRACT(E323,""[0-9.]+[,]+[0-9]+"")))"),"")</f>
        <v/>
      </c>
      <c r="O323" s="185"/>
      <c r="P323" s="185"/>
      <c r="Q323" s="185"/>
      <c r="R323" s="185"/>
      <c r="S323" s="185"/>
      <c r="T323" s="185"/>
      <c r="U323" s="185"/>
      <c r="V323" s="185"/>
      <c r="W323" s="185"/>
    </row>
    <row r="324" ht="14.25" customHeight="1">
      <c r="A324" s="25"/>
      <c r="B324" s="244"/>
      <c r="C324" s="245"/>
      <c r="D324" s="246"/>
      <c r="E324" s="247"/>
      <c r="F324" s="248"/>
      <c r="G324" s="249"/>
      <c r="H324" s="190"/>
      <c r="I324" s="190"/>
      <c r="J324" s="187"/>
      <c r="K324" s="187"/>
      <c r="L324" s="270" t="str">
        <f>IFERROR(__xludf.DUMMYFUNCTION("IF(
  AND(D324=""Saída"", J324=""Sangria""),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72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85" t="str">
        <f>IFERROR(__xludf.DUMMYFUNCTION("ifna(VALUE(REGEXEXTRACT(E324,""[0-9.]+[,]+[0-9]+"")))"),"")</f>
        <v/>
      </c>
      <c r="O324" s="185"/>
      <c r="P324" s="185"/>
      <c r="Q324" s="185"/>
      <c r="R324" s="185"/>
      <c r="S324" s="185"/>
      <c r="T324" s="185"/>
      <c r="U324" s="185"/>
      <c r="V324" s="185"/>
      <c r="W324" s="185"/>
    </row>
    <row r="325" ht="14.25" customHeight="1">
      <c r="A325" s="25"/>
      <c r="B325" s="244"/>
      <c r="C325" s="245"/>
      <c r="D325" s="246"/>
      <c r="E325" s="247"/>
      <c r="F325" s="248"/>
      <c r="G325" s="249"/>
      <c r="H325" s="190"/>
      <c r="I325" s="190"/>
      <c r="J325" s="187"/>
      <c r="K325" s="187"/>
      <c r="L325" s="270" t="str">
        <f>IFERROR(__xludf.DUMMYFUNCTION("IF(
  AND(D325=""Saída"", J325=""Sangria""),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74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85" t="str">
        <f>IFERROR(__xludf.DUMMYFUNCTION("ifna(VALUE(REGEXEXTRACT(E325,""[0-9.]+[,]+[0-9]+"")))"),"")</f>
        <v/>
      </c>
      <c r="O325" s="185"/>
      <c r="P325" s="185"/>
      <c r="Q325" s="185"/>
      <c r="R325" s="185"/>
      <c r="S325" s="185"/>
      <c r="T325" s="185"/>
      <c r="U325" s="185"/>
      <c r="V325" s="185"/>
      <c r="W325" s="185"/>
    </row>
    <row r="326" ht="14.25" customHeight="1">
      <c r="A326" s="25"/>
      <c r="B326" s="244"/>
      <c r="C326" s="245"/>
      <c r="D326" s="246"/>
      <c r="E326" s="247"/>
      <c r="F326" s="252"/>
      <c r="G326" s="249"/>
      <c r="H326" s="190"/>
      <c r="I326" s="190"/>
      <c r="J326" s="187"/>
      <c r="K326" s="187"/>
      <c r="L326" s="270" t="str">
        <f>IFERROR(__xludf.DUMMYFUNCTION("IF(
  AND(D326=""Saída"", J326=""Sangria""),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72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85" t="str">
        <f>IFERROR(__xludf.DUMMYFUNCTION("ifna(VALUE(REGEXEXTRACT(E326,""[0-9.]+[,]+[0-9]+"")))"),"")</f>
        <v/>
      </c>
      <c r="O326" s="185"/>
      <c r="P326" s="185"/>
      <c r="Q326" s="185"/>
      <c r="R326" s="185"/>
      <c r="S326" s="185"/>
      <c r="T326" s="185"/>
      <c r="U326" s="185"/>
      <c r="V326" s="185"/>
      <c r="W326" s="185"/>
    </row>
    <row r="327" ht="14.25" customHeight="1">
      <c r="A327" s="25"/>
      <c r="B327" s="244"/>
      <c r="C327" s="245"/>
      <c r="D327" s="246"/>
      <c r="E327" s="247"/>
      <c r="F327" s="248"/>
      <c r="G327" s="249"/>
      <c r="H327" s="190"/>
      <c r="I327" s="190"/>
      <c r="J327" s="187"/>
      <c r="K327" s="187"/>
      <c r="L327" s="270" t="str">
        <f>IFERROR(__xludf.DUMMYFUNCTION("IF(
  AND(D327=""Saída"", J327=""Sangria""),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74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85" t="str">
        <f>IFERROR(__xludf.DUMMYFUNCTION("ifna(VALUE(REGEXEXTRACT(E327,""[0-9.]+[,]+[0-9]+"")))"),"")</f>
        <v/>
      </c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ht="14.25" customHeight="1">
      <c r="A328" s="25"/>
      <c r="B328" s="244"/>
      <c r="C328" s="245"/>
      <c r="D328" s="246"/>
      <c r="E328" s="247"/>
      <c r="F328" s="248"/>
      <c r="G328" s="249"/>
      <c r="H328" s="190"/>
      <c r="I328" s="190"/>
      <c r="J328" s="187"/>
      <c r="K328" s="187"/>
      <c r="L328" s="270" t="str">
        <f>IFERROR(__xludf.DUMMYFUNCTION("IF(
  AND(D328=""Saída"", J328=""Sangria""),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72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85" t="str">
        <f>IFERROR(__xludf.DUMMYFUNCTION("ifna(VALUE(REGEXEXTRACT(E328,""[0-9.]+[,]+[0-9]+"")))"),"")</f>
        <v/>
      </c>
      <c r="O328" s="185"/>
      <c r="P328" s="185"/>
      <c r="Q328" s="185"/>
      <c r="R328" s="185"/>
      <c r="S328" s="185"/>
      <c r="T328" s="185"/>
      <c r="U328" s="185"/>
      <c r="V328" s="185"/>
      <c r="W328" s="185"/>
    </row>
    <row r="329" ht="14.25" customHeight="1">
      <c r="A329" s="25"/>
      <c r="B329" s="244"/>
      <c r="C329" s="245"/>
      <c r="D329" s="246"/>
      <c r="E329" s="247"/>
      <c r="F329" s="248"/>
      <c r="G329" s="249"/>
      <c r="H329" s="190"/>
      <c r="I329" s="190"/>
      <c r="J329" s="187"/>
      <c r="K329" s="187"/>
      <c r="L329" s="270" t="str">
        <f>IFERROR(__xludf.DUMMYFUNCTION("IF(
  AND(D329=""Saída"", J329=""Sangria""),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74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85" t="str">
        <f>IFERROR(__xludf.DUMMYFUNCTION("ifna(VALUE(REGEXEXTRACT(E329,""[0-9.]+[,]+[0-9]+"")))"),"")</f>
        <v/>
      </c>
      <c r="O329" s="185"/>
      <c r="P329" s="185"/>
      <c r="Q329" s="185"/>
      <c r="R329" s="185"/>
      <c r="S329" s="185"/>
      <c r="T329" s="185"/>
      <c r="U329" s="185"/>
      <c r="V329" s="185"/>
      <c r="W329" s="185"/>
    </row>
    <row r="330" ht="14.25" customHeight="1">
      <c r="A330" s="25"/>
      <c r="B330" s="244"/>
      <c r="C330" s="245"/>
      <c r="D330" s="246"/>
      <c r="E330" s="247"/>
      <c r="F330" s="248"/>
      <c r="G330" s="249"/>
      <c r="H330" s="190"/>
      <c r="I330" s="190"/>
      <c r="J330" s="187"/>
      <c r="K330" s="187"/>
      <c r="L330" s="270" t="str">
        <f>IFERROR(__xludf.DUMMYFUNCTION("IF(
  AND(D330=""Saída"", J330=""Sangria""),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72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85" t="str">
        <f>IFERROR(__xludf.DUMMYFUNCTION("ifna(VALUE(REGEXEXTRACT(E330,""[0-9.]+[,]+[0-9]+"")))"),"")</f>
        <v/>
      </c>
      <c r="O330" s="185"/>
      <c r="P330" s="185"/>
      <c r="Q330" s="185"/>
      <c r="R330" s="185"/>
      <c r="S330" s="185"/>
      <c r="T330" s="185"/>
      <c r="U330" s="185"/>
      <c r="V330" s="185"/>
      <c r="W330" s="185"/>
    </row>
    <row r="331" ht="14.25" customHeight="1">
      <c r="A331" s="25"/>
      <c r="B331" s="244"/>
      <c r="C331" s="245"/>
      <c r="D331" s="246"/>
      <c r="E331" s="247"/>
      <c r="F331" s="248"/>
      <c r="G331" s="249"/>
      <c r="H331" s="190"/>
      <c r="I331" s="190"/>
      <c r="J331" s="187"/>
      <c r="K331" s="187"/>
      <c r="L331" s="270" t="str">
        <f>IFERROR(__xludf.DUMMYFUNCTION("IF(
  AND(D331=""Saída"", J331=""Sangria""),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74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85" t="str">
        <f>IFERROR(__xludf.DUMMYFUNCTION("ifna(VALUE(REGEXEXTRACT(E331,""[0-9.]+[,]+[0-9]+"")))"),"")</f>
        <v/>
      </c>
      <c r="O331" s="185"/>
      <c r="P331" s="185"/>
      <c r="Q331" s="185"/>
      <c r="R331" s="185"/>
      <c r="S331" s="185"/>
      <c r="T331" s="185"/>
      <c r="U331" s="185"/>
      <c r="V331" s="185"/>
      <c r="W331" s="185"/>
    </row>
    <row r="332" ht="14.25" customHeight="1">
      <c r="A332" s="25"/>
      <c r="B332" s="244"/>
      <c r="C332" s="245"/>
      <c r="D332" s="246"/>
      <c r="E332" s="247"/>
      <c r="F332" s="248"/>
      <c r="G332" s="249"/>
      <c r="H332" s="190"/>
      <c r="I332" s="190"/>
      <c r="J332" s="187"/>
      <c r="K332" s="189"/>
      <c r="L332" s="270" t="str">
        <f>IFERROR(__xludf.DUMMYFUNCTION("IF(
  AND(D332=""Saída"", J332=""Sangria""),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72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85" t="str">
        <f>IFERROR(__xludf.DUMMYFUNCTION("ifna(VALUE(REGEXEXTRACT(E332,""[0-9.]+[,]+[0-9]+"")))"),"")</f>
        <v/>
      </c>
      <c r="O332" s="185"/>
      <c r="P332" s="185"/>
      <c r="Q332" s="185"/>
      <c r="R332" s="185"/>
      <c r="S332" s="185"/>
      <c r="T332" s="185"/>
      <c r="U332" s="185"/>
      <c r="V332" s="185"/>
      <c r="W332" s="185"/>
    </row>
    <row r="333" ht="14.25" customHeight="1">
      <c r="A333" s="25"/>
      <c r="B333" s="244"/>
      <c r="C333" s="245"/>
      <c r="D333" s="246"/>
      <c r="E333" s="247"/>
      <c r="F333" s="248"/>
      <c r="G333" s="249"/>
      <c r="H333" s="190"/>
      <c r="I333" s="190"/>
      <c r="J333" s="187"/>
      <c r="K333" s="187"/>
      <c r="L333" s="270" t="str">
        <f>IFERROR(__xludf.DUMMYFUNCTION("IF(
  AND(D333=""Saída"", J333=""Sangria""),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74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85" t="str">
        <f>IFERROR(__xludf.DUMMYFUNCTION("ifna(VALUE(REGEXEXTRACT(E333,""[0-9.]+[,]+[0-9]+"")))"),"")</f>
        <v/>
      </c>
      <c r="O333" s="185"/>
      <c r="P333" s="185"/>
      <c r="Q333" s="185"/>
      <c r="R333" s="185"/>
      <c r="S333" s="185"/>
      <c r="T333" s="185"/>
      <c r="U333" s="185"/>
      <c r="V333" s="185"/>
      <c r="W333" s="185"/>
    </row>
    <row r="334" ht="14.25" customHeight="1">
      <c r="A334" s="25"/>
      <c r="B334" s="244"/>
      <c r="C334" s="245"/>
      <c r="D334" s="246"/>
      <c r="E334" s="247"/>
      <c r="F334" s="248"/>
      <c r="G334" s="249"/>
      <c r="H334" s="190"/>
      <c r="I334" s="190"/>
      <c r="J334" s="187"/>
      <c r="K334" s="187"/>
      <c r="L334" s="270" t="str">
        <f>IFERROR(__xludf.DUMMYFUNCTION("IF(
  AND(D334=""Saída"", J334=""Sangria""),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72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85" t="str">
        <f>IFERROR(__xludf.DUMMYFUNCTION("ifna(VALUE(REGEXEXTRACT(E334,""[0-9.]+[,]+[0-9]+"")))"),"")</f>
        <v/>
      </c>
      <c r="O334" s="185"/>
      <c r="P334" s="185"/>
      <c r="Q334" s="185"/>
      <c r="R334" s="185"/>
      <c r="S334" s="185"/>
      <c r="T334" s="185"/>
      <c r="U334" s="185"/>
      <c r="V334" s="185"/>
      <c r="W334" s="185"/>
    </row>
    <row r="335" ht="14.25" customHeight="1">
      <c r="A335" s="25"/>
      <c r="B335" s="244"/>
      <c r="C335" s="245"/>
      <c r="D335" s="246"/>
      <c r="E335" s="247"/>
      <c r="F335" s="248"/>
      <c r="G335" s="249"/>
      <c r="H335" s="190"/>
      <c r="I335" s="190"/>
      <c r="J335" s="187"/>
      <c r="K335" s="187"/>
      <c r="L335" s="270" t="str">
        <f>IFERROR(__xludf.DUMMYFUNCTION("IF(
  AND(D335=""Saída"", J335=""Sangria""),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74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85" t="str">
        <f>IFERROR(__xludf.DUMMYFUNCTION("ifna(VALUE(REGEXEXTRACT(E335,""[0-9.]+[,]+[0-9]+"")))"),"")</f>
        <v/>
      </c>
      <c r="O335" s="185"/>
      <c r="P335" s="185"/>
      <c r="Q335" s="185"/>
      <c r="R335" s="185"/>
      <c r="S335" s="185"/>
      <c r="T335" s="185"/>
      <c r="U335" s="185"/>
      <c r="V335" s="185"/>
      <c r="W335" s="185"/>
    </row>
    <row r="336" ht="14.25" customHeight="1">
      <c r="A336" s="25"/>
      <c r="B336" s="244"/>
      <c r="C336" s="245"/>
      <c r="D336" s="246"/>
      <c r="E336" s="247"/>
      <c r="F336" s="252"/>
      <c r="G336" s="249"/>
      <c r="H336" s="190"/>
      <c r="I336" s="190"/>
      <c r="J336" s="187"/>
      <c r="K336" s="187"/>
      <c r="L336" s="270" t="str">
        <f>IFERROR(__xludf.DUMMYFUNCTION("IF(
  AND(D336=""Saída"", J336=""Sangria""),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72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85" t="str">
        <f>IFERROR(__xludf.DUMMYFUNCTION("ifna(VALUE(REGEXEXTRACT(E336,""[0-9.]+[,]+[0-9]+"")))"),"")</f>
        <v/>
      </c>
      <c r="O336" s="185"/>
      <c r="P336" s="185"/>
      <c r="Q336" s="185"/>
      <c r="R336" s="185"/>
      <c r="S336" s="185"/>
      <c r="T336" s="185"/>
      <c r="U336" s="185"/>
      <c r="V336" s="185"/>
      <c r="W336" s="185"/>
    </row>
    <row r="337" ht="14.25" customHeight="1">
      <c r="A337" s="25"/>
      <c r="B337" s="244"/>
      <c r="C337" s="245"/>
      <c r="D337" s="246"/>
      <c r="E337" s="251"/>
      <c r="F337" s="248"/>
      <c r="G337" s="249"/>
      <c r="H337" s="190"/>
      <c r="I337" s="190"/>
      <c r="J337" s="187"/>
      <c r="K337" s="187"/>
      <c r="L337" s="270" t="str">
        <f>IFERROR(__xludf.DUMMYFUNCTION("IF(
  AND(D337=""Saída"", J337=""Sangria""),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74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85" t="str">
        <f>IFERROR(__xludf.DUMMYFUNCTION("ifna(VALUE(REGEXEXTRACT(E337,""[0-9.]+[,]+[0-9]+"")))"),"")</f>
        <v/>
      </c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ht="14.25" customHeight="1">
      <c r="A338" s="25"/>
      <c r="B338" s="244"/>
      <c r="C338" s="245"/>
      <c r="D338" s="246"/>
      <c r="E338" s="247"/>
      <c r="F338" s="248"/>
      <c r="G338" s="249"/>
      <c r="H338" s="190"/>
      <c r="I338" s="190"/>
      <c r="J338" s="187"/>
      <c r="K338" s="189"/>
      <c r="L338" s="270" t="str">
        <f>IFERROR(__xludf.DUMMYFUNCTION("IF(
  AND(D338=""Saída"", J338=""Sangria""),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72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85" t="str">
        <f>IFERROR(__xludf.DUMMYFUNCTION("ifna(VALUE(REGEXEXTRACT(E338,""[0-9.]+[,]+[0-9]+"")))"),"")</f>
        <v/>
      </c>
      <c r="O338" s="185"/>
      <c r="P338" s="185"/>
      <c r="Q338" s="185"/>
      <c r="R338" s="185"/>
      <c r="S338" s="185"/>
      <c r="T338" s="185"/>
      <c r="U338" s="185"/>
      <c r="V338" s="185"/>
      <c r="W338" s="185"/>
    </row>
    <row r="339" ht="14.25" customHeight="1">
      <c r="A339" s="25"/>
      <c r="B339" s="244"/>
      <c r="C339" s="245"/>
      <c r="D339" s="246"/>
      <c r="E339" s="247"/>
      <c r="F339" s="248"/>
      <c r="G339" s="249"/>
      <c r="H339" s="190"/>
      <c r="I339" s="190"/>
      <c r="J339" s="187"/>
      <c r="K339" s="187"/>
      <c r="L339" s="270" t="str">
        <f>IFERROR(__xludf.DUMMYFUNCTION("IF(
  AND(D339=""Saída"", J339=""Sangria""),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74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85" t="str">
        <f>IFERROR(__xludf.DUMMYFUNCTION("ifna(VALUE(REGEXEXTRACT(E339,""[0-9.]+[,]+[0-9]+"")))"),"")</f>
        <v/>
      </c>
      <c r="O339" s="185"/>
      <c r="P339" s="185"/>
      <c r="Q339" s="185"/>
      <c r="R339" s="185"/>
      <c r="S339" s="185"/>
      <c r="T339" s="185"/>
      <c r="U339" s="185"/>
      <c r="V339" s="185"/>
      <c r="W339" s="185"/>
    </row>
    <row r="340" ht="14.25" customHeight="1">
      <c r="A340" s="25"/>
      <c r="B340" s="244"/>
      <c r="C340" s="245"/>
      <c r="D340" s="246"/>
      <c r="E340" s="247"/>
      <c r="F340" s="248"/>
      <c r="G340" s="249"/>
      <c r="H340" s="190"/>
      <c r="I340" s="190"/>
      <c r="J340" s="187"/>
      <c r="K340" s="187"/>
      <c r="L340" s="270" t="str">
        <f>IFERROR(__xludf.DUMMYFUNCTION("IF(
  AND(D340=""Saída"", J340=""Sangria""),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72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85" t="str">
        <f>IFERROR(__xludf.DUMMYFUNCTION("ifna(VALUE(REGEXEXTRACT(E340,""[0-9.]+[,]+[0-9]+"")))"),"")</f>
        <v/>
      </c>
      <c r="O340" s="185"/>
      <c r="P340" s="185"/>
      <c r="Q340" s="185"/>
      <c r="R340" s="185"/>
      <c r="S340" s="185"/>
      <c r="T340" s="185"/>
      <c r="U340" s="185"/>
      <c r="V340" s="185"/>
      <c r="W340" s="185"/>
    </row>
    <row r="341" ht="14.25" customHeight="1">
      <c r="A341" s="25"/>
      <c r="B341" s="244"/>
      <c r="C341" s="245"/>
      <c r="D341" s="246"/>
      <c r="E341" s="247"/>
      <c r="F341" s="252"/>
      <c r="G341" s="249"/>
      <c r="H341" s="190"/>
      <c r="I341" s="190"/>
      <c r="J341" s="187"/>
      <c r="K341" s="187"/>
      <c r="L341" s="270" t="str">
        <f>IFERROR(__xludf.DUMMYFUNCTION("IF(
  AND(D341=""Saída"", J341=""Sangria""),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74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85" t="str">
        <f>IFERROR(__xludf.DUMMYFUNCTION("ifna(VALUE(REGEXEXTRACT(E341,""[0-9.]+[,]+[0-9]+"")))"),"")</f>
        <v/>
      </c>
      <c r="O341" s="185"/>
      <c r="P341" s="185"/>
      <c r="Q341" s="185"/>
      <c r="R341" s="185"/>
      <c r="S341" s="185"/>
      <c r="T341" s="185"/>
      <c r="U341" s="185"/>
      <c r="V341" s="185"/>
      <c r="W341" s="185"/>
    </row>
    <row r="342" ht="14.25" customHeight="1">
      <c r="A342" s="25"/>
      <c r="B342" s="244"/>
      <c r="C342" s="245"/>
      <c r="D342" s="246"/>
      <c r="E342" s="247"/>
      <c r="F342" s="248"/>
      <c r="G342" s="250"/>
      <c r="H342" s="190"/>
      <c r="I342" s="190"/>
      <c r="J342" s="187"/>
      <c r="K342" s="189"/>
      <c r="L342" s="270" t="str">
        <f>IFERROR(__xludf.DUMMYFUNCTION("IF(
  AND(D342=""Saída"", J342=""Sangria""),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72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85" t="str">
        <f>IFERROR(__xludf.DUMMYFUNCTION("ifna(VALUE(REGEXEXTRACT(E342,""[0-9.]+[,]+[0-9]+"")))"),"")</f>
        <v/>
      </c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ht="14.25" customHeight="1">
      <c r="A343" s="25"/>
      <c r="B343" s="244"/>
      <c r="C343" s="245"/>
      <c r="D343" s="246"/>
      <c r="E343" s="247"/>
      <c r="F343" s="248"/>
      <c r="G343" s="249"/>
      <c r="H343" s="190"/>
      <c r="I343" s="190"/>
      <c r="J343" s="187"/>
      <c r="K343" s="187"/>
      <c r="L343" s="270" t="str">
        <f>IFERROR(__xludf.DUMMYFUNCTION("IF(
  AND(D343=""Saída"", J343=""Sangria""),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74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85" t="str">
        <f>IFERROR(__xludf.DUMMYFUNCTION("ifna(VALUE(REGEXEXTRACT(E343,""[0-9.]+[,]+[0-9]+"")))"),"")</f>
        <v/>
      </c>
      <c r="O343" s="185"/>
      <c r="P343" s="185"/>
      <c r="Q343" s="185"/>
      <c r="R343" s="185"/>
      <c r="S343" s="185"/>
      <c r="T343" s="185"/>
      <c r="U343" s="185"/>
      <c r="V343" s="185"/>
      <c r="W343" s="185"/>
    </row>
    <row r="344" ht="14.25" customHeight="1">
      <c r="A344" s="25"/>
      <c r="B344" s="244"/>
      <c r="C344" s="245"/>
      <c r="D344" s="246"/>
      <c r="E344" s="247"/>
      <c r="F344" s="248"/>
      <c r="G344" s="249"/>
      <c r="H344" s="190"/>
      <c r="I344" s="190"/>
      <c r="J344" s="187"/>
      <c r="K344" s="187"/>
      <c r="L344" s="270" t="str">
        <f>IFERROR(__xludf.DUMMYFUNCTION("IF(
  AND(D344=""Saída"", J344=""Sangria""),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72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85" t="str">
        <f>IFERROR(__xludf.DUMMYFUNCTION("ifna(VALUE(REGEXEXTRACT(E344,""[0-9.]+[,]+[0-9]+"")))"),"")</f>
        <v/>
      </c>
      <c r="O344" s="185"/>
      <c r="P344" s="185"/>
      <c r="Q344" s="185"/>
      <c r="R344" s="185"/>
      <c r="S344" s="185"/>
      <c r="T344" s="185"/>
      <c r="U344" s="185"/>
      <c r="V344" s="185"/>
      <c r="W344" s="185"/>
    </row>
    <row r="345" ht="14.25" customHeight="1">
      <c r="A345" s="25"/>
      <c r="B345" s="244"/>
      <c r="C345" s="245"/>
      <c r="D345" s="246"/>
      <c r="E345" s="247"/>
      <c r="F345" s="248"/>
      <c r="G345" s="249"/>
      <c r="H345" s="190"/>
      <c r="I345" s="190"/>
      <c r="J345" s="187"/>
      <c r="K345" s="187"/>
      <c r="L345" s="270" t="str">
        <f>IFERROR(__xludf.DUMMYFUNCTION("IF(
  AND(D345=""Saída"", J345=""Sangria""),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74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85" t="str">
        <f>IFERROR(__xludf.DUMMYFUNCTION("ifna(VALUE(REGEXEXTRACT(E345,""[0-9.]+[,]+[0-9]+"")))"),"")</f>
        <v/>
      </c>
      <c r="O345" s="185"/>
      <c r="P345" s="185"/>
      <c r="Q345" s="185"/>
      <c r="R345" s="185"/>
      <c r="S345" s="185"/>
      <c r="T345" s="185"/>
      <c r="U345" s="185"/>
      <c r="V345" s="185"/>
      <c r="W345" s="185"/>
    </row>
    <row r="346" ht="14.25" customHeight="1">
      <c r="A346" s="25"/>
      <c r="B346" s="244"/>
      <c r="C346" s="245"/>
      <c r="D346" s="246"/>
      <c r="E346" s="247"/>
      <c r="F346" s="248"/>
      <c r="G346" s="249"/>
      <c r="H346" s="190"/>
      <c r="I346" s="190"/>
      <c r="J346" s="187"/>
      <c r="K346" s="187"/>
      <c r="L346" s="270" t="str">
        <f>IFERROR(__xludf.DUMMYFUNCTION("IF(
  AND(D346=""Saída"", J346=""Sangria""),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72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85" t="str">
        <f>IFERROR(__xludf.DUMMYFUNCTION("ifna(VALUE(REGEXEXTRACT(E346,""[0-9.]+[,]+[0-9]+"")))"),"")</f>
        <v/>
      </c>
      <c r="O346" s="185"/>
      <c r="P346" s="185"/>
      <c r="Q346" s="185"/>
      <c r="R346" s="185"/>
      <c r="S346" s="185"/>
      <c r="T346" s="185"/>
      <c r="U346" s="185"/>
      <c r="V346" s="185"/>
      <c r="W346" s="185"/>
    </row>
    <row r="347" ht="14.25" customHeight="1">
      <c r="A347" s="25"/>
      <c r="B347" s="244"/>
      <c r="C347" s="245"/>
      <c r="D347" s="246"/>
      <c r="E347" s="247"/>
      <c r="F347" s="248"/>
      <c r="G347" s="249"/>
      <c r="H347" s="190"/>
      <c r="I347" s="190"/>
      <c r="J347" s="187"/>
      <c r="K347" s="189"/>
      <c r="L347" s="270" t="str">
        <f>IFERROR(__xludf.DUMMYFUNCTION("IF(
  AND(D347=""Saída"", J347=""Sangria""),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74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85" t="str">
        <f>IFERROR(__xludf.DUMMYFUNCTION("ifna(VALUE(REGEXEXTRACT(E347,""[0-9.]+[,]+[0-9]+"")))"),"")</f>
        <v/>
      </c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ht="14.25" customHeight="1">
      <c r="A348" s="25"/>
      <c r="B348" s="244"/>
      <c r="C348" s="245"/>
      <c r="D348" s="246"/>
      <c r="E348" s="247"/>
      <c r="F348" s="248"/>
      <c r="G348" s="249"/>
      <c r="H348" s="190"/>
      <c r="I348" s="190"/>
      <c r="J348" s="187"/>
      <c r="K348" s="187"/>
      <c r="L348" s="270" t="str">
        <f>IFERROR(__xludf.DUMMYFUNCTION("IF(
  AND(D348=""Saída"", J348=""Sangria""),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72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85" t="str">
        <f>IFERROR(__xludf.DUMMYFUNCTION("ifna(VALUE(REGEXEXTRACT(E348,""[0-9.]+[,]+[0-9]+"")))"),"")</f>
        <v/>
      </c>
      <c r="O348" s="185"/>
      <c r="P348" s="185"/>
      <c r="Q348" s="185"/>
      <c r="R348" s="185"/>
      <c r="S348" s="185"/>
      <c r="T348" s="185"/>
      <c r="U348" s="185"/>
      <c r="V348" s="185"/>
      <c r="W348" s="185"/>
    </row>
    <row r="349" ht="14.25" customHeight="1">
      <c r="A349" s="25"/>
      <c r="B349" s="244"/>
      <c r="C349" s="245"/>
      <c r="D349" s="246"/>
      <c r="E349" s="251"/>
      <c r="F349" s="248"/>
      <c r="G349" s="249"/>
      <c r="H349" s="190"/>
      <c r="I349" s="190"/>
      <c r="J349" s="187"/>
      <c r="K349" s="187"/>
      <c r="L349" s="270" t="str">
        <f>IFERROR(__xludf.DUMMYFUNCTION("IF(
  AND(D349=""Saída"", J349=""Sangria""),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74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85" t="str">
        <f>IFERROR(__xludf.DUMMYFUNCTION("ifna(VALUE(REGEXEXTRACT(E349,""[0-9.]+[,]+[0-9]+"")))"),"")</f>
        <v/>
      </c>
      <c r="O349" s="185"/>
      <c r="P349" s="185"/>
      <c r="Q349" s="185"/>
      <c r="R349" s="185"/>
      <c r="S349" s="185"/>
      <c r="T349" s="185"/>
      <c r="U349" s="185"/>
      <c r="V349" s="185"/>
      <c r="W349" s="185"/>
    </row>
    <row r="350" ht="14.25" customHeight="1">
      <c r="A350" s="25"/>
      <c r="B350" s="244"/>
      <c r="C350" s="245"/>
      <c r="D350" s="246"/>
      <c r="E350" s="247"/>
      <c r="F350" s="248"/>
      <c r="G350" s="249"/>
      <c r="H350" s="190"/>
      <c r="I350" s="190"/>
      <c r="J350" s="187"/>
      <c r="K350" s="189"/>
      <c r="L350" s="270" t="str">
        <f>IFERROR(__xludf.DUMMYFUNCTION("IF(
  AND(D350=""Saída"", J350=""Sangria""),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72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85" t="str">
        <f>IFERROR(__xludf.DUMMYFUNCTION("ifna(VALUE(REGEXEXTRACT(E350,""[0-9.]+[,]+[0-9]+"")))"),"")</f>
        <v/>
      </c>
      <c r="O350" s="185"/>
      <c r="P350" s="185"/>
      <c r="Q350" s="185"/>
      <c r="R350" s="185"/>
      <c r="S350" s="185"/>
      <c r="T350" s="185"/>
      <c r="U350" s="185"/>
      <c r="V350" s="185"/>
      <c r="W350" s="185"/>
    </row>
    <row r="351" ht="14.25" customHeight="1">
      <c r="A351" s="25"/>
      <c r="B351" s="244"/>
      <c r="C351" s="245"/>
      <c r="D351" s="246"/>
      <c r="E351" s="247"/>
      <c r="F351" s="252"/>
      <c r="G351" s="249"/>
      <c r="H351" s="190"/>
      <c r="I351" s="190"/>
      <c r="J351" s="187"/>
      <c r="K351" s="189"/>
      <c r="L351" s="270" t="str">
        <f>IFERROR(__xludf.DUMMYFUNCTION("IF(
  AND(D351=""Saída"", J351=""Sangria""),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74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85" t="str">
        <f>IFERROR(__xludf.DUMMYFUNCTION("ifna(VALUE(REGEXEXTRACT(E351,""[0-9.]+[,]+[0-9]+"")))"),"")</f>
        <v/>
      </c>
      <c r="O351" s="185"/>
      <c r="P351" s="185"/>
      <c r="Q351" s="185"/>
      <c r="R351" s="185"/>
      <c r="S351" s="185"/>
      <c r="T351" s="185"/>
      <c r="U351" s="185"/>
      <c r="V351" s="185"/>
      <c r="W351" s="185"/>
    </row>
    <row r="352" ht="14.25" customHeight="1">
      <c r="A352" s="25"/>
      <c r="B352" s="244"/>
      <c r="C352" s="245"/>
      <c r="D352" s="246"/>
      <c r="E352" s="247"/>
      <c r="F352" s="248"/>
      <c r="G352" s="249"/>
      <c r="H352" s="190"/>
      <c r="I352" s="190"/>
      <c r="J352" s="187"/>
      <c r="K352" s="187"/>
      <c r="L352" s="270" t="str">
        <f>IFERROR(__xludf.DUMMYFUNCTION("IF(
  AND(D352=""Saída"", J352=""Sangria""),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72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85" t="str">
        <f>IFERROR(__xludf.DUMMYFUNCTION("ifna(VALUE(REGEXEXTRACT(E352,""[0-9.]+[,]+[0-9]+"")))"),"")</f>
        <v/>
      </c>
      <c r="O352" s="185"/>
      <c r="P352" s="185"/>
      <c r="Q352" s="185"/>
      <c r="R352" s="185"/>
      <c r="S352" s="185"/>
      <c r="T352" s="185"/>
      <c r="U352" s="185"/>
      <c r="V352" s="185"/>
      <c r="W352" s="185"/>
    </row>
    <row r="353" ht="14.25" customHeight="1">
      <c r="A353" s="25"/>
      <c r="B353" s="244"/>
      <c r="C353" s="245"/>
      <c r="D353" s="246"/>
      <c r="E353" s="247"/>
      <c r="F353" s="252"/>
      <c r="G353" s="249"/>
      <c r="H353" s="190"/>
      <c r="I353" s="190"/>
      <c r="J353" s="187"/>
      <c r="K353" s="187"/>
      <c r="L353" s="270" t="str">
        <f>IFERROR(__xludf.DUMMYFUNCTION("IF(
  AND(D353=""Saída"", J353=""Sangria""),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74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85" t="str">
        <f>IFERROR(__xludf.DUMMYFUNCTION("ifna(VALUE(REGEXEXTRACT(E353,""[0-9.]+[,]+[0-9]+"")))"),"")</f>
        <v/>
      </c>
      <c r="O353" s="185"/>
      <c r="P353" s="185"/>
      <c r="Q353" s="185"/>
      <c r="R353" s="185"/>
      <c r="S353" s="185"/>
      <c r="T353" s="185"/>
      <c r="U353" s="185"/>
      <c r="V353" s="185"/>
      <c r="W353" s="185"/>
    </row>
    <row r="354" ht="14.25" customHeight="1">
      <c r="A354" s="25"/>
      <c r="B354" s="244"/>
      <c r="C354" s="245"/>
      <c r="D354" s="246"/>
      <c r="E354" s="247"/>
      <c r="F354" s="248"/>
      <c r="G354" s="249"/>
      <c r="H354" s="190"/>
      <c r="I354" s="190"/>
      <c r="J354" s="187"/>
      <c r="K354" s="187"/>
      <c r="L354" s="270" t="str">
        <f>IFERROR(__xludf.DUMMYFUNCTION("IF(
  AND(D354=""Saída"", J354=""Sangria""),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72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85" t="str">
        <f>IFERROR(__xludf.DUMMYFUNCTION("ifna(VALUE(REGEXEXTRACT(E354,""[0-9.]+[,]+[0-9]+"")))"),"")</f>
        <v/>
      </c>
      <c r="O354" s="185"/>
      <c r="P354" s="185"/>
      <c r="Q354" s="185"/>
      <c r="R354" s="185"/>
      <c r="S354" s="185"/>
      <c r="T354" s="185"/>
      <c r="U354" s="185"/>
      <c r="V354" s="185"/>
      <c r="W354" s="185"/>
    </row>
    <row r="355" ht="14.25" customHeight="1">
      <c r="A355" s="25"/>
      <c r="B355" s="244"/>
      <c r="C355" s="245"/>
      <c r="D355" s="246"/>
      <c r="E355" s="247"/>
      <c r="F355" s="248"/>
      <c r="G355" s="249"/>
      <c r="H355" s="190"/>
      <c r="I355" s="190"/>
      <c r="J355" s="187"/>
      <c r="K355" s="187"/>
      <c r="L355" s="270" t="str">
        <f>IFERROR(__xludf.DUMMYFUNCTION("IF(
  AND(D355=""Saída"", J355=""Sangria""),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74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85" t="str">
        <f>IFERROR(__xludf.DUMMYFUNCTION("ifna(VALUE(REGEXEXTRACT(E355,""[0-9.]+[,]+[0-9]+"")))"),"")</f>
        <v/>
      </c>
      <c r="O355" s="185"/>
      <c r="P355" s="185"/>
      <c r="Q355" s="185"/>
      <c r="R355" s="185"/>
      <c r="S355" s="185"/>
      <c r="T355" s="185"/>
      <c r="U355" s="185"/>
      <c r="V355" s="185"/>
      <c r="W355" s="185"/>
    </row>
    <row r="356" ht="14.25" customHeight="1">
      <c r="A356" s="25"/>
      <c r="B356" s="244"/>
      <c r="C356" s="245"/>
      <c r="D356" s="246"/>
      <c r="E356" s="247"/>
      <c r="F356" s="248"/>
      <c r="G356" s="249"/>
      <c r="H356" s="190"/>
      <c r="I356" s="190"/>
      <c r="J356" s="187"/>
      <c r="K356" s="187"/>
      <c r="L356" s="270" t="str">
        <f>IFERROR(__xludf.DUMMYFUNCTION("IF(
  AND(D356=""Saída"", J356=""Sangria""),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72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85" t="str">
        <f>IFERROR(__xludf.DUMMYFUNCTION("ifna(VALUE(REGEXEXTRACT(E356,""[0-9.]+[,]+[0-9]+"")))"),"")</f>
        <v/>
      </c>
      <c r="O356" s="185"/>
      <c r="P356" s="185"/>
      <c r="Q356" s="185"/>
      <c r="R356" s="185"/>
      <c r="S356" s="185"/>
      <c r="T356" s="185"/>
      <c r="U356" s="185"/>
      <c r="V356" s="185"/>
      <c r="W356" s="185"/>
    </row>
    <row r="357" ht="14.25" customHeight="1">
      <c r="A357" s="25"/>
      <c r="B357" s="244"/>
      <c r="C357" s="245"/>
      <c r="D357" s="246"/>
      <c r="E357" s="251"/>
      <c r="F357" s="248"/>
      <c r="G357" s="249"/>
      <c r="H357" s="190"/>
      <c r="I357" s="190"/>
      <c r="J357" s="187"/>
      <c r="K357" s="187"/>
      <c r="L357" s="270" t="str">
        <f>IFERROR(__xludf.DUMMYFUNCTION("IF(
  AND(D357=""Saída"", J357=""Sangria""),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74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85" t="str">
        <f>IFERROR(__xludf.DUMMYFUNCTION("ifna(VALUE(REGEXEXTRACT(E357,""[0-9.]+[,]+[0-9]+"")))"),"")</f>
        <v/>
      </c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ht="14.25" customHeight="1">
      <c r="A358" s="25"/>
      <c r="B358" s="244"/>
      <c r="C358" s="245"/>
      <c r="D358" s="246"/>
      <c r="E358" s="247"/>
      <c r="F358" s="248"/>
      <c r="G358" s="249"/>
      <c r="H358" s="190"/>
      <c r="I358" s="190"/>
      <c r="J358" s="187"/>
      <c r="K358" s="189"/>
      <c r="L358" s="270" t="str">
        <f>IFERROR(__xludf.DUMMYFUNCTION("IF(
  AND(D358=""Saída"", J358=""Sangria""),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72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85" t="str">
        <f>IFERROR(__xludf.DUMMYFUNCTION("ifna(VALUE(REGEXEXTRACT(E358,""[0-9.]+[,]+[0-9]+"")))"),"")</f>
        <v/>
      </c>
      <c r="O358" s="185"/>
      <c r="P358" s="185"/>
      <c r="Q358" s="185"/>
      <c r="R358" s="185"/>
      <c r="S358" s="185"/>
      <c r="T358" s="185"/>
      <c r="U358" s="185"/>
      <c r="V358" s="185"/>
      <c r="W358" s="185"/>
    </row>
    <row r="359" ht="14.25" customHeight="1">
      <c r="A359" s="25"/>
      <c r="B359" s="244"/>
      <c r="C359" s="245"/>
      <c r="D359" s="246"/>
      <c r="E359" s="247"/>
      <c r="F359" s="248"/>
      <c r="G359" s="249"/>
      <c r="H359" s="190"/>
      <c r="I359" s="190"/>
      <c r="J359" s="187"/>
      <c r="K359" s="189"/>
      <c r="L359" s="270" t="str">
        <f>IFERROR(__xludf.DUMMYFUNCTION("IF(
  AND(D359=""Saída"", J359=""Sangria""),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74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85" t="str">
        <f>IFERROR(__xludf.DUMMYFUNCTION("ifna(VALUE(REGEXEXTRACT(E359,""[0-9.]+[,]+[0-9]+"")))"),"")</f>
        <v/>
      </c>
      <c r="O359" s="185"/>
      <c r="P359" s="185"/>
      <c r="Q359" s="185"/>
      <c r="R359" s="185"/>
      <c r="S359" s="185"/>
      <c r="T359" s="185"/>
      <c r="U359" s="185"/>
      <c r="V359" s="185"/>
      <c r="W359" s="185"/>
    </row>
    <row r="360" ht="14.25" customHeight="1">
      <c r="A360" s="25"/>
      <c r="B360" s="244"/>
      <c r="C360" s="245"/>
      <c r="D360" s="246"/>
      <c r="E360" s="247"/>
      <c r="F360" s="248"/>
      <c r="G360" s="249"/>
      <c r="H360" s="190"/>
      <c r="I360" s="190"/>
      <c r="J360" s="187"/>
      <c r="K360" s="187"/>
      <c r="L360" s="270" t="str">
        <f>IFERROR(__xludf.DUMMYFUNCTION("IF(
  AND(D360=""Saída"", J360=""Sangria""),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72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85" t="str">
        <f>IFERROR(__xludf.DUMMYFUNCTION("ifna(VALUE(REGEXEXTRACT(E360,""[0-9.]+[,]+[0-9]+"")))"),"")</f>
        <v/>
      </c>
      <c r="O360" s="185"/>
      <c r="P360" s="185"/>
      <c r="Q360" s="185"/>
      <c r="R360" s="185"/>
      <c r="S360" s="185"/>
      <c r="T360" s="185"/>
      <c r="U360" s="185"/>
      <c r="V360" s="185"/>
      <c r="W360" s="185"/>
    </row>
    <row r="361" ht="14.25" customHeight="1">
      <c r="A361" s="25"/>
      <c r="B361" s="244"/>
      <c r="C361" s="245"/>
      <c r="D361" s="246"/>
      <c r="E361" s="247"/>
      <c r="F361" s="248"/>
      <c r="G361" s="249"/>
      <c r="H361" s="190"/>
      <c r="I361" s="190"/>
      <c r="J361" s="187"/>
      <c r="K361" s="187"/>
      <c r="L361" s="270" t="str">
        <f>IFERROR(__xludf.DUMMYFUNCTION("IF(
  AND(D361=""Saída"", J361=""Sangria""),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74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85" t="str">
        <f>IFERROR(__xludf.DUMMYFUNCTION("ifna(VALUE(REGEXEXTRACT(E361,""[0-9.]+[,]+[0-9]+"")))"),"")</f>
        <v/>
      </c>
      <c r="O361" s="185"/>
      <c r="P361" s="185"/>
      <c r="Q361" s="185"/>
      <c r="R361" s="185"/>
      <c r="S361" s="185"/>
      <c r="T361" s="185"/>
      <c r="U361" s="185"/>
      <c r="V361" s="185"/>
      <c r="W361" s="185"/>
    </row>
    <row r="362" ht="14.25" customHeight="1">
      <c r="A362" s="25"/>
      <c r="B362" s="244"/>
      <c r="C362" s="245"/>
      <c r="D362" s="246"/>
      <c r="E362" s="247"/>
      <c r="F362" s="248"/>
      <c r="G362" s="249"/>
      <c r="H362" s="190"/>
      <c r="I362" s="190"/>
      <c r="J362" s="187"/>
      <c r="K362" s="187"/>
      <c r="L362" s="270" t="str">
        <f>IFERROR(__xludf.DUMMYFUNCTION("IF(
  AND(D362=""Saída"", J362=""Sangria""),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72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85" t="str">
        <f>IFERROR(__xludf.DUMMYFUNCTION("ifna(VALUE(REGEXEXTRACT(E362,""[0-9.]+[,]+[0-9]+"")))"),"")</f>
        <v/>
      </c>
      <c r="O362" s="185"/>
      <c r="P362" s="185"/>
      <c r="Q362" s="185"/>
      <c r="R362" s="185"/>
      <c r="S362" s="185"/>
      <c r="T362" s="185"/>
      <c r="U362" s="185"/>
      <c r="V362" s="185"/>
      <c r="W362" s="185"/>
    </row>
    <row r="363" ht="14.25" customHeight="1">
      <c r="A363" s="25"/>
      <c r="B363" s="244"/>
      <c r="C363" s="245"/>
      <c r="D363" s="246"/>
      <c r="E363" s="247"/>
      <c r="F363" s="252"/>
      <c r="G363" s="249"/>
      <c r="H363" s="190"/>
      <c r="I363" s="190"/>
      <c r="J363" s="187"/>
      <c r="K363" s="187"/>
      <c r="L363" s="270" t="str">
        <f>IFERROR(__xludf.DUMMYFUNCTION("IF(
  AND(D363=""Saída"", J363=""Sangria""),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74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85" t="str">
        <f>IFERROR(__xludf.DUMMYFUNCTION("ifna(VALUE(REGEXEXTRACT(E363,""[0-9.]+[,]+[0-9]+"")))"),"")</f>
        <v/>
      </c>
      <c r="O363" s="185"/>
      <c r="P363" s="185"/>
      <c r="Q363" s="185"/>
      <c r="R363" s="185"/>
      <c r="S363" s="185"/>
      <c r="T363" s="185"/>
      <c r="U363" s="185"/>
      <c r="V363" s="185"/>
      <c r="W363" s="185"/>
    </row>
    <row r="364" ht="14.25" customHeight="1">
      <c r="A364" s="25"/>
      <c r="B364" s="244"/>
      <c r="C364" s="245"/>
      <c r="D364" s="246"/>
      <c r="E364" s="247"/>
      <c r="F364" s="248"/>
      <c r="G364" s="249"/>
      <c r="H364" s="190"/>
      <c r="I364" s="190"/>
      <c r="J364" s="187"/>
      <c r="K364" s="187"/>
      <c r="L364" s="270" t="str">
        <f>IFERROR(__xludf.DUMMYFUNCTION("IF(
  AND(D364=""Saída"", J364=""Sangria""),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72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85" t="str">
        <f>IFERROR(__xludf.DUMMYFUNCTION("ifna(VALUE(REGEXEXTRACT(E364,""[0-9.]+[,]+[0-9]+"")))"),"")</f>
        <v/>
      </c>
      <c r="O364" s="185"/>
      <c r="P364" s="185"/>
      <c r="Q364" s="185"/>
      <c r="R364" s="185"/>
      <c r="S364" s="185"/>
      <c r="T364" s="185"/>
      <c r="U364" s="185"/>
      <c r="V364" s="185"/>
      <c r="W364" s="185"/>
    </row>
    <row r="365" ht="14.25" customHeight="1">
      <c r="A365" s="25"/>
      <c r="B365" s="244"/>
      <c r="C365" s="245"/>
      <c r="D365" s="246"/>
      <c r="E365" s="247"/>
      <c r="F365" s="248"/>
      <c r="G365" s="249"/>
      <c r="H365" s="190"/>
      <c r="I365" s="190"/>
      <c r="J365" s="187"/>
      <c r="K365" s="187"/>
      <c r="L365" s="270" t="str">
        <f>IFERROR(__xludf.DUMMYFUNCTION("IF(
  AND(D365=""Saída"", J365=""Sangria""),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74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85" t="str">
        <f>IFERROR(__xludf.DUMMYFUNCTION("ifna(VALUE(REGEXEXTRACT(E365,""[0-9.]+[,]+[0-9]+"")))"),"")</f>
        <v/>
      </c>
      <c r="O365" s="185"/>
      <c r="P365" s="185"/>
      <c r="Q365" s="185"/>
      <c r="R365" s="185"/>
      <c r="S365" s="185"/>
      <c r="T365" s="185"/>
      <c r="U365" s="185"/>
      <c r="V365" s="185"/>
      <c r="W365" s="185"/>
    </row>
    <row r="366" ht="14.25" customHeight="1">
      <c r="A366" s="25"/>
      <c r="B366" s="244"/>
      <c r="C366" s="245"/>
      <c r="D366" s="246"/>
      <c r="E366" s="247"/>
      <c r="F366" s="248"/>
      <c r="G366" s="249"/>
      <c r="H366" s="190"/>
      <c r="I366" s="190"/>
      <c r="J366" s="187"/>
      <c r="K366" s="187"/>
      <c r="L366" s="270" t="str">
        <f>IFERROR(__xludf.DUMMYFUNCTION("IF(
  AND(D366=""Saída"", J366=""Sangria""),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72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85" t="str">
        <f>IFERROR(__xludf.DUMMYFUNCTION("ifna(VALUE(REGEXEXTRACT(E366,""[0-9.]+[,]+[0-9]+"")))"),"")</f>
        <v/>
      </c>
      <c r="O366" s="185"/>
      <c r="P366" s="185"/>
      <c r="Q366" s="185"/>
      <c r="R366" s="185"/>
      <c r="S366" s="185"/>
      <c r="T366" s="185"/>
      <c r="U366" s="185"/>
      <c r="V366" s="185"/>
      <c r="W366" s="185"/>
    </row>
    <row r="367" ht="14.25" customHeight="1">
      <c r="A367" s="25"/>
      <c r="B367" s="244"/>
      <c r="C367" s="245"/>
      <c r="D367" s="246"/>
      <c r="E367" s="247"/>
      <c r="F367" s="248"/>
      <c r="G367" s="249"/>
      <c r="H367" s="190"/>
      <c r="I367" s="190"/>
      <c r="J367" s="187"/>
      <c r="K367" s="189"/>
      <c r="L367" s="270" t="str">
        <f>IFERROR(__xludf.DUMMYFUNCTION("IF(
  AND(D367=""Saída"", J367=""Sangria""),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74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85" t="str">
        <f>IFERROR(__xludf.DUMMYFUNCTION("ifna(VALUE(REGEXEXTRACT(E367,""[0-9.]+[,]+[0-9]+"")))"),"")</f>
        <v/>
      </c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ht="14.25" customHeight="1">
      <c r="A368" s="25"/>
      <c r="B368" s="244"/>
      <c r="C368" s="245"/>
      <c r="D368" s="246"/>
      <c r="E368" s="247"/>
      <c r="F368" s="248"/>
      <c r="G368" s="249"/>
      <c r="H368" s="190"/>
      <c r="I368" s="190"/>
      <c r="J368" s="187"/>
      <c r="K368" s="189"/>
      <c r="L368" s="270" t="str">
        <f>IFERROR(__xludf.DUMMYFUNCTION("IF(
  AND(D368=""Saída"", J368=""Sangria""),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72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85" t="str">
        <f>IFERROR(__xludf.DUMMYFUNCTION("ifna(VALUE(REGEXEXTRACT(E368,""[0-9.]+[,]+[0-9]+"")))"),"")</f>
        <v/>
      </c>
      <c r="O368" s="185"/>
      <c r="P368" s="185"/>
      <c r="Q368" s="185"/>
      <c r="R368" s="185"/>
      <c r="S368" s="185"/>
      <c r="T368" s="185"/>
      <c r="U368" s="185"/>
      <c r="V368" s="185"/>
      <c r="W368" s="185"/>
    </row>
    <row r="369" ht="14.25" customHeight="1">
      <c r="A369" s="25"/>
      <c r="B369" s="244"/>
      <c r="C369" s="245"/>
      <c r="D369" s="246"/>
      <c r="E369" s="247"/>
      <c r="F369" s="252"/>
      <c r="G369" s="249"/>
      <c r="H369" s="190"/>
      <c r="I369" s="190"/>
      <c r="J369" s="187"/>
      <c r="K369" s="187"/>
      <c r="L369" s="270" t="str">
        <f>IFERROR(__xludf.DUMMYFUNCTION("IF(
  AND(D369=""Saída"", J369=""Sangria""),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74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85" t="str">
        <f>IFERROR(__xludf.DUMMYFUNCTION("ifna(VALUE(REGEXEXTRACT(E369,""[0-9.]+[,]+[0-9]+"")))"),"")</f>
        <v/>
      </c>
      <c r="O369" s="185"/>
      <c r="P369" s="185"/>
      <c r="Q369" s="185"/>
      <c r="R369" s="185"/>
      <c r="S369" s="185"/>
      <c r="T369" s="185"/>
      <c r="U369" s="185"/>
      <c r="V369" s="185"/>
      <c r="W369" s="185"/>
    </row>
    <row r="370" ht="14.25" customHeight="1">
      <c r="A370" s="25"/>
      <c r="B370" s="244"/>
      <c r="C370" s="245"/>
      <c r="D370" s="246"/>
      <c r="E370" s="247"/>
      <c r="F370" s="248"/>
      <c r="G370" s="249"/>
      <c r="H370" s="190"/>
      <c r="I370" s="190"/>
      <c r="J370" s="187"/>
      <c r="K370" s="187"/>
      <c r="L370" s="270" t="str">
        <f>IFERROR(__xludf.DUMMYFUNCTION("IF(
  AND(D370=""Saída"", J370=""Sangria""),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72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85" t="str">
        <f>IFERROR(__xludf.DUMMYFUNCTION("ifna(VALUE(REGEXEXTRACT(E370,""[0-9.]+[,]+[0-9]+"")))"),"")</f>
        <v/>
      </c>
      <c r="O370" s="185"/>
      <c r="P370" s="185"/>
      <c r="Q370" s="185"/>
      <c r="R370" s="185"/>
      <c r="S370" s="185"/>
      <c r="T370" s="185"/>
      <c r="U370" s="185"/>
      <c r="V370" s="185"/>
      <c r="W370" s="185"/>
    </row>
    <row r="371" ht="14.25" customHeight="1">
      <c r="A371" s="25"/>
      <c r="B371" s="244"/>
      <c r="C371" s="245"/>
      <c r="D371" s="246"/>
      <c r="E371" s="247"/>
      <c r="F371" s="248"/>
      <c r="G371" s="249"/>
      <c r="H371" s="190"/>
      <c r="I371" s="190"/>
      <c r="J371" s="187"/>
      <c r="K371" s="187"/>
      <c r="L371" s="270" t="str">
        <f>IFERROR(__xludf.DUMMYFUNCTION("IF(
  AND(D371=""Saída"", J371=""Sangria""),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74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85" t="str">
        <f>IFERROR(__xludf.DUMMYFUNCTION("ifna(VALUE(REGEXEXTRACT(E371,""[0-9.]+[,]+[0-9]+"")))"),"")</f>
        <v/>
      </c>
      <c r="O371" s="185"/>
      <c r="P371" s="185"/>
      <c r="Q371" s="185"/>
      <c r="R371" s="185"/>
      <c r="S371" s="185"/>
      <c r="T371" s="185"/>
      <c r="U371" s="185"/>
      <c r="V371" s="185"/>
      <c r="W371" s="185"/>
    </row>
    <row r="372" ht="14.25" customHeight="1">
      <c r="A372" s="25"/>
      <c r="B372" s="244"/>
      <c r="C372" s="245"/>
      <c r="D372" s="246"/>
      <c r="E372" s="247"/>
      <c r="F372" s="252"/>
      <c r="G372" s="249"/>
      <c r="H372" s="190"/>
      <c r="I372" s="190"/>
      <c r="J372" s="187"/>
      <c r="K372" s="187"/>
      <c r="L372" s="270" t="str">
        <f>IFERROR(__xludf.DUMMYFUNCTION("IF(
  AND(D372=""Saída"", J372=""Sangria""),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72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85" t="str">
        <f>IFERROR(__xludf.DUMMYFUNCTION("ifna(VALUE(REGEXEXTRACT(E372,""[0-9.]+[,]+[0-9]+"")))"),"")</f>
        <v/>
      </c>
      <c r="O372" s="185"/>
      <c r="P372" s="185"/>
      <c r="Q372" s="185"/>
      <c r="R372" s="185"/>
      <c r="S372" s="185"/>
      <c r="T372" s="185"/>
      <c r="U372" s="185"/>
      <c r="V372" s="185"/>
      <c r="W372" s="185"/>
    </row>
    <row r="373" ht="14.25" customHeight="1">
      <c r="A373" s="25"/>
      <c r="B373" s="244"/>
      <c r="C373" s="245"/>
      <c r="D373" s="246"/>
      <c r="E373" s="247"/>
      <c r="F373" s="248"/>
      <c r="G373" s="249"/>
      <c r="H373" s="190"/>
      <c r="I373" s="190"/>
      <c r="J373" s="187"/>
      <c r="K373" s="187"/>
      <c r="L373" s="270" t="str">
        <f>IFERROR(__xludf.DUMMYFUNCTION("IF(
  AND(D373=""Saída"", J373=""Sangria""),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74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85" t="str">
        <f>IFERROR(__xludf.DUMMYFUNCTION("ifna(VALUE(REGEXEXTRACT(E373,""[0-9.]+[,]+[0-9]+"")))"),"")</f>
        <v/>
      </c>
      <c r="O373" s="185"/>
      <c r="P373" s="185"/>
      <c r="Q373" s="185"/>
      <c r="R373" s="185"/>
      <c r="S373" s="185"/>
      <c r="T373" s="185"/>
      <c r="U373" s="185"/>
      <c r="V373" s="185"/>
      <c r="W373" s="185"/>
    </row>
    <row r="374" ht="14.25" customHeight="1">
      <c r="A374" s="25"/>
      <c r="B374" s="244"/>
      <c r="C374" s="202"/>
      <c r="D374" s="246"/>
      <c r="E374" s="247"/>
      <c r="F374" s="248"/>
      <c r="G374" s="249"/>
      <c r="H374" s="190"/>
      <c r="I374" s="190"/>
      <c r="J374" s="187"/>
      <c r="K374" s="189"/>
      <c r="L374" s="270" t="str">
        <f>IFERROR(__xludf.DUMMYFUNCTION("IF(
  AND(D374=""Saída"", J374=""Sangria""),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72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85" t="str">
        <f>IFERROR(__xludf.DUMMYFUNCTION("ifna(VALUE(REGEXEXTRACT(E374,""[0-9.]+[,]+[0-9]+"")))"),"")</f>
        <v/>
      </c>
      <c r="O374" s="185"/>
      <c r="P374" s="185"/>
      <c r="Q374" s="185"/>
      <c r="R374" s="185"/>
      <c r="S374" s="185"/>
      <c r="T374" s="185"/>
      <c r="U374" s="185"/>
      <c r="V374" s="185"/>
      <c r="W374" s="185"/>
    </row>
    <row r="375" ht="14.25" customHeight="1">
      <c r="A375" s="25"/>
      <c r="B375" s="244"/>
      <c r="C375" s="202"/>
      <c r="D375" s="246"/>
      <c r="E375" s="247"/>
      <c r="F375" s="248"/>
      <c r="G375" s="253"/>
      <c r="H375" s="190"/>
      <c r="I375" s="190"/>
      <c r="J375" s="187"/>
      <c r="K375" s="187"/>
      <c r="L375" s="270" t="str">
        <f>IFERROR(__xludf.DUMMYFUNCTION("IF(
  AND(D375=""Saída"", J375=""Sangria""),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74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85" t="str">
        <f>IFERROR(__xludf.DUMMYFUNCTION("ifna(VALUE(REGEXEXTRACT(E375,""[0-9.]+[,]+[0-9]+"")))"),"")</f>
        <v/>
      </c>
      <c r="O375" s="185"/>
      <c r="P375" s="185"/>
      <c r="Q375" s="185"/>
      <c r="R375" s="185"/>
      <c r="S375" s="185"/>
      <c r="T375" s="185"/>
      <c r="U375" s="185"/>
      <c r="V375" s="185"/>
      <c r="W375" s="185"/>
    </row>
    <row r="376" ht="14.25" customHeight="1">
      <c r="A376" s="25"/>
      <c r="B376" s="244"/>
      <c r="C376" s="245"/>
      <c r="D376" s="246"/>
      <c r="E376" s="247"/>
      <c r="F376" s="248"/>
      <c r="G376" s="249"/>
      <c r="H376" s="190"/>
      <c r="I376" s="190"/>
      <c r="J376" s="187"/>
      <c r="K376" s="187"/>
      <c r="L376" s="270" t="str">
        <f>IFERROR(__xludf.DUMMYFUNCTION("IF(
  AND(D376=""Saída"", J376=""Sangria""),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72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85" t="str">
        <f>IFERROR(__xludf.DUMMYFUNCTION("ifna(VALUE(REGEXEXTRACT(E376,""[0-9.]+[,]+[0-9]+"")))"),"")</f>
        <v/>
      </c>
      <c r="O376" s="185"/>
      <c r="P376" s="185"/>
      <c r="Q376" s="185"/>
      <c r="R376" s="185"/>
      <c r="S376" s="185"/>
      <c r="T376" s="185"/>
      <c r="U376" s="185"/>
      <c r="V376" s="185"/>
      <c r="W376" s="185"/>
    </row>
    <row r="377" ht="14.25" customHeight="1">
      <c r="A377" s="25"/>
      <c r="B377" s="244"/>
      <c r="C377" s="245"/>
      <c r="D377" s="246"/>
      <c r="E377" s="247"/>
      <c r="F377" s="248"/>
      <c r="G377" s="249"/>
      <c r="H377" s="190"/>
      <c r="I377" s="190"/>
      <c r="J377" s="202"/>
      <c r="K377" s="187"/>
      <c r="L377" s="270" t="str">
        <f>IFERROR(__xludf.DUMMYFUNCTION("IF(
  AND(D377=""Saída"", J377=""Sangria""),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74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85" t="str">
        <f>IFERROR(__xludf.DUMMYFUNCTION("ifna(VALUE(REGEXEXTRACT(E377,""[0-9.]+[,]+[0-9]+"")))"),"")</f>
        <v/>
      </c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ht="14.25" customHeight="1">
      <c r="A378" s="25"/>
      <c r="B378" s="244"/>
      <c r="C378" s="245"/>
      <c r="D378" s="246"/>
      <c r="E378" s="247"/>
      <c r="F378" s="248"/>
      <c r="G378" s="249"/>
      <c r="H378" s="190"/>
      <c r="I378" s="190"/>
      <c r="J378" s="187"/>
      <c r="K378" s="189"/>
      <c r="L378" s="270" t="str">
        <f>IFERROR(__xludf.DUMMYFUNCTION("IF(
  AND(D378=""Saída"", J378=""Sangria""),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72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85" t="str">
        <f>IFERROR(__xludf.DUMMYFUNCTION("ifna(VALUE(REGEXEXTRACT(E378,""[0-9.]+[,]+[0-9]+"")))"),"")</f>
        <v/>
      </c>
      <c r="O378" s="185"/>
      <c r="P378" s="185"/>
      <c r="Q378" s="185"/>
      <c r="R378" s="185"/>
      <c r="S378" s="185"/>
      <c r="T378" s="185"/>
      <c r="U378" s="185"/>
      <c r="V378" s="185"/>
      <c r="W378" s="185"/>
    </row>
    <row r="379" ht="14.25" customHeight="1">
      <c r="A379" s="25"/>
      <c r="B379" s="244"/>
      <c r="C379" s="245"/>
      <c r="D379" s="246"/>
      <c r="E379" s="247"/>
      <c r="F379" s="248"/>
      <c r="G379" s="249"/>
      <c r="H379" s="190"/>
      <c r="I379" s="190"/>
      <c r="J379" s="187"/>
      <c r="K379" s="189"/>
      <c r="L379" s="270" t="str">
        <f>IFERROR(__xludf.DUMMYFUNCTION("IF(
  AND(D379=""Saída"", J379=""Sangria""),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74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85" t="str">
        <f>IFERROR(__xludf.DUMMYFUNCTION("ifna(VALUE(REGEXEXTRACT(E379,""[0-9.]+[,]+[0-9]+"")))"),"")</f>
        <v/>
      </c>
      <c r="O379" s="185"/>
      <c r="P379" s="185"/>
      <c r="Q379" s="185"/>
      <c r="R379" s="185"/>
      <c r="S379" s="185"/>
      <c r="T379" s="185"/>
      <c r="U379" s="185"/>
      <c r="V379" s="185"/>
      <c r="W379" s="185"/>
    </row>
    <row r="380" ht="14.25" customHeight="1">
      <c r="A380" s="25"/>
      <c r="B380" s="254"/>
      <c r="C380" s="202"/>
      <c r="D380" s="246"/>
      <c r="E380" s="247"/>
      <c r="F380" s="248"/>
      <c r="G380" s="249"/>
      <c r="H380" s="190"/>
      <c r="I380" s="190"/>
      <c r="J380" s="187"/>
      <c r="K380" s="187"/>
      <c r="L380" s="270" t="str">
        <f>IFERROR(__xludf.DUMMYFUNCTION("IF(
  AND(D380=""Saída"", J380=""Sangria""),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72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85" t="str">
        <f>IFERROR(__xludf.DUMMYFUNCTION("ifna(VALUE(REGEXEXTRACT(E380,""[0-9.]+[,]+[0-9]+"")))"),"")</f>
        <v/>
      </c>
      <c r="O380" s="185"/>
      <c r="P380" s="185"/>
      <c r="Q380" s="185"/>
      <c r="R380" s="185"/>
      <c r="S380" s="185"/>
      <c r="T380" s="185"/>
      <c r="U380" s="185"/>
      <c r="V380" s="185"/>
      <c r="W380" s="185"/>
    </row>
    <row r="381" ht="14.25" customHeight="1">
      <c r="A381" s="25"/>
      <c r="B381" s="244"/>
      <c r="C381" s="202"/>
      <c r="D381" s="246"/>
      <c r="E381" s="247"/>
      <c r="F381" s="248"/>
      <c r="G381" s="249"/>
      <c r="H381" s="190"/>
      <c r="I381" s="190"/>
      <c r="J381" s="187"/>
      <c r="K381" s="189"/>
      <c r="L381" s="270" t="str">
        <f>IFERROR(__xludf.DUMMYFUNCTION("IF(
  AND(D381=""Saída"", J381=""Sangria""),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74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85" t="str">
        <f>IFERROR(__xludf.DUMMYFUNCTION("ifna(VALUE(REGEXEXTRACT(E381,""[0-9.]+[,]+[0-9]+"")))"),"")</f>
        <v/>
      </c>
      <c r="O381" s="185"/>
      <c r="P381" s="185"/>
      <c r="Q381" s="185"/>
      <c r="R381" s="185"/>
      <c r="S381" s="185"/>
      <c r="T381" s="185"/>
      <c r="U381" s="185"/>
      <c r="V381" s="185"/>
      <c r="W381" s="185"/>
    </row>
    <row r="382" ht="14.25" customHeight="1">
      <c r="A382" s="25"/>
      <c r="B382" s="244"/>
      <c r="C382" s="245"/>
      <c r="D382" s="246"/>
      <c r="E382" s="247"/>
      <c r="F382" s="252"/>
      <c r="G382" s="249"/>
      <c r="H382" s="190"/>
      <c r="I382" s="190"/>
      <c r="J382" s="187"/>
      <c r="K382" s="189"/>
      <c r="L382" s="270" t="str">
        <f>IFERROR(__xludf.DUMMYFUNCTION("IF(
  AND(D382=""Saída"", J382=""Sangria""),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72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85" t="str">
        <f>IFERROR(__xludf.DUMMYFUNCTION("ifna(VALUE(REGEXEXTRACT(E382,""[0-9.]+[,]+[0-9]+"")))"),"")</f>
        <v/>
      </c>
      <c r="O382" s="185"/>
      <c r="P382" s="185"/>
      <c r="Q382" s="185"/>
      <c r="R382" s="185"/>
      <c r="S382" s="185"/>
      <c r="T382" s="185"/>
      <c r="U382" s="185"/>
      <c r="V382" s="185"/>
      <c r="W382" s="185"/>
    </row>
    <row r="383" ht="14.25" customHeight="1">
      <c r="A383" s="25"/>
      <c r="B383" s="244"/>
      <c r="C383" s="202"/>
      <c r="D383" s="246"/>
      <c r="E383" s="247"/>
      <c r="F383" s="248"/>
      <c r="G383" s="249"/>
      <c r="H383" s="190"/>
      <c r="I383" s="190"/>
      <c r="J383" s="187"/>
      <c r="K383" s="187"/>
      <c r="L383" s="270" t="str">
        <f>IFERROR(__xludf.DUMMYFUNCTION("IF(
  AND(D383=""Saída"", J383=""Sangria""),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74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85" t="str">
        <f>IFERROR(__xludf.DUMMYFUNCTION("ifna(VALUE(REGEXEXTRACT(E383,""[0-9.]+[,]+[0-9]+"")))"),"")</f>
        <v/>
      </c>
      <c r="O383" s="185"/>
      <c r="P383" s="185"/>
      <c r="Q383" s="185"/>
      <c r="R383" s="185"/>
      <c r="S383" s="185"/>
      <c r="T383" s="185"/>
      <c r="U383" s="185"/>
      <c r="V383" s="185"/>
      <c r="W383" s="185"/>
    </row>
    <row r="384" ht="14.25" customHeight="1">
      <c r="A384" s="25"/>
      <c r="B384" s="244"/>
      <c r="C384" s="245"/>
      <c r="D384" s="246"/>
      <c r="E384" s="247"/>
      <c r="F384" s="252"/>
      <c r="G384" s="249"/>
      <c r="H384" s="190"/>
      <c r="I384" s="190"/>
      <c r="J384" s="187"/>
      <c r="K384" s="187"/>
      <c r="L384" s="270" t="str">
        <f>IFERROR(__xludf.DUMMYFUNCTION("IF(
  AND(D384=""Saída"", J384=""Sangria""),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72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85" t="str">
        <f>IFERROR(__xludf.DUMMYFUNCTION("ifna(VALUE(REGEXEXTRACT(E384,""[0-9.]+[,]+[0-9]+"")))"),"")</f>
        <v/>
      </c>
      <c r="O384" s="185"/>
      <c r="P384" s="185"/>
      <c r="Q384" s="185"/>
      <c r="R384" s="185"/>
      <c r="S384" s="185"/>
      <c r="T384" s="185"/>
      <c r="U384" s="185"/>
      <c r="V384" s="185"/>
      <c r="W384" s="185"/>
    </row>
    <row r="385" ht="14.25" customHeight="1">
      <c r="A385" s="25"/>
      <c r="B385" s="244"/>
      <c r="C385" s="245"/>
      <c r="D385" s="246"/>
      <c r="E385" s="247"/>
      <c r="F385" s="252"/>
      <c r="G385" s="249"/>
      <c r="H385" s="190"/>
      <c r="I385" s="190"/>
      <c r="J385" s="187"/>
      <c r="K385" s="189"/>
      <c r="L385" s="270" t="str">
        <f>IFERROR(__xludf.DUMMYFUNCTION("IF(
  AND(D385=""Saída"", J385=""Sangria""),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74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85" t="str">
        <f>IFERROR(__xludf.DUMMYFUNCTION("ifna(VALUE(REGEXEXTRACT(E385,""[0-9.]+[,]+[0-9]+"")))"),"")</f>
        <v/>
      </c>
      <c r="O385" s="185"/>
      <c r="P385" s="185"/>
      <c r="Q385" s="185"/>
      <c r="R385" s="185"/>
      <c r="S385" s="185"/>
      <c r="T385" s="185"/>
      <c r="U385" s="185"/>
      <c r="V385" s="185"/>
      <c r="W385" s="185"/>
    </row>
    <row r="386" ht="14.25" customHeight="1">
      <c r="A386" s="25"/>
      <c r="B386" s="244"/>
      <c r="C386" s="245"/>
      <c r="D386" s="246"/>
      <c r="E386" s="247"/>
      <c r="F386" s="252"/>
      <c r="G386" s="249"/>
      <c r="H386" s="190"/>
      <c r="I386" s="190"/>
      <c r="J386" s="187"/>
      <c r="K386" s="189"/>
      <c r="L386" s="270" t="str">
        <f>IFERROR(__xludf.DUMMYFUNCTION("IF(
  AND(D386=""Saída"", J386=""Sangria""),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72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85" t="str">
        <f>IFERROR(__xludf.DUMMYFUNCTION("ifna(VALUE(REGEXEXTRACT(E386,""[0-9.]+[,]+[0-9]+"")))"),"")</f>
        <v/>
      </c>
      <c r="O386" s="185"/>
      <c r="P386" s="185"/>
      <c r="Q386" s="185"/>
      <c r="R386" s="185"/>
      <c r="S386" s="185"/>
      <c r="T386" s="185"/>
      <c r="U386" s="185"/>
      <c r="V386" s="185"/>
      <c r="W386" s="185"/>
    </row>
    <row r="387" ht="14.25" customHeight="1">
      <c r="A387" s="25"/>
      <c r="B387" s="244"/>
      <c r="C387" s="245"/>
      <c r="D387" s="246"/>
      <c r="E387" s="247"/>
      <c r="F387" s="252"/>
      <c r="G387" s="249"/>
      <c r="H387" s="190"/>
      <c r="I387" s="190"/>
      <c r="J387" s="187"/>
      <c r="K387" s="189"/>
      <c r="L387" s="270" t="str">
        <f>IFERROR(__xludf.DUMMYFUNCTION("IF(
  AND(D387=""Saída"", J387=""Sangria""),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74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85" t="str">
        <f>IFERROR(__xludf.DUMMYFUNCTION("ifna(VALUE(REGEXEXTRACT(E387,""[0-9.]+[,]+[0-9]+"")))"),"")</f>
        <v/>
      </c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ht="14.25" customHeight="1">
      <c r="A388" s="25"/>
      <c r="B388" s="244"/>
      <c r="C388" s="245"/>
      <c r="D388" s="246"/>
      <c r="E388" s="247"/>
      <c r="F388" s="252"/>
      <c r="G388" s="249"/>
      <c r="H388" s="190"/>
      <c r="I388" s="190"/>
      <c r="J388" s="187"/>
      <c r="K388" s="189"/>
      <c r="L388" s="270" t="str">
        <f>IFERROR(__xludf.DUMMYFUNCTION("IF(
  AND(D388=""Saída"", J388=""Sangria""),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72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85" t="str">
        <f>IFERROR(__xludf.DUMMYFUNCTION("ifna(VALUE(REGEXEXTRACT(E388,""[0-9.]+[,]+[0-9]+"")))"),"")</f>
        <v/>
      </c>
      <c r="O388" s="185"/>
      <c r="P388" s="185"/>
      <c r="Q388" s="185"/>
      <c r="R388" s="185"/>
      <c r="S388" s="185"/>
      <c r="T388" s="185"/>
      <c r="U388" s="185"/>
      <c r="V388" s="185"/>
      <c r="W388" s="185"/>
    </row>
    <row r="389" ht="14.25" customHeight="1">
      <c r="A389" s="25"/>
      <c r="B389" s="244"/>
      <c r="C389" s="245"/>
      <c r="D389" s="246"/>
      <c r="E389" s="247"/>
      <c r="F389" s="252"/>
      <c r="G389" s="249"/>
      <c r="H389" s="190"/>
      <c r="I389" s="190"/>
      <c r="J389" s="202"/>
      <c r="K389" s="189"/>
      <c r="L389" s="270" t="str">
        <f>IFERROR(__xludf.DUMMYFUNCTION("IF(
  AND(D389=""Saída"", J389=""Sangria""),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74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85" t="str">
        <f>IFERROR(__xludf.DUMMYFUNCTION("ifna(VALUE(REGEXEXTRACT(E389,""[0-9.]+[,]+[0-9]+"")))"),"")</f>
        <v/>
      </c>
      <c r="O389" s="185"/>
      <c r="P389" s="185"/>
      <c r="Q389" s="185"/>
      <c r="R389" s="185"/>
      <c r="S389" s="185"/>
      <c r="T389" s="185"/>
      <c r="U389" s="185"/>
      <c r="V389" s="185"/>
      <c r="W389" s="185"/>
    </row>
    <row r="390" ht="14.25" customHeight="1">
      <c r="A390" s="25"/>
      <c r="B390" s="244"/>
      <c r="C390" s="245"/>
      <c r="D390" s="246"/>
      <c r="E390" s="247"/>
      <c r="F390" s="252"/>
      <c r="G390" s="249"/>
      <c r="H390" s="190"/>
      <c r="I390" s="190"/>
      <c r="J390" s="187"/>
      <c r="K390" s="187"/>
      <c r="L390" s="270" t="str">
        <f>IFERROR(__xludf.DUMMYFUNCTION("IF(
  AND(D390=""Saída"", J390=""Sangria""),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72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85" t="str">
        <f>IFERROR(__xludf.DUMMYFUNCTION("ifna(VALUE(REGEXEXTRACT(E390,""[0-9.]+[,]+[0-9]+"")))"),"")</f>
        <v/>
      </c>
      <c r="O390" s="185"/>
      <c r="P390" s="185"/>
      <c r="Q390" s="185"/>
      <c r="R390" s="185"/>
      <c r="S390" s="185"/>
      <c r="T390" s="185"/>
      <c r="U390" s="185"/>
      <c r="V390" s="185"/>
      <c r="W390" s="185"/>
    </row>
    <row r="391" ht="14.25" customHeight="1">
      <c r="A391" s="25"/>
      <c r="B391" s="244"/>
      <c r="C391" s="245"/>
      <c r="D391" s="246"/>
      <c r="E391" s="247"/>
      <c r="F391" s="252"/>
      <c r="G391" s="249"/>
      <c r="H391" s="190"/>
      <c r="I391" s="190"/>
      <c r="J391" s="187"/>
      <c r="K391" s="189"/>
      <c r="L391" s="270" t="str">
        <f>IFERROR(__xludf.DUMMYFUNCTION("IF(
  AND(D391=""Saída"", J391=""Sangria""),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74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85" t="str">
        <f>IFERROR(__xludf.DUMMYFUNCTION("ifna(VALUE(REGEXEXTRACT(E391,""[0-9.]+[,]+[0-9]+"")))"),"")</f>
        <v/>
      </c>
      <c r="O391" s="185"/>
      <c r="P391" s="185"/>
      <c r="Q391" s="185"/>
      <c r="R391" s="185"/>
      <c r="S391" s="185"/>
      <c r="T391" s="185"/>
      <c r="U391" s="185"/>
      <c r="V391" s="185"/>
      <c r="W391" s="185"/>
    </row>
    <row r="392" ht="14.25" customHeight="1">
      <c r="A392" s="25"/>
      <c r="B392" s="244"/>
      <c r="C392" s="245"/>
      <c r="D392" s="246"/>
      <c r="E392" s="247"/>
      <c r="F392" s="252"/>
      <c r="G392" s="249"/>
      <c r="H392" s="190"/>
      <c r="I392" s="190"/>
      <c r="J392" s="187"/>
      <c r="K392" s="187"/>
      <c r="L392" s="270" t="str">
        <f>IFERROR(__xludf.DUMMYFUNCTION("IF(
  AND(D392=""Saída"", J392=""Sangria""),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72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85" t="str">
        <f>IFERROR(__xludf.DUMMYFUNCTION("ifna(VALUE(REGEXEXTRACT(E392,""[0-9.]+[,]+[0-9]+"")))"),"")</f>
        <v/>
      </c>
      <c r="O392" s="185"/>
      <c r="P392" s="185"/>
      <c r="Q392" s="185"/>
      <c r="R392" s="185"/>
      <c r="S392" s="185"/>
      <c r="T392" s="185"/>
      <c r="U392" s="185"/>
      <c r="V392" s="185"/>
      <c r="W392" s="185"/>
    </row>
    <row r="393" ht="14.25" customHeight="1">
      <c r="A393" s="25"/>
      <c r="B393" s="244"/>
      <c r="C393" s="245"/>
      <c r="D393" s="246"/>
      <c r="E393" s="247"/>
      <c r="F393" s="252"/>
      <c r="G393" s="249"/>
      <c r="H393" s="190"/>
      <c r="I393" s="190"/>
      <c r="J393" s="187"/>
      <c r="K393" s="187"/>
      <c r="L393" s="270" t="str">
        <f>IFERROR(__xludf.DUMMYFUNCTION("IF(
  AND(D393=""Saída"", J393=""Sangria""),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74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85" t="str">
        <f>IFERROR(__xludf.DUMMYFUNCTION("ifna(VALUE(REGEXEXTRACT(E393,""[0-9.]+[,]+[0-9]+"")))"),"")</f>
        <v/>
      </c>
      <c r="O393" s="185"/>
      <c r="P393" s="185"/>
      <c r="Q393" s="185"/>
      <c r="R393" s="185"/>
      <c r="S393" s="185"/>
      <c r="T393" s="185"/>
      <c r="U393" s="185"/>
      <c r="V393" s="185"/>
      <c r="W393" s="185"/>
    </row>
    <row r="394" ht="14.25" customHeight="1">
      <c r="A394" s="25"/>
      <c r="B394" s="244"/>
      <c r="C394" s="255"/>
      <c r="D394" s="246"/>
      <c r="E394" s="247"/>
      <c r="F394" s="190"/>
      <c r="G394" s="249"/>
      <c r="H394" s="190"/>
      <c r="I394" s="190"/>
      <c r="J394" s="189"/>
      <c r="K394" s="189"/>
      <c r="L394" s="270" t="str">
        <f>IFERROR(__xludf.DUMMYFUNCTION("IF(
  AND(D394=""Saída"", J394=""Sangria""),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72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85" t="str">
        <f>IFERROR(__xludf.DUMMYFUNCTION("ifna(VALUE(REGEXEXTRACT(E394,""[0-9.]+[,]+[0-9]+"")))"),"")</f>
        <v/>
      </c>
      <c r="O394" s="185"/>
      <c r="P394" s="185"/>
      <c r="Q394" s="185"/>
      <c r="R394" s="185"/>
      <c r="S394" s="185"/>
      <c r="T394" s="185"/>
      <c r="U394" s="185"/>
      <c r="V394" s="185"/>
      <c r="W394" s="185"/>
    </row>
    <row r="395" ht="14.25" customHeight="1">
      <c r="A395" s="25"/>
      <c r="B395" s="256"/>
      <c r="C395" s="255"/>
      <c r="D395" s="246"/>
      <c r="E395" s="247"/>
      <c r="F395" s="190"/>
      <c r="G395" s="249"/>
      <c r="H395" s="190"/>
      <c r="I395" s="190"/>
      <c r="J395" s="189"/>
      <c r="K395" s="189"/>
      <c r="L395" s="270" t="str">
        <f>IFERROR(__xludf.DUMMYFUNCTION("IF(
  AND(D395=""Saída"", J395=""Sangria""),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74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85" t="str">
        <f>IFERROR(__xludf.DUMMYFUNCTION("ifna(VALUE(REGEXEXTRACT(E395,""[0-9.]+[,]+[0-9]+"")))"),"")</f>
        <v/>
      </c>
      <c r="O395" s="185"/>
      <c r="P395" s="185"/>
      <c r="Q395" s="185"/>
      <c r="R395" s="185"/>
      <c r="S395" s="185"/>
      <c r="T395" s="185"/>
      <c r="U395" s="185"/>
      <c r="V395" s="185"/>
      <c r="W395" s="185"/>
    </row>
    <row r="396" ht="14.25" customHeight="1">
      <c r="A396" s="25"/>
      <c r="B396" s="256"/>
      <c r="C396" s="255"/>
      <c r="D396" s="246"/>
      <c r="E396" s="247"/>
      <c r="F396" s="190"/>
      <c r="G396" s="249"/>
      <c r="H396" s="190"/>
      <c r="I396" s="190"/>
      <c r="J396" s="189"/>
      <c r="K396" s="189"/>
      <c r="L396" s="270" t="str">
        <f>IFERROR(__xludf.DUMMYFUNCTION("IF(
  AND(D396=""Saída"", J396=""Sangria""),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72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85" t="str">
        <f>IFERROR(__xludf.DUMMYFUNCTION("ifna(VALUE(REGEXEXTRACT(E396,""[0-9.]+[,]+[0-9]+"")))"),"")</f>
        <v/>
      </c>
      <c r="O396" s="185"/>
      <c r="P396" s="185"/>
      <c r="Q396" s="185"/>
      <c r="R396" s="185"/>
      <c r="S396" s="185"/>
      <c r="T396" s="185"/>
      <c r="U396" s="185"/>
      <c r="V396" s="185"/>
      <c r="W396" s="185"/>
    </row>
    <row r="397" ht="14.25" customHeight="1">
      <c r="A397" s="25"/>
      <c r="B397" s="256"/>
      <c r="C397" s="255"/>
      <c r="D397" s="246"/>
      <c r="E397" s="247"/>
      <c r="F397" s="190"/>
      <c r="G397" s="249"/>
      <c r="H397" s="190"/>
      <c r="I397" s="190"/>
      <c r="J397" s="189"/>
      <c r="K397" s="189"/>
      <c r="L397" s="270" t="str">
        <f>IFERROR(__xludf.DUMMYFUNCTION("IF(
  AND(D397=""Saída"", J397=""Sangria""),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74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85" t="str">
        <f>IFERROR(__xludf.DUMMYFUNCTION("ifna(VALUE(REGEXEXTRACT(E397,""[0-9.]+[,]+[0-9]+"")))"),"")</f>
        <v/>
      </c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ht="14.25" customHeight="1">
      <c r="A398" s="25"/>
      <c r="B398" s="256"/>
      <c r="C398" s="255"/>
      <c r="D398" s="246"/>
      <c r="E398" s="247"/>
      <c r="F398" s="190"/>
      <c r="G398" s="249"/>
      <c r="H398" s="190"/>
      <c r="I398" s="190"/>
      <c r="J398" s="189"/>
      <c r="K398" s="189"/>
      <c r="L398" s="270" t="str">
        <f>IFERROR(__xludf.DUMMYFUNCTION("IF(
  AND(D398=""Saída"", J398=""Sangria""),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72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85" t="str">
        <f>IFERROR(__xludf.DUMMYFUNCTION("ifna(VALUE(REGEXEXTRACT(E398,""[0-9.]+[,]+[0-9]+"")))"),"")</f>
        <v/>
      </c>
      <c r="O398" s="185"/>
      <c r="P398" s="185"/>
      <c r="Q398" s="185"/>
      <c r="R398" s="185"/>
      <c r="S398" s="185"/>
      <c r="T398" s="185"/>
      <c r="U398" s="185"/>
      <c r="V398" s="185"/>
      <c r="W398" s="185"/>
    </row>
    <row r="399" ht="14.25" customHeight="1">
      <c r="A399" s="25"/>
      <c r="B399" s="256"/>
      <c r="C399" s="255"/>
      <c r="D399" s="246"/>
      <c r="E399" s="247"/>
      <c r="F399" s="190"/>
      <c r="G399" s="249"/>
      <c r="H399" s="190"/>
      <c r="I399" s="190"/>
      <c r="J399" s="189"/>
      <c r="K399" s="189"/>
      <c r="L399" s="270" t="str">
        <f>IFERROR(__xludf.DUMMYFUNCTION("IF(
  AND(D399=""Saída"", J399=""Sangria""),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74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85" t="str">
        <f>IFERROR(__xludf.DUMMYFUNCTION("ifna(VALUE(REGEXEXTRACT(E399,""[0-9.]+[,]+[0-9]+"")))"),"")</f>
        <v/>
      </c>
      <c r="O399" s="185"/>
      <c r="P399" s="185"/>
      <c r="Q399" s="185"/>
      <c r="R399" s="185"/>
      <c r="S399" s="185"/>
      <c r="T399" s="185"/>
      <c r="U399" s="185"/>
      <c r="V399" s="185"/>
      <c r="W399" s="185"/>
    </row>
    <row r="400" ht="14.25" customHeight="1">
      <c r="A400" s="25"/>
      <c r="B400" s="256"/>
      <c r="C400" s="255"/>
      <c r="D400" s="246"/>
      <c r="E400" s="247"/>
      <c r="F400" s="190"/>
      <c r="G400" s="249"/>
      <c r="H400" s="190"/>
      <c r="I400" s="190"/>
      <c r="J400" s="189"/>
      <c r="K400" s="189"/>
      <c r="L400" s="270" t="str">
        <f>IFERROR(__xludf.DUMMYFUNCTION("IF(
  AND(D400=""Saída"", J400=""Sangria""),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72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85" t="str">
        <f>IFERROR(__xludf.DUMMYFUNCTION("ifna(VALUE(REGEXEXTRACT(E400,""[0-9.]+[,]+[0-9]+"")))"),"")</f>
        <v/>
      </c>
      <c r="O400" s="185"/>
      <c r="P400" s="185"/>
      <c r="Q400" s="185"/>
      <c r="R400" s="185"/>
      <c r="S400" s="185"/>
      <c r="T400" s="185"/>
      <c r="U400" s="185"/>
      <c r="V400" s="185"/>
      <c r="W400" s="185"/>
    </row>
    <row r="401" ht="14.25" customHeight="1">
      <c r="A401" s="25"/>
      <c r="B401" s="256"/>
      <c r="C401" s="255"/>
      <c r="D401" s="246"/>
      <c r="E401" s="247"/>
      <c r="F401" s="190"/>
      <c r="G401" s="249"/>
      <c r="H401" s="190"/>
      <c r="I401" s="190"/>
      <c r="J401" s="189"/>
      <c r="K401" s="189"/>
      <c r="L401" s="270" t="str">
        <f>IFERROR(__xludf.DUMMYFUNCTION("IF(
  AND(D401=""Saída"", J401=""Sangria""),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74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85" t="str">
        <f>IFERROR(__xludf.DUMMYFUNCTION("ifna(VALUE(REGEXEXTRACT(E401,""[0-9.]+[,]+[0-9]+"")))"),"")</f>
        <v/>
      </c>
      <c r="O401" s="185"/>
      <c r="P401" s="185"/>
      <c r="Q401" s="185"/>
      <c r="R401" s="185"/>
      <c r="S401" s="185"/>
      <c r="T401" s="185"/>
      <c r="U401" s="185"/>
      <c r="V401" s="185"/>
      <c r="W401" s="185"/>
    </row>
    <row r="402" ht="14.25" customHeight="1">
      <c r="A402" s="25"/>
      <c r="B402" s="256"/>
      <c r="C402" s="255"/>
      <c r="D402" s="246"/>
      <c r="E402" s="247"/>
      <c r="F402" s="190"/>
      <c r="G402" s="249"/>
      <c r="H402" s="190"/>
      <c r="I402" s="190"/>
      <c r="J402" s="189"/>
      <c r="K402" s="189"/>
      <c r="L402" s="270" t="str">
        <f>IFERROR(__xludf.DUMMYFUNCTION("IF(
  AND(D402=""Saída"", J402=""Sangria""),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72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85" t="str">
        <f>IFERROR(__xludf.DUMMYFUNCTION("ifna(VALUE(REGEXEXTRACT(E402,""[0-9.]+[,]+[0-9]+"")))"),"")</f>
        <v/>
      </c>
      <c r="O402" s="185"/>
      <c r="P402" s="185"/>
      <c r="Q402" s="185"/>
      <c r="R402" s="185"/>
      <c r="S402" s="185"/>
      <c r="T402" s="185"/>
      <c r="U402" s="185"/>
      <c r="V402" s="185"/>
      <c r="W402" s="185"/>
    </row>
    <row r="403" ht="14.25" customHeight="1">
      <c r="A403" s="25"/>
      <c r="B403" s="256"/>
      <c r="C403" s="255"/>
      <c r="D403" s="246"/>
      <c r="E403" s="247"/>
      <c r="F403" s="190"/>
      <c r="G403" s="249"/>
      <c r="H403" s="190"/>
      <c r="I403" s="190"/>
      <c r="J403" s="189"/>
      <c r="K403" s="189"/>
      <c r="L403" s="270" t="str">
        <f>IFERROR(__xludf.DUMMYFUNCTION("IF(
  AND(D403=""Saída"", J403=""Sangria""),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74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85" t="str">
        <f>IFERROR(__xludf.DUMMYFUNCTION("ifna(VALUE(REGEXEXTRACT(E403,""[0-9.]+[,]+[0-9]+"")))"),"")</f>
        <v/>
      </c>
      <c r="O403" s="185"/>
      <c r="P403" s="185"/>
      <c r="Q403" s="185"/>
      <c r="R403" s="185"/>
      <c r="S403" s="185"/>
      <c r="T403" s="185"/>
      <c r="U403" s="185"/>
      <c r="V403" s="185"/>
      <c r="W403" s="185"/>
    </row>
    <row r="404" ht="14.25" customHeight="1">
      <c r="A404" s="25"/>
      <c r="B404" s="256"/>
      <c r="C404" s="255"/>
      <c r="D404" s="246"/>
      <c r="E404" s="247"/>
      <c r="F404" s="190"/>
      <c r="G404" s="249"/>
      <c r="H404" s="190"/>
      <c r="I404" s="190"/>
      <c r="J404" s="189"/>
      <c r="K404" s="189"/>
      <c r="L404" s="270" t="str">
        <f>IFERROR(__xludf.DUMMYFUNCTION("IF(
  AND(D404=""Saída"", J404=""Sangria""),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72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85" t="str">
        <f>IFERROR(__xludf.DUMMYFUNCTION("ifna(VALUE(REGEXEXTRACT(E404,""[0-9.]+[,]+[0-9]+"")))"),"")</f>
        <v/>
      </c>
      <c r="O404" s="185"/>
      <c r="P404" s="185"/>
      <c r="Q404" s="185"/>
      <c r="R404" s="185"/>
      <c r="S404" s="185"/>
      <c r="T404" s="185"/>
      <c r="U404" s="185"/>
      <c r="V404" s="185"/>
      <c r="W404" s="185"/>
    </row>
    <row r="405" ht="14.25" customHeight="1">
      <c r="A405" s="25"/>
      <c r="B405" s="256"/>
      <c r="C405" s="255"/>
      <c r="D405" s="246"/>
      <c r="E405" s="247"/>
      <c r="F405" s="190"/>
      <c r="G405" s="249"/>
      <c r="H405" s="190"/>
      <c r="I405" s="190"/>
      <c r="J405" s="189"/>
      <c r="K405" s="189"/>
      <c r="L405" s="270" t="str">
        <f>IFERROR(__xludf.DUMMYFUNCTION("IF(
  AND(D405=""Saída"", J405=""Sangria""),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74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85" t="str">
        <f>IFERROR(__xludf.DUMMYFUNCTION("ifna(VALUE(REGEXEXTRACT(E405,""[0-9.]+[,]+[0-9]+"")))"),"")</f>
        <v/>
      </c>
      <c r="O405" s="185"/>
      <c r="P405" s="185"/>
      <c r="Q405" s="185"/>
      <c r="R405" s="185"/>
      <c r="S405" s="185"/>
      <c r="T405" s="185"/>
      <c r="U405" s="185"/>
      <c r="V405" s="185"/>
      <c r="W405" s="185"/>
    </row>
    <row r="406" ht="14.25" customHeight="1">
      <c r="A406" s="25"/>
      <c r="B406" s="256"/>
      <c r="C406" s="255"/>
      <c r="D406" s="246"/>
      <c r="E406" s="257"/>
      <c r="F406" s="190"/>
      <c r="G406" s="249"/>
      <c r="H406" s="190"/>
      <c r="I406" s="190"/>
      <c r="J406" s="189"/>
      <c r="K406" s="189"/>
      <c r="L406" s="270" t="str">
        <f>IFERROR(__xludf.DUMMYFUNCTION("IF(
  AND(D406=""Saída"", J406=""Sangria""),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72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85" t="str">
        <f>IFERROR(__xludf.DUMMYFUNCTION("ifna(VALUE(REGEXEXTRACT(E406,""[0-9.]+[,]+[0-9]+"")))"),"")</f>
        <v/>
      </c>
      <c r="O406" s="185"/>
      <c r="P406" s="185"/>
      <c r="Q406" s="185"/>
      <c r="R406" s="185"/>
      <c r="S406" s="185"/>
      <c r="T406" s="185"/>
      <c r="U406" s="185"/>
      <c r="V406" s="185"/>
      <c r="W406" s="185"/>
    </row>
    <row r="407" ht="14.25" customHeight="1">
      <c r="A407" s="25"/>
      <c r="B407" s="256"/>
      <c r="C407" s="255"/>
      <c r="D407" s="246"/>
      <c r="E407" s="257"/>
      <c r="F407" s="190"/>
      <c r="G407" s="258"/>
      <c r="H407" s="190"/>
      <c r="I407" s="190"/>
      <c r="J407" s="189"/>
      <c r="K407" s="189"/>
      <c r="L407" s="270" t="str">
        <f>IFERROR(__xludf.DUMMYFUNCTION("IF(
  AND(D407=""Saída"", J407=""Sangria""),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74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85" t="str">
        <f>IFERROR(__xludf.DUMMYFUNCTION("ifna(VALUE(REGEXEXTRACT(E407,""[0-9.]+[,]+[0-9]+"")))"),"")</f>
        <v/>
      </c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ht="14.25" customHeight="1">
      <c r="A408" s="25"/>
      <c r="B408" s="256"/>
      <c r="C408" s="255"/>
      <c r="D408" s="246"/>
      <c r="E408" s="257"/>
      <c r="F408" s="190"/>
      <c r="G408" s="258"/>
      <c r="H408" s="190"/>
      <c r="I408" s="190"/>
      <c r="J408" s="189"/>
      <c r="K408" s="189"/>
      <c r="L408" s="270" t="str">
        <f>IFERROR(__xludf.DUMMYFUNCTION("IF(
  AND(D408=""Saída"", J408=""Sangria""),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72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85" t="str">
        <f>IFERROR(__xludf.DUMMYFUNCTION("ifna(VALUE(REGEXEXTRACT(E408,""[0-9.]+[,]+[0-9]+"")))"),"")</f>
        <v/>
      </c>
      <c r="O408" s="185"/>
      <c r="P408" s="185"/>
      <c r="Q408" s="185"/>
      <c r="R408" s="185"/>
      <c r="S408" s="185"/>
      <c r="T408" s="185"/>
      <c r="U408" s="185"/>
      <c r="V408" s="185"/>
      <c r="W408" s="185"/>
    </row>
    <row r="409" ht="14.25" customHeight="1">
      <c r="A409" s="25"/>
      <c r="B409" s="256"/>
      <c r="C409" s="255"/>
      <c r="D409" s="246"/>
      <c r="E409" s="257"/>
      <c r="F409" s="190"/>
      <c r="G409" s="258"/>
      <c r="H409" s="190"/>
      <c r="I409" s="190"/>
      <c r="J409" s="189"/>
      <c r="K409" s="189"/>
      <c r="L409" s="270" t="str">
        <f>IFERROR(__xludf.DUMMYFUNCTION("IF(
  AND(D409=""Saída"", J409=""Sangria""),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74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85" t="str">
        <f>IFERROR(__xludf.DUMMYFUNCTION("ifna(VALUE(REGEXEXTRACT(E409,""[0-9.]+[,]+[0-9]+"")))"),"")</f>
        <v/>
      </c>
      <c r="O409" s="185"/>
      <c r="P409" s="185"/>
      <c r="Q409" s="185"/>
      <c r="R409" s="185"/>
      <c r="S409" s="185"/>
      <c r="T409" s="185"/>
      <c r="U409" s="185"/>
      <c r="V409" s="185"/>
      <c r="W409" s="185"/>
    </row>
    <row r="410" ht="14.25" customHeight="1">
      <c r="A410" s="25"/>
      <c r="B410" s="256"/>
      <c r="C410" s="255"/>
      <c r="D410" s="246"/>
      <c r="E410" s="257"/>
      <c r="F410" s="190"/>
      <c r="G410" s="258"/>
      <c r="H410" s="190"/>
      <c r="I410" s="190"/>
      <c r="J410" s="189"/>
      <c r="K410" s="189"/>
      <c r="L410" s="270" t="str">
        <f>IFERROR(__xludf.DUMMYFUNCTION("IF(
  AND(D410=""Saída"", J410=""Sangria""),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72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85" t="str">
        <f>IFERROR(__xludf.DUMMYFUNCTION("ifna(VALUE(REGEXEXTRACT(E410,""[0-9.]+[,]+[0-9]+"")))"),"")</f>
        <v/>
      </c>
      <c r="O410" s="185"/>
      <c r="P410" s="185"/>
      <c r="Q410" s="185"/>
      <c r="R410" s="185"/>
      <c r="S410" s="185"/>
      <c r="T410" s="185"/>
      <c r="U410" s="185"/>
      <c r="V410" s="185"/>
      <c r="W410" s="185"/>
    </row>
    <row r="411" ht="14.25" customHeight="1">
      <c r="A411" s="25"/>
      <c r="B411" s="256"/>
      <c r="C411" s="255"/>
      <c r="D411" s="190"/>
      <c r="E411" s="257"/>
      <c r="F411" s="190"/>
      <c r="G411" s="258"/>
      <c r="H411" s="190"/>
      <c r="I411" s="190"/>
      <c r="J411" s="189"/>
      <c r="K411" s="189"/>
      <c r="L411" s="270" t="str">
        <f>IFERROR(__xludf.DUMMYFUNCTION("IF(
  AND(D411=""Saída"", J411=""Sangria""),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74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85" t="str">
        <f>IFERROR(__xludf.DUMMYFUNCTION("ifna(VALUE(REGEXEXTRACT(E411,""[0-9.]+[,]+[0-9]+"")))"),"")</f>
        <v/>
      </c>
      <c r="O411" s="185"/>
      <c r="P411" s="185"/>
      <c r="Q411" s="185"/>
      <c r="R411" s="185"/>
      <c r="S411" s="185"/>
      <c r="T411" s="185"/>
      <c r="U411" s="185"/>
      <c r="V411" s="185"/>
      <c r="W411" s="185"/>
    </row>
    <row r="412" ht="14.25" customHeight="1">
      <c r="A412" s="25"/>
      <c r="B412" s="256"/>
      <c r="C412" s="255"/>
      <c r="D412" s="190"/>
      <c r="E412" s="257"/>
      <c r="F412" s="190"/>
      <c r="G412" s="258"/>
      <c r="H412" s="190"/>
      <c r="I412" s="190"/>
      <c r="J412" s="189"/>
      <c r="K412" s="189"/>
      <c r="L412" s="270" t="str">
        <f>IFERROR(__xludf.DUMMYFUNCTION("IF(
  AND(D412=""Saída"", J412=""Sangria""),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72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85" t="str">
        <f>IFERROR(__xludf.DUMMYFUNCTION("ifna(VALUE(REGEXEXTRACT(E412,""[0-9.]+[,]+[0-9]+"")))"),"")</f>
        <v/>
      </c>
      <c r="O412" s="185"/>
      <c r="P412" s="185"/>
      <c r="Q412" s="185"/>
      <c r="R412" s="185"/>
      <c r="S412" s="185"/>
      <c r="T412" s="185"/>
      <c r="U412" s="185"/>
      <c r="V412" s="185"/>
      <c r="W412" s="185"/>
    </row>
    <row r="413" ht="14.25" customHeight="1">
      <c r="A413" s="25"/>
      <c r="B413" s="256"/>
      <c r="C413" s="255"/>
      <c r="D413" s="190"/>
      <c r="E413" s="257"/>
      <c r="F413" s="190"/>
      <c r="G413" s="258"/>
      <c r="H413" s="190"/>
      <c r="I413" s="190"/>
      <c r="J413" s="189"/>
      <c r="K413" s="189"/>
      <c r="L413" s="270" t="str">
        <f>IFERROR(__xludf.DUMMYFUNCTION("IF(
  AND(D413=""Saída"", J413=""Sangria""),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74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85" t="str">
        <f>IFERROR(__xludf.DUMMYFUNCTION("ifna(VALUE(REGEXEXTRACT(E413,""[0-9.]+[,]+[0-9]+"")))"),"")</f>
        <v/>
      </c>
      <c r="O413" s="185"/>
      <c r="P413" s="185"/>
      <c r="Q413" s="185"/>
      <c r="R413" s="185"/>
      <c r="S413" s="185"/>
      <c r="T413" s="185"/>
      <c r="U413" s="185"/>
      <c r="V413" s="185"/>
      <c r="W413" s="185"/>
    </row>
    <row r="414" ht="14.25" customHeight="1">
      <c r="A414" s="25"/>
      <c r="B414" s="256"/>
      <c r="C414" s="255"/>
      <c r="D414" s="190"/>
      <c r="E414" s="257"/>
      <c r="F414" s="190"/>
      <c r="G414" s="258"/>
      <c r="H414" s="190"/>
      <c r="I414" s="190"/>
      <c r="J414" s="189"/>
      <c r="K414" s="189"/>
      <c r="L414" s="270" t="str">
        <f>IFERROR(__xludf.DUMMYFUNCTION("IF(
  AND(D414=""Saída"", J414=""Sangria""),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72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85" t="str">
        <f>IFERROR(__xludf.DUMMYFUNCTION("ifna(VALUE(REGEXEXTRACT(E414,""[0-9.]+[,]+[0-9]+"")))"),"")</f>
        <v/>
      </c>
      <c r="O414" s="185"/>
      <c r="P414" s="185"/>
      <c r="Q414" s="185"/>
      <c r="R414" s="185"/>
      <c r="S414" s="185"/>
      <c r="T414" s="185"/>
      <c r="U414" s="185"/>
      <c r="V414" s="185"/>
      <c r="W414" s="185"/>
    </row>
    <row r="415" ht="14.25" customHeight="1">
      <c r="A415" s="25"/>
      <c r="B415" s="256"/>
      <c r="C415" s="255"/>
      <c r="D415" s="190"/>
      <c r="E415" s="257"/>
      <c r="F415" s="190"/>
      <c r="G415" s="258"/>
      <c r="H415" s="190"/>
      <c r="I415" s="190"/>
      <c r="J415" s="189"/>
      <c r="K415" s="189"/>
      <c r="L415" s="270" t="str">
        <f>IFERROR(__xludf.DUMMYFUNCTION("IF(
  AND(D415=""Saída"", J415=""Sangria""),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74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85" t="str">
        <f>IFERROR(__xludf.DUMMYFUNCTION("ifna(VALUE(REGEXEXTRACT(E415,""[0-9.]+[,]+[0-9]+"")))"),"")</f>
        <v/>
      </c>
      <c r="O415" s="185"/>
      <c r="P415" s="185"/>
      <c r="Q415" s="185"/>
      <c r="R415" s="185"/>
      <c r="S415" s="185"/>
      <c r="T415" s="185"/>
      <c r="U415" s="185"/>
      <c r="V415" s="185"/>
      <c r="W415" s="185"/>
    </row>
    <row r="416" ht="14.25" customHeight="1">
      <c r="A416" s="25"/>
      <c r="B416" s="256"/>
      <c r="C416" s="255"/>
      <c r="D416" s="190"/>
      <c r="E416" s="257"/>
      <c r="F416" s="190"/>
      <c r="G416" s="258"/>
      <c r="H416" s="190"/>
      <c r="I416" s="190"/>
      <c r="J416" s="189"/>
      <c r="K416" s="189"/>
      <c r="L416" s="270" t="str">
        <f>IFERROR(__xludf.DUMMYFUNCTION("IF(
  AND(D416=""Saída"", J416=""Sangria""),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72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85" t="str">
        <f>IFERROR(__xludf.DUMMYFUNCTION("ifna(VALUE(REGEXEXTRACT(E416,""[0-9.]+[,]+[0-9]+"")))"),"")</f>
        <v/>
      </c>
      <c r="O416" s="185"/>
      <c r="P416" s="185"/>
      <c r="Q416" s="185"/>
      <c r="R416" s="185"/>
      <c r="S416" s="185"/>
      <c r="T416" s="185"/>
      <c r="U416" s="185"/>
      <c r="V416" s="185"/>
      <c r="W416" s="185"/>
    </row>
    <row r="417" ht="14.25" customHeight="1">
      <c r="A417" s="25"/>
      <c r="B417" s="256"/>
      <c r="C417" s="255"/>
      <c r="D417" s="190"/>
      <c r="E417" s="257"/>
      <c r="F417" s="190"/>
      <c r="G417" s="258"/>
      <c r="H417" s="190"/>
      <c r="I417" s="190"/>
      <c r="J417" s="189"/>
      <c r="K417" s="189"/>
      <c r="L417" s="270" t="str">
        <f>IFERROR(__xludf.DUMMYFUNCTION("IF(
  AND(D417=""Saída"", J417=""Sangria""),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74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85" t="str">
        <f>IFERROR(__xludf.DUMMYFUNCTION("ifna(VALUE(REGEXEXTRACT(E417,""[0-9.]+[,]+[0-9]+"")))"),"")</f>
        <v/>
      </c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ht="14.25" customHeight="1">
      <c r="A418" s="25"/>
      <c r="B418" s="256"/>
      <c r="C418" s="255"/>
      <c r="D418" s="190"/>
      <c r="E418" s="257"/>
      <c r="F418" s="190"/>
      <c r="G418" s="258"/>
      <c r="H418" s="190"/>
      <c r="I418" s="190"/>
      <c r="J418" s="189"/>
      <c r="K418" s="189"/>
      <c r="L418" s="270" t="str">
        <f>IFERROR(__xludf.DUMMYFUNCTION("IF(
  AND(D418=""Saída"", J418=""Sangria""),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72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85" t="str">
        <f>IFERROR(__xludf.DUMMYFUNCTION("ifna(VALUE(REGEXEXTRACT(E418,""[0-9.]+[,]+[0-9]+"")))"),"")</f>
        <v/>
      </c>
      <c r="O418" s="185"/>
      <c r="P418" s="185"/>
      <c r="Q418" s="185"/>
      <c r="R418" s="185"/>
      <c r="S418" s="185"/>
      <c r="T418" s="185"/>
      <c r="U418" s="185"/>
      <c r="V418" s="185"/>
      <c r="W418" s="185"/>
    </row>
    <row r="419" ht="14.25" customHeight="1">
      <c r="A419" s="25"/>
      <c r="B419" s="256"/>
      <c r="C419" s="255"/>
      <c r="D419" s="190"/>
      <c r="E419" s="257"/>
      <c r="F419" s="190"/>
      <c r="G419" s="258"/>
      <c r="H419" s="190"/>
      <c r="I419" s="190"/>
      <c r="J419" s="189"/>
      <c r="K419" s="189"/>
      <c r="L419" s="270" t="str">
        <f>IFERROR(__xludf.DUMMYFUNCTION("IF(
  AND(D419=""Saída"", J419=""Sangria""),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74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85" t="str">
        <f>IFERROR(__xludf.DUMMYFUNCTION("ifna(VALUE(REGEXEXTRACT(E419,""[0-9.]+[,]+[0-9]+"")))"),"")</f>
        <v/>
      </c>
      <c r="O419" s="185"/>
      <c r="P419" s="185"/>
      <c r="Q419" s="185"/>
      <c r="R419" s="185"/>
      <c r="S419" s="185"/>
      <c r="T419" s="185"/>
      <c r="U419" s="185"/>
      <c r="V419" s="185"/>
      <c r="W419" s="185"/>
    </row>
    <row r="420" ht="14.25" customHeight="1">
      <c r="A420" s="25"/>
      <c r="B420" s="256"/>
      <c r="C420" s="255"/>
      <c r="D420" s="190"/>
      <c r="E420" s="257"/>
      <c r="F420" s="190"/>
      <c r="G420" s="258"/>
      <c r="H420" s="190"/>
      <c r="I420" s="190"/>
      <c r="J420" s="189"/>
      <c r="K420" s="189"/>
      <c r="L420" s="270" t="str">
        <f>IFERROR(__xludf.DUMMYFUNCTION("IF(
  AND(D420=""Saída"", J420=""Sangria""),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72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85" t="str">
        <f>IFERROR(__xludf.DUMMYFUNCTION("ifna(VALUE(REGEXEXTRACT(E420,""[0-9.]+[,]+[0-9]+"")))"),"")</f>
        <v/>
      </c>
      <c r="O420" s="185"/>
      <c r="P420" s="185"/>
      <c r="Q420" s="185"/>
      <c r="R420" s="185"/>
      <c r="S420" s="185"/>
      <c r="T420" s="185"/>
      <c r="U420" s="185"/>
      <c r="V420" s="185"/>
      <c r="W420" s="185"/>
    </row>
    <row r="421" ht="14.25" customHeight="1">
      <c r="A421" s="25"/>
      <c r="B421" s="256"/>
      <c r="C421" s="255"/>
      <c r="D421" s="190"/>
      <c r="E421" s="257"/>
      <c r="F421" s="190"/>
      <c r="G421" s="258"/>
      <c r="H421" s="190"/>
      <c r="I421" s="190"/>
      <c r="J421" s="189"/>
      <c r="K421" s="189"/>
      <c r="L421" s="270" t="str">
        <f>IFERROR(__xludf.DUMMYFUNCTION("IF(
  AND(D421=""Saída"", J421=""Sangria""),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74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85" t="str">
        <f>IFERROR(__xludf.DUMMYFUNCTION("ifna(VALUE(REGEXEXTRACT(E421,""[0-9.]+[,]+[0-9]+"")))"),"")</f>
        <v/>
      </c>
      <c r="O421" s="185"/>
      <c r="P421" s="185"/>
      <c r="Q421" s="185"/>
      <c r="R421" s="185"/>
      <c r="S421" s="185"/>
      <c r="T421" s="185"/>
      <c r="U421" s="185"/>
      <c r="V421" s="185"/>
      <c r="W421" s="185"/>
    </row>
    <row r="422" ht="14.25" customHeight="1">
      <c r="A422" s="25"/>
      <c r="B422" s="256"/>
      <c r="C422" s="255"/>
      <c r="D422" s="190"/>
      <c r="E422" s="257"/>
      <c r="F422" s="190"/>
      <c r="G422" s="258"/>
      <c r="H422" s="190"/>
      <c r="I422" s="190"/>
      <c r="J422" s="189"/>
      <c r="K422" s="189"/>
      <c r="L422" s="270" t="str">
        <f>IFERROR(__xludf.DUMMYFUNCTION("IF(
  AND(D422=""Saída"", J422=""Sangria""),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72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85" t="str">
        <f>IFERROR(__xludf.DUMMYFUNCTION("ifna(VALUE(REGEXEXTRACT(E422,""[0-9.]+[,]+[0-9]+"")))"),"")</f>
        <v/>
      </c>
      <c r="O422" s="185"/>
      <c r="P422" s="185"/>
      <c r="Q422" s="185"/>
      <c r="R422" s="185"/>
      <c r="S422" s="185"/>
      <c r="T422" s="185"/>
      <c r="U422" s="185"/>
      <c r="V422" s="185"/>
      <c r="W422" s="185"/>
    </row>
    <row r="423" ht="14.25" customHeight="1">
      <c r="A423" s="25"/>
      <c r="B423" s="256"/>
      <c r="C423" s="255"/>
      <c r="D423" s="190"/>
      <c r="E423" s="257"/>
      <c r="F423" s="190"/>
      <c r="G423" s="258"/>
      <c r="H423" s="190"/>
      <c r="I423" s="190"/>
      <c r="J423" s="189"/>
      <c r="K423" s="189"/>
      <c r="L423" s="270" t="str">
        <f>IFERROR(__xludf.DUMMYFUNCTION("IF(
  AND(D423=""Saída"", J423=""Sangria""),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74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85" t="str">
        <f>IFERROR(__xludf.DUMMYFUNCTION("ifna(VALUE(REGEXEXTRACT(E423,""[0-9.]+[,]+[0-9]+"")))"),"")</f>
        <v/>
      </c>
      <c r="O423" s="185"/>
      <c r="P423" s="185"/>
      <c r="Q423" s="185"/>
      <c r="R423" s="185"/>
      <c r="S423" s="185"/>
      <c r="T423" s="185"/>
      <c r="U423" s="185"/>
      <c r="V423" s="185"/>
      <c r="W423" s="185"/>
    </row>
    <row r="424" ht="14.25" customHeight="1">
      <c r="A424" s="25"/>
      <c r="B424" s="256"/>
      <c r="C424" s="255"/>
      <c r="D424" s="190"/>
      <c r="E424" s="257"/>
      <c r="F424" s="190"/>
      <c r="G424" s="258"/>
      <c r="H424" s="190"/>
      <c r="I424" s="190"/>
      <c r="J424" s="189"/>
      <c r="K424" s="189"/>
      <c r="L424" s="270" t="str">
        <f>IFERROR(__xludf.DUMMYFUNCTION("IF(
  AND(D424=""Saída"", J424=""Sangria""),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72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85" t="str">
        <f>IFERROR(__xludf.DUMMYFUNCTION("ifna(VALUE(REGEXEXTRACT(E424,""[0-9.]+[,]+[0-9]+"")))"),"")</f>
        <v/>
      </c>
      <c r="O424" s="185"/>
      <c r="P424" s="185"/>
      <c r="Q424" s="185"/>
      <c r="R424" s="185"/>
      <c r="S424" s="185"/>
      <c r="T424" s="185"/>
      <c r="U424" s="185"/>
      <c r="V424" s="185"/>
      <c r="W424" s="185"/>
    </row>
    <row r="425" ht="14.25" customHeight="1">
      <c r="A425" s="25"/>
      <c r="B425" s="256"/>
      <c r="C425" s="255"/>
      <c r="D425" s="190"/>
      <c r="E425" s="257"/>
      <c r="F425" s="190"/>
      <c r="G425" s="258"/>
      <c r="H425" s="190"/>
      <c r="I425" s="190"/>
      <c r="J425" s="189"/>
      <c r="K425" s="189"/>
      <c r="L425" s="270" t="str">
        <f>IFERROR(__xludf.DUMMYFUNCTION("IF(
  AND(D425=""Saída"", J425=""Sangria""),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74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85" t="str">
        <f>IFERROR(__xludf.DUMMYFUNCTION("ifna(VALUE(REGEXEXTRACT(E425,""[0-9.]+[,]+[0-9]+"")))"),"")</f>
        <v/>
      </c>
      <c r="O425" s="185"/>
      <c r="P425" s="185"/>
      <c r="Q425" s="185"/>
      <c r="R425" s="185"/>
      <c r="S425" s="185"/>
      <c r="T425" s="185"/>
      <c r="U425" s="185"/>
      <c r="V425" s="185"/>
      <c r="W425" s="185"/>
    </row>
    <row r="426" ht="14.25" customHeight="1">
      <c r="A426" s="25"/>
      <c r="B426" s="256"/>
      <c r="C426" s="255"/>
      <c r="D426" s="190"/>
      <c r="E426" s="257"/>
      <c r="F426" s="190"/>
      <c r="G426" s="258"/>
      <c r="H426" s="190"/>
      <c r="I426" s="190"/>
      <c r="J426" s="189"/>
      <c r="K426" s="189"/>
      <c r="L426" s="270" t="str">
        <f>IFERROR(__xludf.DUMMYFUNCTION("IF(
  AND(D426=""Saída"", J426=""Sangria""),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72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85" t="str">
        <f>IFERROR(__xludf.DUMMYFUNCTION("ifna(VALUE(REGEXEXTRACT(E426,""[0-9.]+[,]+[0-9]+"")))"),"")</f>
        <v/>
      </c>
      <c r="O426" s="185"/>
      <c r="P426" s="185"/>
      <c r="Q426" s="185"/>
      <c r="R426" s="185"/>
      <c r="S426" s="185"/>
      <c r="T426" s="185"/>
      <c r="U426" s="185"/>
      <c r="V426" s="185"/>
      <c r="W426" s="185"/>
    </row>
    <row r="427" ht="14.25" customHeight="1">
      <c r="A427" s="25"/>
      <c r="B427" s="256"/>
      <c r="C427" s="255"/>
      <c r="D427" s="190"/>
      <c r="E427" s="257"/>
      <c r="F427" s="190"/>
      <c r="G427" s="258"/>
      <c r="H427" s="190"/>
      <c r="I427" s="190"/>
      <c r="J427" s="189"/>
      <c r="K427" s="189"/>
      <c r="L427" s="270" t="str">
        <f>IFERROR(__xludf.DUMMYFUNCTION("IF(
  AND(D427=""Saída"", J427=""Sangria""),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74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85" t="str">
        <f>IFERROR(__xludf.DUMMYFUNCTION("ifna(VALUE(REGEXEXTRACT(E427,""[0-9.]+[,]+[0-9]+"")))"),"")</f>
        <v/>
      </c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ht="14.25" customHeight="1">
      <c r="A428" s="25"/>
      <c r="B428" s="256"/>
      <c r="C428" s="255"/>
      <c r="D428" s="190"/>
      <c r="E428" s="257"/>
      <c r="F428" s="190"/>
      <c r="G428" s="258"/>
      <c r="H428" s="190"/>
      <c r="I428" s="190"/>
      <c r="J428" s="189"/>
      <c r="K428" s="189"/>
      <c r="L428" s="270" t="str">
        <f>IFERROR(__xludf.DUMMYFUNCTION("IF(
  AND(D428=""Saída"", J428=""Sangria""),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72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85" t="str">
        <f>IFERROR(__xludf.DUMMYFUNCTION("ifna(VALUE(REGEXEXTRACT(E428,""[0-9.]+[,]+[0-9]+"")))"),"")</f>
        <v/>
      </c>
      <c r="O428" s="185"/>
      <c r="P428" s="185"/>
      <c r="Q428" s="185"/>
      <c r="R428" s="185"/>
      <c r="S428" s="185"/>
      <c r="T428" s="185"/>
      <c r="U428" s="185"/>
      <c r="V428" s="185"/>
      <c r="W428" s="185"/>
    </row>
    <row r="429" ht="14.25" customHeight="1">
      <c r="A429" s="25"/>
      <c r="B429" s="256"/>
      <c r="C429" s="255"/>
      <c r="D429" s="190"/>
      <c r="E429" s="257"/>
      <c r="F429" s="190"/>
      <c r="G429" s="258"/>
      <c r="H429" s="190"/>
      <c r="I429" s="190"/>
      <c r="J429" s="189"/>
      <c r="K429" s="189"/>
      <c r="L429" s="270" t="str">
        <f>IFERROR(__xludf.DUMMYFUNCTION("IF(
  AND(D429=""Saída"", J429=""Sangria""),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74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85" t="str">
        <f>IFERROR(__xludf.DUMMYFUNCTION("ifna(VALUE(REGEXEXTRACT(E429,""[0-9.]+[,]+[0-9]+"")))"),"")</f>
        <v/>
      </c>
      <c r="O429" s="185"/>
      <c r="P429" s="185"/>
      <c r="Q429" s="185"/>
      <c r="R429" s="185"/>
      <c r="S429" s="185"/>
      <c r="T429" s="185"/>
      <c r="U429" s="185"/>
      <c r="V429" s="185"/>
      <c r="W429" s="185"/>
    </row>
    <row r="430" ht="14.25" customHeight="1">
      <c r="A430" s="25"/>
      <c r="B430" s="256"/>
      <c r="C430" s="255"/>
      <c r="D430" s="190"/>
      <c r="E430" s="257"/>
      <c r="F430" s="190"/>
      <c r="G430" s="258"/>
      <c r="H430" s="190"/>
      <c r="I430" s="190"/>
      <c r="J430" s="189"/>
      <c r="K430" s="189"/>
      <c r="L430" s="270" t="str">
        <f>IFERROR(__xludf.DUMMYFUNCTION("IF(
  AND(D430=""Saída"", J430=""Sangria""),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72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85" t="str">
        <f>IFERROR(__xludf.DUMMYFUNCTION("ifna(VALUE(REGEXEXTRACT(E430,""[0-9.]+[,]+[0-9]+"")))"),"")</f>
        <v/>
      </c>
      <c r="O430" s="185"/>
      <c r="P430" s="185"/>
      <c r="Q430" s="185"/>
      <c r="R430" s="185"/>
      <c r="S430" s="185"/>
      <c r="T430" s="185"/>
      <c r="U430" s="185"/>
      <c r="V430" s="185"/>
      <c r="W430" s="185"/>
    </row>
    <row r="431" ht="14.25" customHeight="1">
      <c r="A431" s="25"/>
      <c r="B431" s="256"/>
      <c r="C431" s="255"/>
      <c r="D431" s="190"/>
      <c r="E431" s="257"/>
      <c r="F431" s="190"/>
      <c r="G431" s="258"/>
      <c r="H431" s="190"/>
      <c r="I431" s="190"/>
      <c r="J431" s="189"/>
      <c r="K431" s="189"/>
      <c r="L431" s="270" t="str">
        <f>IFERROR(__xludf.DUMMYFUNCTION("IF(
  AND(D431=""Saída"", J431=""Sangria""),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74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85" t="str">
        <f>IFERROR(__xludf.DUMMYFUNCTION("ifna(VALUE(REGEXEXTRACT(E431,""[0-9.]+[,]+[0-9]+"")))"),"")</f>
        <v/>
      </c>
      <c r="O431" s="185"/>
      <c r="P431" s="185"/>
      <c r="Q431" s="185"/>
      <c r="R431" s="185"/>
      <c r="S431" s="185"/>
      <c r="T431" s="185"/>
      <c r="U431" s="185"/>
      <c r="V431" s="185"/>
      <c r="W431" s="185"/>
    </row>
    <row r="432" ht="14.25" customHeight="1">
      <c r="A432" s="25"/>
      <c r="B432" s="256"/>
      <c r="C432" s="255"/>
      <c r="D432" s="190"/>
      <c r="E432" s="257"/>
      <c r="F432" s="190"/>
      <c r="G432" s="258"/>
      <c r="H432" s="190"/>
      <c r="I432" s="190"/>
      <c r="J432" s="189"/>
      <c r="K432" s="189"/>
      <c r="L432" s="270" t="str">
        <f>IFERROR(__xludf.DUMMYFUNCTION("IF(
  AND(D432=""Saída"", J432=""Sangria""),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72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85" t="str">
        <f>IFERROR(__xludf.DUMMYFUNCTION("ifna(VALUE(REGEXEXTRACT(E432,""[0-9.]+[,]+[0-9]+"")))"),"")</f>
        <v/>
      </c>
      <c r="O432" s="185"/>
      <c r="P432" s="185"/>
      <c r="Q432" s="185"/>
      <c r="R432" s="185"/>
      <c r="S432" s="185"/>
      <c r="T432" s="185"/>
      <c r="U432" s="185"/>
      <c r="V432" s="185"/>
      <c r="W432" s="185"/>
    </row>
    <row r="433" ht="14.25" customHeight="1">
      <c r="A433" s="25"/>
      <c r="B433" s="256"/>
      <c r="C433" s="255"/>
      <c r="D433" s="190"/>
      <c r="E433" s="257"/>
      <c r="F433" s="190"/>
      <c r="G433" s="258"/>
      <c r="H433" s="190"/>
      <c r="I433" s="190"/>
      <c r="J433" s="189"/>
      <c r="K433" s="189"/>
      <c r="L433" s="270" t="str">
        <f>IFERROR(__xludf.DUMMYFUNCTION("IF(
  AND(D433=""Saída"", J433=""Sangria""),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74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85" t="str">
        <f>IFERROR(__xludf.DUMMYFUNCTION("ifna(VALUE(REGEXEXTRACT(E433,""[0-9.]+[,]+[0-9]+"")))"),"")</f>
        <v/>
      </c>
      <c r="O433" s="185"/>
      <c r="P433" s="185"/>
      <c r="Q433" s="185"/>
      <c r="R433" s="185"/>
      <c r="S433" s="185"/>
      <c r="T433" s="185"/>
      <c r="U433" s="185"/>
      <c r="V433" s="185"/>
      <c r="W433" s="185"/>
    </row>
    <row r="434" ht="14.25" customHeight="1">
      <c r="A434" s="25"/>
      <c r="B434" s="256"/>
      <c r="C434" s="255"/>
      <c r="D434" s="190"/>
      <c r="E434" s="257"/>
      <c r="F434" s="190"/>
      <c r="G434" s="258"/>
      <c r="H434" s="190"/>
      <c r="I434" s="190"/>
      <c r="J434" s="189"/>
      <c r="K434" s="189"/>
      <c r="L434" s="270" t="str">
        <f>IFERROR(__xludf.DUMMYFUNCTION("IF(
  AND(D434=""Saída"", J434=""Sangria""),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72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85" t="str">
        <f>IFERROR(__xludf.DUMMYFUNCTION("ifna(VALUE(REGEXEXTRACT(E434,""[0-9.]+[,]+[0-9]+"")))"),"")</f>
        <v/>
      </c>
      <c r="O434" s="185"/>
      <c r="P434" s="185"/>
      <c r="Q434" s="185"/>
      <c r="R434" s="185"/>
      <c r="S434" s="185"/>
      <c r="T434" s="185"/>
      <c r="U434" s="185"/>
      <c r="V434" s="185"/>
      <c r="W434" s="185"/>
    </row>
    <row r="435" ht="14.25" customHeight="1">
      <c r="A435" s="25"/>
      <c r="B435" s="256"/>
      <c r="C435" s="255"/>
      <c r="D435" s="190"/>
      <c r="E435" s="257"/>
      <c r="F435" s="190"/>
      <c r="G435" s="258"/>
      <c r="H435" s="190"/>
      <c r="I435" s="190"/>
      <c r="J435" s="189"/>
      <c r="K435" s="189"/>
      <c r="L435" s="270" t="str">
        <f>IFERROR(__xludf.DUMMYFUNCTION("IF(
  AND(D435=""Saída"", J435=""Sangria""),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74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85" t="str">
        <f>IFERROR(__xludf.DUMMYFUNCTION("ifna(VALUE(REGEXEXTRACT(E435,""[0-9.]+[,]+[0-9]+"")))"),"")</f>
        <v/>
      </c>
      <c r="O435" s="185"/>
      <c r="P435" s="185"/>
      <c r="Q435" s="185"/>
      <c r="R435" s="185"/>
      <c r="S435" s="185"/>
      <c r="T435" s="185"/>
      <c r="U435" s="185"/>
      <c r="V435" s="185"/>
      <c r="W435" s="185"/>
    </row>
    <row r="436" ht="14.25" customHeight="1">
      <c r="A436" s="25"/>
      <c r="B436" s="256"/>
      <c r="C436" s="255"/>
      <c r="D436" s="190"/>
      <c r="E436" s="257"/>
      <c r="F436" s="190"/>
      <c r="G436" s="258"/>
      <c r="H436" s="190"/>
      <c r="I436" s="190"/>
      <c r="J436" s="189"/>
      <c r="K436" s="189"/>
      <c r="L436" s="270" t="str">
        <f>IFERROR(__xludf.DUMMYFUNCTION("IF(
  AND(D436=""Saída"", J436=""Sangria""),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72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85" t="str">
        <f>IFERROR(__xludf.DUMMYFUNCTION("ifna(VALUE(REGEXEXTRACT(E436,""[0-9.]+[,]+[0-9]+"")))"),"")</f>
        <v/>
      </c>
      <c r="O436" s="185"/>
      <c r="P436" s="185"/>
      <c r="Q436" s="185"/>
      <c r="R436" s="185"/>
      <c r="S436" s="185"/>
      <c r="T436" s="185"/>
      <c r="U436" s="185"/>
      <c r="V436" s="185"/>
      <c r="W436" s="185"/>
    </row>
    <row r="437" ht="14.25" customHeight="1">
      <c r="A437" s="25"/>
      <c r="B437" s="256"/>
      <c r="C437" s="255"/>
      <c r="D437" s="190"/>
      <c r="E437" s="257"/>
      <c r="F437" s="190"/>
      <c r="G437" s="258"/>
      <c r="H437" s="190"/>
      <c r="I437" s="190"/>
      <c r="J437" s="189"/>
      <c r="K437" s="189"/>
      <c r="L437" s="270" t="str">
        <f>IFERROR(__xludf.DUMMYFUNCTION("IF(
  AND(D437=""Saída"", J437=""Sangria""),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74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85" t="str">
        <f>IFERROR(__xludf.DUMMYFUNCTION("ifna(VALUE(REGEXEXTRACT(E437,""[0-9.]+[,]+[0-9]+"")))"),"")</f>
        <v/>
      </c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ht="14.25" customHeight="1">
      <c r="A438" s="25"/>
      <c r="B438" s="256"/>
      <c r="C438" s="255"/>
      <c r="D438" s="190"/>
      <c r="E438" s="257"/>
      <c r="F438" s="190"/>
      <c r="G438" s="258"/>
      <c r="H438" s="190"/>
      <c r="I438" s="190"/>
      <c r="J438" s="189"/>
      <c r="K438" s="189"/>
      <c r="L438" s="270" t="str">
        <f>IFERROR(__xludf.DUMMYFUNCTION("IF(
  AND(D438=""Saída"", J438=""Sangria""),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72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85" t="str">
        <f>IFERROR(__xludf.DUMMYFUNCTION("ifna(VALUE(REGEXEXTRACT(E438,""[0-9.]+[,]+[0-9]+"")))"),"")</f>
        <v/>
      </c>
      <c r="O438" s="185"/>
      <c r="P438" s="185"/>
      <c r="Q438" s="185"/>
      <c r="R438" s="185"/>
      <c r="S438" s="185"/>
      <c r="T438" s="185"/>
      <c r="U438" s="185"/>
      <c r="V438" s="185"/>
      <c r="W438" s="185"/>
    </row>
    <row r="439" ht="14.25" customHeight="1">
      <c r="A439" s="25"/>
      <c r="B439" s="256"/>
      <c r="C439" s="255"/>
      <c r="D439" s="190"/>
      <c r="E439" s="257"/>
      <c r="F439" s="190"/>
      <c r="G439" s="258"/>
      <c r="H439" s="190"/>
      <c r="I439" s="190"/>
      <c r="J439" s="189"/>
      <c r="K439" s="189"/>
      <c r="L439" s="270" t="str">
        <f>IFERROR(__xludf.DUMMYFUNCTION("IF(
  AND(D439=""Saída"", J439=""Sangria""),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74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85" t="str">
        <f>IFERROR(__xludf.DUMMYFUNCTION("ifna(VALUE(REGEXEXTRACT(E439,""[0-9.]+[,]+[0-9]+"")))"),"")</f>
        <v/>
      </c>
      <c r="O439" s="185"/>
      <c r="P439" s="185"/>
      <c r="Q439" s="185"/>
      <c r="R439" s="185"/>
      <c r="S439" s="185"/>
      <c r="T439" s="185"/>
      <c r="U439" s="185"/>
      <c r="V439" s="185"/>
      <c r="W439" s="185"/>
    </row>
    <row r="440" ht="14.25" customHeight="1">
      <c r="A440" s="25"/>
      <c r="B440" s="256"/>
      <c r="C440" s="255"/>
      <c r="D440" s="190"/>
      <c r="E440" s="257"/>
      <c r="F440" s="190"/>
      <c r="G440" s="258"/>
      <c r="H440" s="190"/>
      <c r="I440" s="190"/>
      <c r="J440" s="189"/>
      <c r="K440" s="189"/>
      <c r="L440" s="270" t="str">
        <f>IFERROR(__xludf.DUMMYFUNCTION("IF(
  AND(D440=""Saída"", J440=""Sangria""),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72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85" t="str">
        <f>IFERROR(__xludf.DUMMYFUNCTION("ifna(VALUE(REGEXEXTRACT(E440,""[0-9.]+[,]+[0-9]+"")))"),"")</f>
        <v/>
      </c>
      <c r="O440" s="185"/>
      <c r="P440" s="185"/>
      <c r="Q440" s="185"/>
      <c r="R440" s="185"/>
      <c r="S440" s="185"/>
      <c r="T440" s="185"/>
      <c r="U440" s="185"/>
      <c r="V440" s="185"/>
      <c r="W440" s="185"/>
    </row>
    <row r="441" ht="14.25" customHeight="1">
      <c r="A441" s="25"/>
      <c r="B441" s="256"/>
      <c r="C441" s="255"/>
      <c r="D441" s="190"/>
      <c r="E441" s="257"/>
      <c r="F441" s="190"/>
      <c r="G441" s="258"/>
      <c r="H441" s="190"/>
      <c r="I441" s="190"/>
      <c r="J441" s="189"/>
      <c r="K441" s="189"/>
      <c r="L441" s="270" t="str">
        <f>IFERROR(__xludf.DUMMYFUNCTION("IF(
  AND(D441=""Saída"", J441=""Sangria""),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74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85" t="str">
        <f>IFERROR(__xludf.DUMMYFUNCTION("ifna(VALUE(REGEXEXTRACT(E441,""[0-9.]+[,]+[0-9]+"")))"),"")</f>
        <v/>
      </c>
      <c r="O441" s="185"/>
      <c r="P441" s="185"/>
      <c r="Q441" s="185"/>
      <c r="R441" s="185"/>
      <c r="S441" s="185"/>
      <c r="T441" s="185"/>
      <c r="U441" s="185"/>
      <c r="V441" s="185"/>
      <c r="W441" s="185"/>
    </row>
    <row r="442" ht="14.25" customHeight="1">
      <c r="A442" s="25"/>
      <c r="B442" s="256"/>
      <c r="C442" s="255"/>
      <c r="D442" s="190"/>
      <c r="E442" s="257"/>
      <c r="F442" s="190"/>
      <c r="G442" s="258"/>
      <c r="H442" s="190"/>
      <c r="I442" s="190"/>
      <c r="J442" s="189"/>
      <c r="K442" s="189"/>
      <c r="L442" s="270" t="str">
        <f>IFERROR(__xludf.DUMMYFUNCTION("IF(
  AND(D442=""Saída"", J442=""Sangria""),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72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85" t="str">
        <f>IFERROR(__xludf.DUMMYFUNCTION("ifna(VALUE(REGEXEXTRACT(E442,""[0-9.]+[,]+[0-9]+"")))"),"")</f>
        <v/>
      </c>
      <c r="O442" s="185"/>
      <c r="P442" s="185"/>
      <c r="Q442" s="185"/>
      <c r="R442" s="185"/>
      <c r="S442" s="185"/>
      <c r="T442" s="185"/>
      <c r="U442" s="185"/>
      <c r="V442" s="185"/>
      <c r="W442" s="185"/>
    </row>
    <row r="443" ht="14.25" customHeight="1">
      <c r="A443" s="25"/>
      <c r="B443" s="256"/>
      <c r="C443" s="255"/>
      <c r="D443" s="190"/>
      <c r="E443" s="257"/>
      <c r="F443" s="190"/>
      <c r="G443" s="258"/>
      <c r="H443" s="190"/>
      <c r="I443" s="190"/>
      <c r="J443" s="189"/>
      <c r="K443" s="189"/>
      <c r="L443" s="270" t="str">
        <f>IFERROR(__xludf.DUMMYFUNCTION("IF(
  AND(D443=""Saída"", J443=""Sangria""),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74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85" t="str">
        <f>IFERROR(__xludf.DUMMYFUNCTION("ifna(VALUE(REGEXEXTRACT(E443,""[0-9.]+[,]+[0-9]+"")))"),"")</f>
        <v/>
      </c>
      <c r="O443" s="185"/>
      <c r="P443" s="185"/>
      <c r="Q443" s="185"/>
      <c r="R443" s="185"/>
      <c r="S443" s="185"/>
      <c r="T443" s="185"/>
      <c r="U443" s="185"/>
      <c r="V443" s="185"/>
      <c r="W443" s="185"/>
    </row>
    <row r="444" ht="14.25" customHeight="1">
      <c r="A444" s="25"/>
      <c r="B444" s="256"/>
      <c r="C444" s="255"/>
      <c r="D444" s="190"/>
      <c r="E444" s="257"/>
      <c r="F444" s="190"/>
      <c r="G444" s="258"/>
      <c r="H444" s="190"/>
      <c r="I444" s="190"/>
      <c r="J444" s="189"/>
      <c r="K444" s="189"/>
      <c r="L444" s="270" t="str">
        <f>IFERROR(__xludf.DUMMYFUNCTION("IF(
  AND(D444=""Saída"", J444=""Sangria""),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72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85" t="str">
        <f>IFERROR(__xludf.DUMMYFUNCTION("ifna(VALUE(REGEXEXTRACT(E444,""[0-9.]+[,]+[0-9]+"")))"),"")</f>
        <v/>
      </c>
      <c r="O444" s="185"/>
      <c r="P444" s="185"/>
      <c r="Q444" s="185"/>
      <c r="R444" s="185"/>
      <c r="S444" s="185"/>
      <c r="T444" s="185"/>
      <c r="U444" s="185"/>
      <c r="V444" s="185"/>
      <c r="W444" s="185"/>
    </row>
    <row r="445" ht="14.25" customHeight="1">
      <c r="A445" s="25"/>
      <c r="B445" s="256"/>
      <c r="C445" s="255"/>
      <c r="D445" s="190"/>
      <c r="E445" s="257"/>
      <c r="F445" s="190"/>
      <c r="G445" s="258"/>
      <c r="H445" s="190"/>
      <c r="I445" s="190"/>
      <c r="J445" s="189"/>
      <c r="K445" s="189"/>
      <c r="L445" s="270" t="str">
        <f>IFERROR(__xludf.DUMMYFUNCTION("IF(
  AND(D445=""Saída"", J445=""Sangria""),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74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85" t="str">
        <f>IFERROR(__xludf.DUMMYFUNCTION("ifna(VALUE(REGEXEXTRACT(E445,""[0-9.]+[,]+[0-9]+"")))"),"")</f>
        <v/>
      </c>
      <c r="O445" s="185"/>
      <c r="P445" s="185"/>
      <c r="Q445" s="185"/>
      <c r="R445" s="185"/>
      <c r="S445" s="185"/>
      <c r="T445" s="185"/>
      <c r="U445" s="185"/>
      <c r="V445" s="185"/>
      <c r="W445" s="185"/>
    </row>
    <row r="446" ht="14.25" customHeight="1">
      <c r="A446" s="25"/>
      <c r="B446" s="256"/>
      <c r="C446" s="255"/>
      <c r="D446" s="190"/>
      <c r="E446" s="257"/>
      <c r="F446" s="190"/>
      <c r="G446" s="258"/>
      <c r="H446" s="190"/>
      <c r="I446" s="190"/>
      <c r="J446" s="189"/>
      <c r="K446" s="189"/>
      <c r="L446" s="270" t="str">
        <f>IFERROR(__xludf.DUMMYFUNCTION("IF(
  AND(D446=""Saída"", J446=""Sangria""),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72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85" t="str">
        <f>IFERROR(__xludf.DUMMYFUNCTION("ifna(VALUE(REGEXEXTRACT(E446,""[0-9.]+[,]+[0-9]+"")))"),"")</f>
        <v/>
      </c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ht="14.25" customHeight="1">
      <c r="A447" s="25"/>
      <c r="B447" s="256"/>
      <c r="C447" s="255"/>
      <c r="D447" s="190"/>
      <c r="E447" s="257"/>
      <c r="F447" s="190"/>
      <c r="G447" s="258"/>
      <c r="H447" s="190"/>
      <c r="I447" s="190"/>
      <c r="J447" s="189"/>
      <c r="K447" s="189"/>
      <c r="L447" s="270" t="str">
        <f>IFERROR(__xludf.DUMMYFUNCTION("IF(
  AND(D447=""Saída"", J447=""Sangria""),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74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85" t="str">
        <f>IFERROR(__xludf.DUMMYFUNCTION("ifna(VALUE(REGEXEXTRACT(E447,""[0-9.]+[,]+[0-9]+"")))"),"")</f>
        <v/>
      </c>
      <c r="O447" s="185"/>
      <c r="P447" s="185"/>
      <c r="Q447" s="185"/>
      <c r="R447" s="185"/>
      <c r="S447" s="185"/>
      <c r="T447" s="185"/>
      <c r="U447" s="185"/>
      <c r="V447" s="185"/>
      <c r="W447" s="185"/>
    </row>
    <row r="448" ht="14.25" customHeight="1">
      <c r="A448" s="25"/>
      <c r="B448" s="256"/>
      <c r="C448" s="255"/>
      <c r="D448" s="190"/>
      <c r="E448" s="257"/>
      <c r="F448" s="190"/>
      <c r="G448" s="258"/>
      <c r="H448" s="190"/>
      <c r="I448" s="190"/>
      <c r="J448" s="189"/>
      <c r="K448" s="189"/>
      <c r="L448" s="270" t="str">
        <f>IFERROR(__xludf.DUMMYFUNCTION("IF(
  AND(D448=""Saída"", J448=""Sangria""),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72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85" t="str">
        <f>IFERROR(__xludf.DUMMYFUNCTION("ifna(VALUE(REGEXEXTRACT(E448,""[0-9.]+[,]+[0-9]+"")))"),"")</f>
        <v/>
      </c>
      <c r="O448" s="185"/>
      <c r="P448" s="185"/>
      <c r="Q448" s="185"/>
      <c r="R448" s="185"/>
      <c r="S448" s="185"/>
      <c r="T448" s="185"/>
      <c r="U448" s="185"/>
      <c r="V448" s="185"/>
      <c r="W448" s="185"/>
    </row>
    <row r="449" ht="14.25" customHeight="1">
      <c r="A449" s="25"/>
      <c r="B449" s="256"/>
      <c r="C449" s="255"/>
      <c r="D449" s="190"/>
      <c r="E449" s="257"/>
      <c r="F449" s="190"/>
      <c r="G449" s="258"/>
      <c r="H449" s="190"/>
      <c r="I449" s="190"/>
      <c r="J449" s="189"/>
      <c r="K449" s="189"/>
      <c r="L449" s="270" t="str">
        <f>IFERROR(__xludf.DUMMYFUNCTION("IF(
  AND(D449=""Saída"", J449=""Sangria""),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74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85" t="str">
        <f>IFERROR(__xludf.DUMMYFUNCTION("ifna(VALUE(REGEXEXTRACT(E449,""[0-9.]+[,]+[0-9]+"")))"),"")</f>
        <v/>
      </c>
      <c r="O449" s="185"/>
      <c r="P449" s="185"/>
      <c r="Q449" s="185"/>
      <c r="R449" s="185"/>
      <c r="S449" s="185"/>
      <c r="T449" s="185"/>
      <c r="U449" s="185"/>
      <c r="V449" s="185"/>
      <c r="W449" s="185"/>
    </row>
    <row r="450" ht="14.25" customHeight="1">
      <c r="A450" s="25"/>
      <c r="B450" s="256"/>
      <c r="C450" s="255"/>
      <c r="D450" s="190"/>
      <c r="E450" s="257"/>
      <c r="F450" s="190"/>
      <c r="G450" s="258"/>
      <c r="H450" s="190"/>
      <c r="I450" s="190"/>
      <c r="J450" s="189"/>
      <c r="K450" s="189"/>
      <c r="L450" s="270" t="str">
        <f>IFERROR(__xludf.DUMMYFUNCTION("IF(
  AND(D450=""Saída"", J450=""Sangria""),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72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85" t="str">
        <f>IFERROR(__xludf.DUMMYFUNCTION("ifna(VALUE(REGEXEXTRACT(E450,""[0-9.]+[,]+[0-9]+"")))"),"")</f>
        <v/>
      </c>
      <c r="O450" s="185"/>
      <c r="P450" s="185"/>
      <c r="Q450" s="185"/>
      <c r="R450" s="185"/>
      <c r="S450" s="185"/>
      <c r="T450" s="185"/>
      <c r="U450" s="185"/>
      <c r="V450" s="185"/>
      <c r="W450" s="185"/>
    </row>
    <row r="451" ht="14.25" customHeight="1">
      <c r="A451" s="25"/>
      <c r="B451" s="256"/>
      <c r="C451" s="255"/>
      <c r="D451" s="190"/>
      <c r="E451" s="257"/>
      <c r="F451" s="190"/>
      <c r="G451" s="258"/>
      <c r="H451" s="190"/>
      <c r="I451" s="190"/>
      <c r="J451" s="189"/>
      <c r="K451" s="189"/>
      <c r="L451" s="270" t="str">
        <f>IFERROR(__xludf.DUMMYFUNCTION("IF(
  AND(D451=""Saída"", J451=""Sangria""),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74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85" t="str">
        <f>IFERROR(__xludf.DUMMYFUNCTION("ifna(VALUE(REGEXEXTRACT(E451,""[0-9.]+[,]+[0-9]+"")))"),"")</f>
        <v/>
      </c>
      <c r="O451" s="185"/>
      <c r="P451" s="185"/>
      <c r="Q451" s="185"/>
      <c r="R451" s="185"/>
      <c r="S451" s="185"/>
      <c r="T451" s="185"/>
      <c r="U451" s="185"/>
      <c r="V451" s="185"/>
      <c r="W451" s="185"/>
    </row>
    <row r="452" ht="14.25" customHeight="1">
      <c r="A452" s="25"/>
      <c r="B452" s="256"/>
      <c r="C452" s="255"/>
      <c r="D452" s="190"/>
      <c r="E452" s="257"/>
      <c r="F452" s="190"/>
      <c r="G452" s="258"/>
      <c r="H452" s="190"/>
      <c r="I452" s="190"/>
      <c r="J452" s="189"/>
      <c r="K452" s="189"/>
      <c r="L452" s="270" t="str">
        <f>IFERROR(__xludf.DUMMYFUNCTION("IF(
  AND(D452=""Saída"", J452=""Sangria""),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72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85" t="str">
        <f>IFERROR(__xludf.DUMMYFUNCTION("ifna(VALUE(REGEXEXTRACT(E452,""[0-9.]+[,]+[0-9]+"")))"),"")</f>
        <v/>
      </c>
      <c r="O452" s="185"/>
      <c r="P452" s="185"/>
      <c r="Q452" s="185"/>
      <c r="R452" s="185"/>
      <c r="S452" s="185"/>
      <c r="T452" s="185"/>
      <c r="U452" s="185"/>
      <c r="V452" s="185"/>
      <c r="W452" s="185"/>
    </row>
    <row r="453" ht="14.25" customHeight="1">
      <c r="A453" s="25"/>
      <c r="B453" s="256"/>
      <c r="C453" s="255"/>
      <c r="D453" s="190"/>
      <c r="E453" s="257"/>
      <c r="F453" s="190"/>
      <c r="G453" s="258"/>
      <c r="H453" s="190"/>
      <c r="I453" s="190"/>
      <c r="J453" s="189"/>
      <c r="K453" s="189"/>
      <c r="L453" s="270" t="str">
        <f>IFERROR(__xludf.DUMMYFUNCTION("IF(
  AND(D453=""Saída"", J453=""Sangria""),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74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85" t="str">
        <f>IFERROR(__xludf.DUMMYFUNCTION("ifna(VALUE(REGEXEXTRACT(E453,""[0-9.]+[,]+[0-9]+"")))"),"")</f>
        <v/>
      </c>
      <c r="O453" s="185"/>
      <c r="P453" s="185"/>
      <c r="Q453" s="185"/>
      <c r="R453" s="185"/>
      <c r="S453" s="185"/>
      <c r="T453" s="185"/>
      <c r="U453" s="185"/>
      <c r="V453" s="185"/>
      <c r="W453" s="185"/>
    </row>
    <row r="454" ht="14.25" customHeight="1">
      <c r="A454" s="25"/>
      <c r="B454" s="256"/>
      <c r="C454" s="255"/>
      <c r="D454" s="190"/>
      <c r="E454" s="257"/>
      <c r="F454" s="190"/>
      <c r="G454" s="258"/>
      <c r="H454" s="190"/>
      <c r="I454" s="190"/>
      <c r="J454" s="189"/>
      <c r="K454" s="189"/>
      <c r="L454" s="270" t="str">
        <f>IFERROR(__xludf.DUMMYFUNCTION("IF(
  AND(D454=""Saída"", J454=""Sangria""),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72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85" t="str">
        <f>IFERROR(__xludf.DUMMYFUNCTION("ifna(VALUE(REGEXEXTRACT(E454,""[0-9.]+[,]+[0-9]+"")))"),"")</f>
        <v/>
      </c>
      <c r="O454" s="185"/>
      <c r="P454" s="185"/>
      <c r="Q454" s="185"/>
      <c r="R454" s="185"/>
      <c r="S454" s="185"/>
      <c r="T454" s="185"/>
      <c r="U454" s="185"/>
      <c r="V454" s="185"/>
      <c r="W454" s="185"/>
    </row>
    <row r="455" ht="14.25" customHeight="1">
      <c r="A455" s="25"/>
      <c r="B455" s="256"/>
      <c r="C455" s="255"/>
      <c r="D455" s="190"/>
      <c r="E455" s="257"/>
      <c r="F455" s="190"/>
      <c r="G455" s="258"/>
      <c r="H455" s="190"/>
      <c r="I455" s="190"/>
      <c r="J455" s="189"/>
      <c r="K455" s="189"/>
      <c r="L455" s="270" t="str">
        <f>IFERROR(__xludf.DUMMYFUNCTION("IF(
  AND(D455=""Saída"", J455=""Sangria""),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74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85" t="str">
        <f>IFERROR(__xludf.DUMMYFUNCTION("ifna(VALUE(REGEXEXTRACT(E455,""[0-9.]+[,]+[0-9]+"")))"),"")</f>
        <v/>
      </c>
      <c r="O455" s="185"/>
      <c r="P455" s="185"/>
      <c r="Q455" s="185"/>
      <c r="R455" s="185"/>
      <c r="S455" s="185"/>
      <c r="T455" s="185"/>
      <c r="U455" s="185"/>
      <c r="V455" s="185"/>
      <c r="W455" s="185"/>
    </row>
    <row r="456" ht="14.25" customHeight="1">
      <c r="A456" s="25"/>
      <c r="B456" s="256"/>
      <c r="C456" s="255"/>
      <c r="D456" s="190"/>
      <c r="E456" s="257"/>
      <c r="F456" s="190"/>
      <c r="G456" s="258"/>
      <c r="H456" s="190"/>
      <c r="I456" s="190"/>
      <c r="J456" s="189"/>
      <c r="K456" s="189"/>
      <c r="L456" s="270" t="str">
        <f>IFERROR(__xludf.DUMMYFUNCTION("IF(
  AND(D456=""Saída"", J456=""Sangria""),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72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85" t="str">
        <f>IFERROR(__xludf.DUMMYFUNCTION("ifna(VALUE(REGEXEXTRACT(E456,""[0-9.]+[,]+[0-9]+"")))"),"")</f>
        <v/>
      </c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ht="14.25" customHeight="1">
      <c r="A457" s="25"/>
      <c r="B457" s="256"/>
      <c r="C457" s="255"/>
      <c r="D457" s="190"/>
      <c r="E457" s="257"/>
      <c r="F457" s="190"/>
      <c r="G457" s="258"/>
      <c r="H457" s="190"/>
      <c r="I457" s="190"/>
      <c r="J457" s="189"/>
      <c r="K457" s="189"/>
      <c r="L457" s="270" t="str">
        <f>IFERROR(__xludf.DUMMYFUNCTION("IF(
  AND(D457=""Saída"", J457=""Sangria""),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74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85" t="str">
        <f>IFERROR(__xludf.DUMMYFUNCTION("ifna(VALUE(REGEXEXTRACT(E457,""[0-9.]+[,]+[0-9]+"")))"),"")</f>
        <v/>
      </c>
      <c r="O457" s="185"/>
      <c r="P457" s="185"/>
      <c r="Q457" s="185"/>
      <c r="R457" s="185"/>
      <c r="S457" s="185"/>
      <c r="T457" s="185"/>
      <c r="U457" s="185"/>
      <c r="V457" s="185"/>
      <c r="W457" s="185"/>
    </row>
    <row r="458" ht="14.25" customHeight="1">
      <c r="A458" s="25"/>
      <c r="B458" s="256"/>
      <c r="C458" s="255"/>
      <c r="D458" s="190"/>
      <c r="E458" s="257"/>
      <c r="F458" s="190"/>
      <c r="G458" s="258"/>
      <c r="H458" s="190"/>
      <c r="I458" s="190"/>
      <c r="J458" s="189"/>
      <c r="K458" s="189"/>
      <c r="L458" s="270" t="str">
        <f>IFERROR(__xludf.DUMMYFUNCTION("IF(
  AND(D458=""Saída"", J458=""Sangria""),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72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85" t="str">
        <f>IFERROR(__xludf.DUMMYFUNCTION("ifna(VALUE(REGEXEXTRACT(E458,""[0-9.]+[,]+[0-9]+"")))"),"")</f>
        <v/>
      </c>
      <c r="O458" s="185"/>
      <c r="P458" s="185"/>
      <c r="Q458" s="185"/>
      <c r="R458" s="185"/>
      <c r="S458" s="185"/>
      <c r="T458" s="185"/>
      <c r="U458" s="185"/>
      <c r="V458" s="185"/>
      <c r="W458" s="185"/>
    </row>
    <row r="459" ht="14.25" customHeight="1">
      <c r="A459" s="25"/>
      <c r="B459" s="256"/>
      <c r="C459" s="255"/>
      <c r="D459" s="190"/>
      <c r="E459" s="257"/>
      <c r="F459" s="190"/>
      <c r="G459" s="258"/>
      <c r="H459" s="190"/>
      <c r="I459" s="190"/>
      <c r="J459" s="189"/>
      <c r="K459" s="189"/>
      <c r="L459" s="270" t="str">
        <f>IFERROR(__xludf.DUMMYFUNCTION("IF(
  AND(D459=""Saída"", J459=""Sangria""),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74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85" t="str">
        <f>IFERROR(__xludf.DUMMYFUNCTION("ifna(VALUE(REGEXEXTRACT(E459,""[0-9.]+[,]+[0-9]+"")))"),"")</f>
        <v/>
      </c>
      <c r="O459" s="185"/>
      <c r="P459" s="185"/>
      <c r="Q459" s="185"/>
      <c r="R459" s="185"/>
      <c r="S459" s="185"/>
      <c r="T459" s="185"/>
      <c r="U459" s="185"/>
      <c r="V459" s="185"/>
      <c r="W459" s="185"/>
    </row>
    <row r="460" ht="14.25" customHeight="1">
      <c r="A460" s="25"/>
      <c r="B460" s="256"/>
      <c r="C460" s="255"/>
      <c r="D460" s="190"/>
      <c r="E460" s="257"/>
      <c r="F460" s="190"/>
      <c r="G460" s="258"/>
      <c r="H460" s="190"/>
      <c r="I460" s="190"/>
      <c r="J460" s="189"/>
      <c r="K460" s="189"/>
      <c r="L460" s="270" t="str">
        <f>IFERROR(__xludf.DUMMYFUNCTION("IF(
  AND(D460=""Saída"", J460=""Sangria""),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72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85" t="str">
        <f>IFERROR(__xludf.DUMMYFUNCTION("ifna(VALUE(REGEXEXTRACT(E460,""[0-9.]+[,]+[0-9]+"")))"),"")</f>
        <v/>
      </c>
      <c r="O460" s="185"/>
      <c r="P460" s="185"/>
      <c r="Q460" s="185"/>
      <c r="R460" s="185"/>
      <c r="S460" s="185"/>
      <c r="T460" s="185"/>
      <c r="U460" s="185"/>
      <c r="V460" s="185"/>
      <c r="W460" s="185"/>
    </row>
    <row r="461" ht="14.25" customHeight="1">
      <c r="A461" s="25"/>
      <c r="B461" s="256"/>
      <c r="C461" s="255"/>
      <c r="D461" s="190"/>
      <c r="E461" s="257"/>
      <c r="F461" s="190"/>
      <c r="G461" s="258"/>
      <c r="H461" s="190"/>
      <c r="I461" s="190"/>
      <c r="J461" s="189"/>
      <c r="K461" s="189"/>
      <c r="L461" s="270" t="str">
        <f>IFERROR(__xludf.DUMMYFUNCTION("IF(
  AND(D461=""Saída"", J461=""Sangria""),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74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85" t="str">
        <f>IFERROR(__xludf.DUMMYFUNCTION("ifna(VALUE(REGEXEXTRACT(E461,""[0-9.]+[,]+[0-9]+"")))"),"")</f>
        <v/>
      </c>
      <c r="O461" s="185"/>
      <c r="P461" s="185"/>
      <c r="Q461" s="185"/>
      <c r="R461" s="185"/>
      <c r="S461" s="185"/>
      <c r="T461" s="185"/>
      <c r="U461" s="185"/>
      <c r="V461" s="185"/>
      <c r="W461" s="185"/>
    </row>
    <row r="462" ht="14.25" customHeight="1">
      <c r="A462" s="25"/>
      <c r="B462" s="256"/>
      <c r="C462" s="255"/>
      <c r="D462" s="190"/>
      <c r="E462" s="257"/>
      <c r="F462" s="190"/>
      <c r="G462" s="258"/>
      <c r="H462" s="190"/>
      <c r="I462" s="190"/>
      <c r="J462" s="189"/>
      <c r="K462" s="189"/>
      <c r="L462" s="270" t="str">
        <f>IFERROR(__xludf.DUMMYFUNCTION("IF(
  AND(D462=""Saída"", J462=""Sangria""),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72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85" t="str">
        <f>IFERROR(__xludf.DUMMYFUNCTION("ifna(VALUE(REGEXEXTRACT(E462,""[0-9.]+[,]+[0-9]+"")))"),"")</f>
        <v/>
      </c>
      <c r="O462" s="185"/>
      <c r="P462" s="185"/>
      <c r="Q462" s="185"/>
      <c r="R462" s="185"/>
      <c r="S462" s="185"/>
      <c r="T462" s="185"/>
      <c r="U462" s="185"/>
      <c r="V462" s="185"/>
      <c r="W462" s="185"/>
    </row>
    <row r="463" ht="14.25" customHeight="1">
      <c r="A463" s="25"/>
      <c r="B463" s="256"/>
      <c r="C463" s="255"/>
      <c r="D463" s="190"/>
      <c r="E463" s="257"/>
      <c r="F463" s="190"/>
      <c r="G463" s="258"/>
      <c r="H463" s="190"/>
      <c r="I463" s="190"/>
      <c r="J463" s="189"/>
      <c r="K463" s="189"/>
      <c r="L463" s="270" t="str">
        <f>IFERROR(__xludf.DUMMYFUNCTION("IF(
  AND(D463=""Saída"", J463=""Sangria""),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74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85" t="str">
        <f>IFERROR(__xludf.DUMMYFUNCTION("ifna(VALUE(REGEXEXTRACT(E463,""[0-9.]+[,]+[0-9]+"")))"),"")</f>
        <v/>
      </c>
      <c r="O463" s="185"/>
      <c r="P463" s="185"/>
      <c r="Q463" s="185"/>
      <c r="R463" s="185"/>
      <c r="S463" s="185"/>
      <c r="T463" s="185"/>
      <c r="U463" s="185"/>
      <c r="V463" s="185"/>
      <c r="W463" s="185"/>
    </row>
    <row r="464" ht="14.25" customHeight="1">
      <c r="A464" s="25"/>
      <c r="B464" s="256"/>
      <c r="C464" s="255"/>
      <c r="D464" s="190"/>
      <c r="E464" s="257"/>
      <c r="F464" s="190"/>
      <c r="G464" s="258"/>
      <c r="H464" s="190"/>
      <c r="I464" s="190"/>
      <c r="J464" s="189"/>
      <c r="K464" s="189"/>
      <c r="L464" s="270" t="str">
        <f>IFERROR(__xludf.DUMMYFUNCTION("IF(
  AND(D464=""Saída"", J464=""Sangria""),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72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85" t="str">
        <f>IFERROR(__xludf.DUMMYFUNCTION("ifna(VALUE(REGEXEXTRACT(E464,""[0-9.]+[,]+[0-9]+"")))"),"")</f>
        <v/>
      </c>
      <c r="O464" s="185"/>
      <c r="P464" s="185"/>
      <c r="Q464" s="185"/>
      <c r="R464" s="185"/>
      <c r="S464" s="185"/>
      <c r="T464" s="185"/>
      <c r="U464" s="185"/>
      <c r="V464" s="185"/>
      <c r="W464" s="185"/>
    </row>
    <row r="465" ht="14.25" customHeight="1">
      <c r="A465" s="25"/>
      <c r="B465" s="256"/>
      <c r="C465" s="255"/>
      <c r="D465" s="190"/>
      <c r="E465" s="257"/>
      <c r="F465" s="190"/>
      <c r="G465" s="258"/>
      <c r="H465" s="190"/>
      <c r="I465" s="190"/>
      <c r="J465" s="189"/>
      <c r="K465" s="189"/>
      <c r="L465" s="270" t="str">
        <f>IFERROR(__xludf.DUMMYFUNCTION("IF(
  AND(D465=""Saída"", J465=""Sangria""),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74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85" t="str">
        <f>IFERROR(__xludf.DUMMYFUNCTION("ifna(VALUE(REGEXEXTRACT(E465,""[0-9.]+[,]+[0-9]+"")))"),"")</f>
        <v/>
      </c>
      <c r="O465" s="185"/>
      <c r="P465" s="185"/>
      <c r="Q465" s="185"/>
      <c r="R465" s="185"/>
      <c r="S465" s="185"/>
      <c r="T465" s="185"/>
      <c r="U465" s="185"/>
      <c r="V465" s="185"/>
      <c r="W465" s="185"/>
    </row>
    <row r="466" ht="14.25" customHeight="1">
      <c r="A466" s="25"/>
      <c r="B466" s="256"/>
      <c r="C466" s="255"/>
      <c r="D466" s="190"/>
      <c r="E466" s="257"/>
      <c r="F466" s="190"/>
      <c r="G466" s="258"/>
      <c r="H466" s="190"/>
      <c r="I466" s="190"/>
      <c r="J466" s="189"/>
      <c r="K466" s="189"/>
      <c r="L466" s="270" t="str">
        <f>IFERROR(__xludf.DUMMYFUNCTION("IF(
  AND(D466=""Saída"", J466=""Sangria""),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72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85" t="str">
        <f>IFERROR(__xludf.DUMMYFUNCTION("ifna(VALUE(REGEXEXTRACT(E466,""[0-9.]+[,]+[0-9]+"")))"),"")</f>
        <v/>
      </c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ht="14.25" customHeight="1">
      <c r="A467" s="25"/>
      <c r="B467" s="256"/>
      <c r="C467" s="255"/>
      <c r="D467" s="190"/>
      <c r="E467" s="257"/>
      <c r="F467" s="190"/>
      <c r="G467" s="258"/>
      <c r="H467" s="190"/>
      <c r="I467" s="190"/>
      <c r="J467" s="189"/>
      <c r="K467" s="189"/>
      <c r="L467" s="270" t="str">
        <f>IFERROR(__xludf.DUMMYFUNCTION("IF(
  AND(D467=""Saída"", J467=""Sangria""),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74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85" t="str">
        <f>IFERROR(__xludf.DUMMYFUNCTION("ifna(VALUE(REGEXEXTRACT(E467,""[0-9.]+[,]+[0-9]+"")))"),"")</f>
        <v/>
      </c>
      <c r="O467" s="185"/>
      <c r="P467" s="185"/>
      <c r="Q467" s="185"/>
      <c r="R467" s="185"/>
      <c r="S467" s="185"/>
      <c r="T467" s="185"/>
      <c r="U467" s="185"/>
      <c r="V467" s="185"/>
      <c r="W467" s="185"/>
    </row>
    <row r="468" ht="14.25" customHeight="1">
      <c r="A468" s="25"/>
      <c r="B468" s="256"/>
      <c r="C468" s="255"/>
      <c r="D468" s="190"/>
      <c r="E468" s="257"/>
      <c r="F468" s="190"/>
      <c r="G468" s="258"/>
      <c r="H468" s="190"/>
      <c r="I468" s="190"/>
      <c r="J468" s="189"/>
      <c r="K468" s="189"/>
      <c r="L468" s="270" t="str">
        <f>IFERROR(__xludf.DUMMYFUNCTION("IF(
  AND(D468=""Saída"", J468=""Sangria""),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72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85" t="str">
        <f>IFERROR(__xludf.DUMMYFUNCTION("ifna(VALUE(REGEXEXTRACT(E468,""[0-9.]+[,]+[0-9]+"")))"),"")</f>
        <v/>
      </c>
      <c r="O468" s="185"/>
      <c r="P468" s="185"/>
      <c r="Q468" s="185"/>
      <c r="R468" s="185"/>
      <c r="S468" s="185"/>
      <c r="T468" s="185"/>
      <c r="U468" s="185"/>
      <c r="V468" s="185"/>
      <c r="W468" s="185"/>
    </row>
    <row r="469" ht="14.25" customHeight="1">
      <c r="A469" s="25"/>
      <c r="B469" s="256"/>
      <c r="C469" s="255"/>
      <c r="D469" s="190"/>
      <c r="E469" s="257"/>
      <c r="F469" s="190"/>
      <c r="G469" s="258"/>
      <c r="H469" s="190"/>
      <c r="I469" s="190"/>
      <c r="J469" s="189"/>
      <c r="K469" s="189"/>
      <c r="L469" s="270" t="str">
        <f>IFERROR(__xludf.DUMMYFUNCTION("IF(
  AND(D469=""Saída"", J469=""Sangria""),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74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85" t="str">
        <f>IFERROR(__xludf.DUMMYFUNCTION("ifna(VALUE(REGEXEXTRACT(E469,""[0-9.]+[,]+[0-9]+"")))"),"")</f>
        <v/>
      </c>
      <c r="O469" s="185"/>
      <c r="P469" s="185"/>
      <c r="Q469" s="185"/>
      <c r="R469" s="185"/>
      <c r="S469" s="185"/>
      <c r="T469" s="185"/>
      <c r="U469" s="185"/>
      <c r="V469" s="185"/>
      <c r="W469" s="185"/>
    </row>
    <row r="470" ht="14.25" customHeight="1">
      <c r="A470" s="25"/>
      <c r="B470" s="256"/>
      <c r="C470" s="255"/>
      <c r="D470" s="190"/>
      <c r="E470" s="257"/>
      <c r="F470" s="190"/>
      <c r="G470" s="258"/>
      <c r="H470" s="190"/>
      <c r="I470" s="190"/>
      <c r="J470" s="189"/>
      <c r="K470" s="189"/>
      <c r="L470" s="270" t="str">
        <f>IFERROR(__xludf.DUMMYFUNCTION("IF(
  AND(D470=""Saída"", J470=""Sangria""),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72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85" t="str">
        <f>IFERROR(__xludf.DUMMYFUNCTION("ifna(VALUE(REGEXEXTRACT(E470,""[0-9.]+[,]+[0-9]+"")))"),"")</f>
        <v/>
      </c>
      <c r="O470" s="185"/>
      <c r="P470" s="185"/>
      <c r="Q470" s="185"/>
      <c r="R470" s="185"/>
      <c r="S470" s="185"/>
      <c r="T470" s="185"/>
      <c r="U470" s="185"/>
      <c r="V470" s="185"/>
      <c r="W470" s="185"/>
    </row>
    <row r="471" ht="14.25" customHeight="1">
      <c r="A471" s="25"/>
      <c r="B471" s="256"/>
      <c r="C471" s="255"/>
      <c r="D471" s="190"/>
      <c r="E471" s="257"/>
      <c r="F471" s="190"/>
      <c r="G471" s="258"/>
      <c r="H471" s="190"/>
      <c r="I471" s="190"/>
      <c r="J471" s="189"/>
      <c r="K471" s="189"/>
      <c r="L471" s="270" t="str">
        <f>IFERROR(__xludf.DUMMYFUNCTION("IF(
  AND(D471=""Saída"", J471=""Sangria""),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74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85" t="str">
        <f>IFERROR(__xludf.DUMMYFUNCTION("ifna(VALUE(REGEXEXTRACT(E471,""[0-9.]+[,]+[0-9]+"")))"),"")</f>
        <v/>
      </c>
      <c r="O471" s="185"/>
      <c r="P471" s="185"/>
      <c r="Q471" s="185"/>
      <c r="R471" s="185"/>
      <c r="S471" s="185"/>
      <c r="T471" s="185"/>
      <c r="U471" s="185"/>
      <c r="V471" s="185"/>
      <c r="W471" s="185"/>
    </row>
    <row r="472" ht="14.25" customHeight="1">
      <c r="A472" s="25"/>
      <c r="B472" s="256"/>
      <c r="C472" s="255"/>
      <c r="D472" s="190"/>
      <c r="E472" s="257"/>
      <c r="F472" s="190"/>
      <c r="G472" s="258"/>
      <c r="H472" s="190"/>
      <c r="I472" s="190"/>
      <c r="J472" s="189"/>
      <c r="K472" s="189"/>
      <c r="L472" s="270" t="str">
        <f>IFERROR(__xludf.DUMMYFUNCTION("IF(
  AND(D472=""Saída"", J472=""Sangria""),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72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85" t="str">
        <f>IFERROR(__xludf.DUMMYFUNCTION("ifna(VALUE(REGEXEXTRACT(E472,""[0-9.]+[,]+[0-9]+"")))"),"")</f>
        <v/>
      </c>
      <c r="O472" s="185"/>
      <c r="P472" s="185"/>
      <c r="Q472" s="185"/>
      <c r="R472" s="185"/>
      <c r="S472" s="185"/>
      <c r="T472" s="185"/>
      <c r="U472" s="185"/>
      <c r="V472" s="185"/>
      <c r="W472" s="185"/>
    </row>
    <row r="473" ht="14.25" customHeight="1">
      <c r="A473" s="25"/>
      <c r="B473" s="256"/>
      <c r="C473" s="255"/>
      <c r="D473" s="190"/>
      <c r="E473" s="257"/>
      <c r="F473" s="190"/>
      <c r="G473" s="258"/>
      <c r="H473" s="190"/>
      <c r="I473" s="190"/>
      <c r="J473" s="189"/>
      <c r="K473" s="189"/>
      <c r="L473" s="270" t="str">
        <f>IFERROR(__xludf.DUMMYFUNCTION("IF(
  AND(D473=""Saída"", J473=""Sangria""),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74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85" t="str">
        <f>IFERROR(__xludf.DUMMYFUNCTION("ifna(VALUE(REGEXEXTRACT(E473,""[0-9.]+[,]+[0-9]+"")))"),"")</f>
        <v/>
      </c>
      <c r="O473" s="185"/>
      <c r="P473" s="185"/>
      <c r="Q473" s="185"/>
      <c r="R473" s="185"/>
      <c r="S473" s="185"/>
      <c r="T473" s="185"/>
      <c r="U473" s="185"/>
      <c r="V473" s="185"/>
      <c r="W473" s="185"/>
    </row>
    <row r="474" ht="14.25" customHeight="1">
      <c r="A474" s="25"/>
      <c r="B474" s="256"/>
      <c r="C474" s="255"/>
      <c r="D474" s="190"/>
      <c r="E474" s="257"/>
      <c r="F474" s="190"/>
      <c r="G474" s="258"/>
      <c r="H474" s="190"/>
      <c r="I474" s="190"/>
      <c r="J474" s="189"/>
      <c r="K474" s="189"/>
      <c r="L474" s="270" t="str">
        <f>IFERROR(__xludf.DUMMYFUNCTION("IF(
  AND(D474=""Saída"", J474=""Sangria""),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72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85" t="str">
        <f>IFERROR(__xludf.DUMMYFUNCTION("ifna(VALUE(REGEXEXTRACT(E474,""[0-9.]+[,]+[0-9]+"")))"),"")</f>
        <v/>
      </c>
      <c r="O474" s="185"/>
      <c r="P474" s="185"/>
      <c r="Q474" s="185"/>
      <c r="R474" s="185"/>
      <c r="S474" s="185"/>
      <c r="T474" s="185"/>
      <c r="U474" s="185"/>
      <c r="V474" s="185"/>
      <c r="W474" s="185"/>
    </row>
    <row r="475" ht="14.25" customHeight="1">
      <c r="A475" s="25"/>
      <c r="B475" s="256"/>
      <c r="C475" s="255"/>
      <c r="D475" s="190"/>
      <c r="E475" s="257"/>
      <c r="F475" s="190"/>
      <c r="G475" s="258"/>
      <c r="H475" s="190"/>
      <c r="I475" s="190"/>
      <c r="J475" s="189"/>
      <c r="K475" s="189"/>
      <c r="L475" s="270" t="str">
        <f>IFERROR(__xludf.DUMMYFUNCTION("IF(
  AND(D475=""Saída"", J475=""Sangria""),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74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85" t="str">
        <f>IFERROR(__xludf.DUMMYFUNCTION("ifna(VALUE(REGEXEXTRACT(E475,""[0-9.]+[,]+[0-9]+"")))"),"")</f>
        <v/>
      </c>
      <c r="O475" s="185"/>
      <c r="P475" s="185"/>
      <c r="Q475" s="185"/>
      <c r="R475" s="185"/>
      <c r="S475" s="185"/>
      <c r="T475" s="185"/>
      <c r="U475" s="185"/>
      <c r="V475" s="185"/>
      <c r="W475" s="185"/>
    </row>
    <row r="476" ht="14.25" customHeight="1">
      <c r="A476" s="25"/>
      <c r="B476" s="256"/>
      <c r="C476" s="255"/>
      <c r="D476" s="190"/>
      <c r="E476" s="257"/>
      <c r="F476" s="190"/>
      <c r="G476" s="258"/>
      <c r="H476" s="190"/>
      <c r="I476" s="190"/>
      <c r="J476" s="189"/>
      <c r="K476" s="189"/>
      <c r="L476" s="270" t="str">
        <f>IFERROR(__xludf.DUMMYFUNCTION("IF(
  AND(D476=""Saída"", J476=""Sangria""),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72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85" t="str">
        <f>IFERROR(__xludf.DUMMYFUNCTION("ifna(VALUE(REGEXEXTRACT(E476,""[0-9.]+[,]+[0-9]+"")))"),"")</f>
        <v/>
      </c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ht="14.25" customHeight="1">
      <c r="A477" s="25"/>
      <c r="B477" s="256"/>
      <c r="C477" s="255"/>
      <c r="D477" s="190"/>
      <c r="E477" s="257"/>
      <c r="F477" s="190"/>
      <c r="G477" s="258"/>
      <c r="H477" s="190"/>
      <c r="I477" s="190"/>
      <c r="J477" s="189"/>
      <c r="K477" s="189"/>
      <c r="L477" s="270" t="str">
        <f>IFERROR(__xludf.DUMMYFUNCTION("IF(
  AND(D477=""Saída"", J477=""Sangria""),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74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85" t="str">
        <f>IFERROR(__xludf.DUMMYFUNCTION("ifna(VALUE(REGEXEXTRACT(E477,""[0-9.]+[,]+[0-9]+"")))"),"")</f>
        <v/>
      </c>
      <c r="O477" s="185"/>
      <c r="P477" s="185"/>
      <c r="Q477" s="185"/>
      <c r="R477" s="185"/>
      <c r="S477" s="185"/>
      <c r="T477" s="185"/>
      <c r="U477" s="185"/>
      <c r="V477" s="185"/>
      <c r="W477" s="185"/>
    </row>
    <row r="478" ht="14.25" customHeight="1">
      <c r="A478" s="25"/>
      <c r="B478" s="256"/>
      <c r="C478" s="255"/>
      <c r="D478" s="190"/>
      <c r="E478" s="257"/>
      <c r="F478" s="190"/>
      <c r="G478" s="258"/>
      <c r="H478" s="190"/>
      <c r="I478" s="190"/>
      <c r="J478" s="189"/>
      <c r="K478" s="189"/>
      <c r="L478" s="270" t="str">
        <f>IFERROR(__xludf.DUMMYFUNCTION("IF(
  AND(D478=""Saída"", J478=""Sangria""),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72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85" t="str">
        <f>IFERROR(__xludf.DUMMYFUNCTION("ifna(VALUE(REGEXEXTRACT(E478,""[0-9.]+[,]+[0-9]+"")))"),"")</f>
        <v/>
      </c>
      <c r="O478" s="185"/>
      <c r="P478" s="185"/>
      <c r="Q478" s="185"/>
      <c r="R478" s="185"/>
      <c r="S478" s="185"/>
      <c r="T478" s="185"/>
      <c r="U478" s="185"/>
      <c r="V478" s="185"/>
      <c r="W478" s="185"/>
    </row>
    <row r="479" ht="14.25" customHeight="1">
      <c r="A479" s="25"/>
      <c r="B479" s="256"/>
      <c r="C479" s="255"/>
      <c r="D479" s="190"/>
      <c r="E479" s="257"/>
      <c r="F479" s="190"/>
      <c r="G479" s="258"/>
      <c r="H479" s="190"/>
      <c r="I479" s="190"/>
      <c r="J479" s="189"/>
      <c r="K479" s="189"/>
      <c r="L479" s="270" t="str">
        <f>IFERROR(__xludf.DUMMYFUNCTION("IF(
  AND(D479=""Saída"", J479=""Sangria""),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74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85" t="str">
        <f>IFERROR(__xludf.DUMMYFUNCTION("ifna(VALUE(REGEXEXTRACT(E479,""[0-9.]+[,]+[0-9]+"")))"),"")</f>
        <v/>
      </c>
      <c r="O479" s="185"/>
      <c r="P479" s="185"/>
      <c r="Q479" s="185"/>
      <c r="R479" s="185"/>
      <c r="S479" s="185"/>
      <c r="T479" s="185"/>
      <c r="U479" s="185"/>
      <c r="V479" s="185"/>
      <c r="W479" s="185"/>
    </row>
    <row r="480" ht="14.25" customHeight="1">
      <c r="A480" s="25"/>
      <c r="B480" s="256"/>
      <c r="C480" s="255"/>
      <c r="D480" s="190"/>
      <c r="E480" s="257"/>
      <c r="F480" s="190"/>
      <c r="G480" s="258"/>
      <c r="H480" s="190"/>
      <c r="I480" s="190"/>
      <c r="J480" s="189"/>
      <c r="K480" s="189"/>
      <c r="L480" s="270" t="str">
        <f>IFERROR(__xludf.DUMMYFUNCTION("IF(
  AND(D480=""Saída"", J480=""Sangria""),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72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85" t="str">
        <f>IFERROR(__xludf.DUMMYFUNCTION("ifna(VALUE(REGEXEXTRACT(E480,""[0-9.]+[,]+[0-9]+"")))"),"")</f>
        <v/>
      </c>
      <c r="O480" s="185"/>
      <c r="P480" s="185"/>
      <c r="Q480" s="185"/>
      <c r="R480" s="185"/>
      <c r="S480" s="185"/>
      <c r="T480" s="185"/>
      <c r="U480" s="185"/>
      <c r="V480" s="185"/>
      <c r="W480" s="185"/>
    </row>
    <row r="481" ht="14.25" customHeight="1">
      <c r="A481" s="25"/>
      <c r="B481" s="256"/>
      <c r="C481" s="255"/>
      <c r="D481" s="190"/>
      <c r="E481" s="257"/>
      <c r="F481" s="190"/>
      <c r="G481" s="258"/>
      <c r="H481" s="190"/>
      <c r="I481" s="190"/>
      <c r="J481" s="189"/>
      <c r="K481" s="189"/>
      <c r="L481" s="270" t="str">
        <f>IFERROR(__xludf.DUMMYFUNCTION("IF(
  AND(D481=""Saída"", J481=""Sangria""),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74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85" t="str">
        <f>IFERROR(__xludf.DUMMYFUNCTION("ifna(VALUE(REGEXEXTRACT(E481,""[0-9.]+[,]+[0-9]+"")))"),"")</f>
        <v/>
      </c>
      <c r="O481" s="185"/>
      <c r="P481" s="185"/>
      <c r="Q481" s="185"/>
      <c r="R481" s="185"/>
      <c r="S481" s="185"/>
      <c r="T481" s="185"/>
      <c r="U481" s="185"/>
      <c r="V481" s="185"/>
      <c r="W481" s="185"/>
    </row>
    <row r="482" ht="14.25" customHeight="1">
      <c r="A482" s="25"/>
      <c r="B482" s="256"/>
      <c r="C482" s="255"/>
      <c r="D482" s="190"/>
      <c r="E482" s="257"/>
      <c r="F482" s="190"/>
      <c r="G482" s="258"/>
      <c r="H482" s="190"/>
      <c r="I482" s="190"/>
      <c r="J482" s="189"/>
      <c r="K482" s="189"/>
      <c r="L482" s="270" t="str">
        <f>IFERROR(__xludf.DUMMYFUNCTION("IF(
  AND(D482=""Saída"", J482=""Sangria""),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72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85" t="str">
        <f>IFERROR(__xludf.DUMMYFUNCTION("ifna(VALUE(REGEXEXTRACT(E482,""[0-9.]+[,]+[0-9]+"")))"),"")</f>
        <v/>
      </c>
      <c r="O482" s="185"/>
      <c r="P482" s="185"/>
      <c r="Q482" s="185"/>
      <c r="R482" s="185"/>
      <c r="S482" s="185"/>
      <c r="T482" s="185"/>
      <c r="U482" s="185"/>
      <c r="V482" s="185"/>
      <c r="W482" s="185"/>
    </row>
    <row r="483" ht="14.25" customHeight="1">
      <c r="A483" s="25"/>
      <c r="B483" s="256"/>
      <c r="C483" s="255"/>
      <c r="D483" s="190"/>
      <c r="E483" s="257"/>
      <c r="F483" s="190"/>
      <c r="G483" s="258"/>
      <c r="H483" s="190"/>
      <c r="I483" s="190"/>
      <c r="J483" s="189"/>
      <c r="K483" s="189"/>
      <c r="L483" s="270" t="str">
        <f>IFERROR(__xludf.DUMMYFUNCTION("IF(
  AND(D483=""Saída"", J483=""Sangria""),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74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85" t="str">
        <f>IFERROR(__xludf.DUMMYFUNCTION("ifna(VALUE(REGEXEXTRACT(E483,""[0-9.]+[,]+[0-9]+"")))"),"")</f>
        <v/>
      </c>
      <c r="O483" s="185"/>
      <c r="P483" s="185"/>
      <c r="Q483" s="185"/>
      <c r="R483" s="185"/>
      <c r="S483" s="185"/>
      <c r="T483" s="185"/>
      <c r="U483" s="185"/>
      <c r="V483" s="185"/>
      <c r="W483" s="185"/>
    </row>
    <row r="484" ht="14.25" customHeight="1">
      <c r="A484" s="25"/>
      <c r="B484" s="256"/>
      <c r="C484" s="255"/>
      <c r="D484" s="190"/>
      <c r="E484" s="257"/>
      <c r="F484" s="190"/>
      <c r="G484" s="258"/>
      <c r="H484" s="190"/>
      <c r="I484" s="190"/>
      <c r="J484" s="189"/>
      <c r="K484" s="189"/>
      <c r="L484" s="270" t="str">
        <f>IFERROR(__xludf.DUMMYFUNCTION("IF(
  AND(D484=""Saída"", J484=""Sangria""),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72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85" t="str">
        <f>IFERROR(__xludf.DUMMYFUNCTION("ifna(VALUE(REGEXEXTRACT(E484,""[0-9.]+[,]+[0-9]+"")))"),"")</f>
        <v/>
      </c>
      <c r="O484" s="185"/>
      <c r="P484" s="185"/>
      <c r="Q484" s="185"/>
      <c r="R484" s="185"/>
      <c r="S484" s="185"/>
      <c r="T484" s="185"/>
      <c r="U484" s="185"/>
      <c r="V484" s="185"/>
      <c r="W484" s="185"/>
    </row>
    <row r="485" ht="14.25" customHeight="1">
      <c r="A485" s="25"/>
      <c r="B485" s="256"/>
      <c r="C485" s="255"/>
      <c r="D485" s="190"/>
      <c r="E485" s="257"/>
      <c r="F485" s="190"/>
      <c r="G485" s="258"/>
      <c r="H485" s="190"/>
      <c r="I485" s="190"/>
      <c r="J485" s="189"/>
      <c r="K485" s="189"/>
      <c r="L485" s="270" t="str">
        <f>IFERROR(__xludf.DUMMYFUNCTION("IF(
  AND(D485=""Saída"", J485=""Sangria""),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74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85" t="str">
        <f>IFERROR(__xludf.DUMMYFUNCTION("ifna(VALUE(REGEXEXTRACT(E485,""[0-9.]+[,]+[0-9]+"")))"),"")</f>
        <v/>
      </c>
      <c r="O485" s="185"/>
      <c r="P485" s="185"/>
      <c r="Q485" s="185"/>
      <c r="R485" s="185"/>
      <c r="S485" s="185"/>
      <c r="T485" s="185"/>
      <c r="U485" s="185"/>
      <c r="V485" s="185"/>
      <c r="W485" s="185"/>
    </row>
    <row r="486" ht="14.25" customHeight="1">
      <c r="A486" s="25"/>
      <c r="B486" s="256"/>
      <c r="C486" s="255"/>
      <c r="D486" s="190"/>
      <c r="E486" s="257"/>
      <c r="F486" s="190"/>
      <c r="G486" s="258"/>
      <c r="H486" s="190"/>
      <c r="I486" s="190"/>
      <c r="J486" s="189"/>
      <c r="K486" s="189"/>
      <c r="L486" s="270" t="str">
        <f>IFERROR(__xludf.DUMMYFUNCTION("IF(
  AND(D486=""Saída"", J486=""Sangria""),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72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85" t="str">
        <f>IFERROR(__xludf.DUMMYFUNCTION("ifna(VALUE(REGEXEXTRACT(E486,""[0-9.]+[,]+[0-9]+"")))"),"")</f>
        <v/>
      </c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ht="14.25" customHeight="1">
      <c r="A487" s="25"/>
      <c r="B487" s="256"/>
      <c r="C487" s="255"/>
      <c r="D487" s="190"/>
      <c r="E487" s="257"/>
      <c r="F487" s="190"/>
      <c r="G487" s="258"/>
      <c r="H487" s="190"/>
      <c r="I487" s="190"/>
      <c r="J487" s="189"/>
      <c r="K487" s="189"/>
      <c r="L487" s="270" t="str">
        <f>IFERROR(__xludf.DUMMYFUNCTION("IF(
  AND(D487=""Saída"", J487=""Sangria""),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74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85" t="str">
        <f>IFERROR(__xludf.DUMMYFUNCTION("ifna(VALUE(REGEXEXTRACT(E487,""[0-9.]+[,]+[0-9]+"")))"),"")</f>
        <v/>
      </c>
      <c r="O487" s="185"/>
      <c r="P487" s="185"/>
      <c r="Q487" s="185"/>
      <c r="R487" s="185"/>
      <c r="S487" s="185"/>
      <c r="T487" s="185"/>
      <c r="U487" s="185"/>
      <c r="V487" s="185"/>
      <c r="W487" s="185"/>
    </row>
    <row r="488" ht="14.25" customHeight="1">
      <c r="A488" s="25"/>
      <c r="B488" s="256"/>
      <c r="C488" s="255"/>
      <c r="D488" s="190"/>
      <c r="E488" s="257"/>
      <c r="F488" s="190"/>
      <c r="G488" s="258"/>
      <c r="H488" s="190"/>
      <c r="I488" s="190"/>
      <c r="J488" s="189"/>
      <c r="K488" s="189"/>
      <c r="L488" s="270" t="str">
        <f>IFERROR(__xludf.DUMMYFUNCTION("IF(
  AND(D488=""Saída"", J488=""Sangria""),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72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85" t="str">
        <f>IFERROR(__xludf.DUMMYFUNCTION("ifna(VALUE(REGEXEXTRACT(E488,""[0-9.]+[,]+[0-9]+"")))"),"")</f>
        <v/>
      </c>
      <c r="O488" s="185"/>
      <c r="P488" s="185"/>
      <c r="Q488" s="185"/>
      <c r="R488" s="185"/>
      <c r="S488" s="185"/>
      <c r="T488" s="185"/>
      <c r="U488" s="185"/>
      <c r="V488" s="185"/>
      <c r="W488" s="185"/>
    </row>
    <row r="489" ht="14.25" customHeight="1">
      <c r="A489" s="25"/>
      <c r="B489" s="256"/>
      <c r="C489" s="255"/>
      <c r="D489" s="190"/>
      <c r="E489" s="257"/>
      <c r="F489" s="190"/>
      <c r="G489" s="258"/>
      <c r="H489" s="190"/>
      <c r="I489" s="190"/>
      <c r="J489" s="189"/>
      <c r="K489" s="189"/>
      <c r="L489" s="270" t="str">
        <f>IFERROR(__xludf.DUMMYFUNCTION("IF(
  AND(D489=""Saída"", J489=""Sangria""),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74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85" t="str">
        <f>IFERROR(__xludf.DUMMYFUNCTION("ifna(VALUE(REGEXEXTRACT(E489,""[0-9.]+[,]+[0-9]+"")))"),"")</f>
        <v/>
      </c>
      <c r="O489" s="185"/>
      <c r="P489" s="185"/>
      <c r="Q489" s="185"/>
      <c r="R489" s="185"/>
      <c r="S489" s="185"/>
      <c r="T489" s="185"/>
      <c r="U489" s="185"/>
      <c r="V489" s="185"/>
      <c r="W489" s="185"/>
    </row>
    <row r="490" ht="14.25" customHeight="1">
      <c r="A490" s="25"/>
      <c r="B490" s="256"/>
      <c r="C490" s="255"/>
      <c r="D490" s="190"/>
      <c r="E490" s="257"/>
      <c r="F490" s="190"/>
      <c r="G490" s="258"/>
      <c r="H490" s="190"/>
      <c r="I490" s="190"/>
      <c r="J490" s="189"/>
      <c r="K490" s="189"/>
      <c r="L490" s="270" t="str">
        <f>IFERROR(__xludf.DUMMYFUNCTION("IF(
  AND(D490=""Saída"", J490=""Sangria""),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72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85" t="str">
        <f>IFERROR(__xludf.DUMMYFUNCTION("ifna(VALUE(REGEXEXTRACT(E490,""[0-9.]+[,]+[0-9]+"")))"),"")</f>
        <v/>
      </c>
      <c r="O490" s="185"/>
      <c r="P490" s="185"/>
      <c r="Q490" s="185"/>
      <c r="R490" s="185"/>
      <c r="S490" s="185"/>
      <c r="T490" s="185"/>
      <c r="U490" s="185"/>
      <c r="V490" s="185"/>
      <c r="W490" s="185"/>
    </row>
    <row r="491" ht="14.25" customHeight="1">
      <c r="A491" s="25"/>
      <c r="B491" s="256"/>
      <c r="C491" s="255"/>
      <c r="D491" s="190"/>
      <c r="E491" s="257"/>
      <c r="F491" s="190"/>
      <c r="G491" s="258"/>
      <c r="H491" s="190"/>
      <c r="I491" s="190"/>
      <c r="J491" s="189"/>
      <c r="K491" s="189"/>
      <c r="L491" s="270" t="str">
        <f>IFERROR(__xludf.DUMMYFUNCTION("IF(
  AND(D491=""Saída"", J491=""Sangria""),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74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85" t="str">
        <f>IFERROR(__xludf.DUMMYFUNCTION("ifna(VALUE(REGEXEXTRACT(E491,""[0-9.]+[,]+[0-9]+"")))"),"")</f>
        <v/>
      </c>
      <c r="O491" s="185"/>
      <c r="P491" s="185"/>
      <c r="Q491" s="185"/>
      <c r="R491" s="185"/>
      <c r="S491" s="185"/>
      <c r="T491" s="185"/>
      <c r="U491" s="185"/>
      <c r="V491" s="185"/>
      <c r="W491" s="185"/>
    </row>
    <row r="492" ht="14.25" customHeight="1">
      <c r="A492" s="25"/>
      <c r="B492" s="256"/>
      <c r="C492" s="255"/>
      <c r="D492" s="190"/>
      <c r="E492" s="257"/>
      <c r="F492" s="190"/>
      <c r="G492" s="258"/>
      <c r="H492" s="190"/>
      <c r="I492" s="190"/>
      <c r="J492" s="189"/>
      <c r="K492" s="189"/>
      <c r="L492" s="270" t="str">
        <f>IFERROR(__xludf.DUMMYFUNCTION("IF(
  AND(D492=""Saída"", J492=""Sangria""),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72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85" t="str">
        <f>IFERROR(__xludf.DUMMYFUNCTION("ifna(VALUE(REGEXEXTRACT(E492,""[0-9.]+[,]+[0-9]+"")))"),"")</f>
        <v/>
      </c>
      <c r="O492" s="185"/>
      <c r="P492" s="185"/>
      <c r="Q492" s="185"/>
      <c r="R492" s="185"/>
      <c r="S492" s="185"/>
      <c r="T492" s="185"/>
      <c r="U492" s="185"/>
      <c r="V492" s="185"/>
      <c r="W492" s="185"/>
    </row>
    <row r="493" ht="14.25" customHeight="1">
      <c r="A493" s="25"/>
      <c r="B493" s="256"/>
      <c r="C493" s="255"/>
      <c r="D493" s="190"/>
      <c r="E493" s="257"/>
      <c r="F493" s="190"/>
      <c r="G493" s="258"/>
      <c r="H493" s="190"/>
      <c r="I493" s="190"/>
      <c r="J493" s="189"/>
      <c r="K493" s="189"/>
      <c r="L493" s="270" t="str">
        <f>IFERROR(__xludf.DUMMYFUNCTION("IF(
  AND(D493=""Saída"", J493=""Sangria""),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74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85" t="str">
        <f>IFERROR(__xludf.DUMMYFUNCTION("ifna(VALUE(REGEXEXTRACT(E493,""[0-9.]+[,]+[0-9]+"")))"),"")</f>
        <v/>
      </c>
      <c r="O493" s="185"/>
      <c r="P493" s="185"/>
      <c r="Q493" s="185"/>
      <c r="R493" s="185"/>
      <c r="S493" s="185"/>
      <c r="T493" s="185"/>
      <c r="U493" s="185"/>
      <c r="V493" s="185"/>
      <c r="W493" s="185"/>
    </row>
    <row r="494" ht="14.25" customHeight="1">
      <c r="A494" s="25"/>
      <c r="B494" s="256"/>
      <c r="C494" s="255"/>
      <c r="D494" s="190"/>
      <c r="E494" s="257"/>
      <c r="F494" s="190"/>
      <c r="G494" s="258"/>
      <c r="H494" s="190"/>
      <c r="I494" s="190"/>
      <c r="J494" s="189"/>
      <c r="K494" s="189"/>
      <c r="L494" s="270" t="str">
        <f>IFERROR(__xludf.DUMMYFUNCTION("IF(
  AND(D494=""Saída"", J494=""Sangria""),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72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85" t="str">
        <f>IFERROR(__xludf.DUMMYFUNCTION("ifna(VALUE(REGEXEXTRACT(E494,""[0-9.]+[,]+[0-9]+"")))"),"")</f>
        <v/>
      </c>
      <c r="O494" s="185"/>
      <c r="P494" s="185"/>
      <c r="Q494" s="185"/>
      <c r="R494" s="185"/>
      <c r="S494" s="185"/>
      <c r="T494" s="185"/>
      <c r="U494" s="185"/>
      <c r="V494" s="185"/>
      <c r="W494" s="185"/>
    </row>
    <row r="495" ht="14.25" customHeight="1">
      <c r="A495" s="25"/>
      <c r="B495" s="256"/>
      <c r="C495" s="255"/>
      <c r="D495" s="190"/>
      <c r="E495" s="257"/>
      <c r="F495" s="190"/>
      <c r="G495" s="258"/>
      <c r="H495" s="190"/>
      <c r="I495" s="190"/>
      <c r="J495" s="189"/>
      <c r="K495" s="189"/>
      <c r="L495" s="270" t="str">
        <f>IFERROR(__xludf.DUMMYFUNCTION("IF(
  AND(D495=""Saída"", J495=""Sangria""),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74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85" t="str">
        <f>IFERROR(__xludf.DUMMYFUNCTION("ifna(VALUE(REGEXEXTRACT(E495,""[0-9.]+[,]+[0-9]+"")))"),"")</f>
        <v/>
      </c>
      <c r="O495" s="185"/>
      <c r="P495" s="185"/>
      <c r="Q495" s="185"/>
      <c r="R495" s="185"/>
      <c r="S495" s="185"/>
      <c r="T495" s="185"/>
      <c r="U495" s="185"/>
      <c r="V495" s="185"/>
      <c r="W495" s="185"/>
    </row>
    <row r="496" ht="14.25" customHeight="1">
      <c r="A496" s="25"/>
      <c r="B496" s="256"/>
      <c r="C496" s="255"/>
      <c r="D496" s="190"/>
      <c r="E496" s="257"/>
      <c r="F496" s="190"/>
      <c r="G496" s="258"/>
      <c r="H496" s="190"/>
      <c r="I496" s="190"/>
      <c r="J496" s="189"/>
      <c r="K496" s="189"/>
      <c r="L496" s="270" t="str">
        <f>IFERROR(__xludf.DUMMYFUNCTION("IF(
  AND(D496=""Saída"", J496=""Sangria""),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72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85" t="str">
        <f>IFERROR(__xludf.DUMMYFUNCTION("ifna(VALUE(REGEXEXTRACT(E496,""[0-9.]+[,]+[0-9]+"")))"),"")</f>
        <v/>
      </c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ht="14.25" customHeight="1">
      <c r="A497" s="25"/>
      <c r="B497" s="256"/>
      <c r="C497" s="255"/>
      <c r="D497" s="190"/>
      <c r="E497" s="257"/>
      <c r="F497" s="190"/>
      <c r="G497" s="258"/>
      <c r="H497" s="190"/>
      <c r="I497" s="190"/>
      <c r="J497" s="189"/>
      <c r="K497" s="189"/>
      <c r="L497" s="270" t="str">
        <f>IFERROR(__xludf.DUMMYFUNCTION("IF(
  AND(D497=""Saída"", J497=""Sangria""),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74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85" t="str">
        <f>IFERROR(__xludf.DUMMYFUNCTION("ifna(VALUE(REGEXEXTRACT(E497,""[0-9.]+[,]+[0-9]+"")))"),"")</f>
        <v/>
      </c>
      <c r="O497" s="185"/>
      <c r="P497" s="185"/>
      <c r="Q497" s="185"/>
      <c r="R497" s="185"/>
      <c r="S497" s="185"/>
      <c r="T497" s="185"/>
      <c r="U497" s="185"/>
      <c r="V497" s="185"/>
      <c r="W497" s="185"/>
    </row>
    <row r="498" ht="14.25" customHeight="1">
      <c r="A498" s="25"/>
      <c r="B498" s="256"/>
      <c r="C498" s="255"/>
      <c r="D498" s="190"/>
      <c r="E498" s="257"/>
      <c r="F498" s="190"/>
      <c r="G498" s="258"/>
      <c r="H498" s="190"/>
      <c r="I498" s="190"/>
      <c r="J498" s="189"/>
      <c r="K498" s="189"/>
      <c r="L498" s="270" t="str">
        <f>IFERROR(__xludf.DUMMYFUNCTION("IF(
  AND(D498=""Saída"", J498=""Sangria""),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72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85" t="str">
        <f>IFERROR(__xludf.DUMMYFUNCTION("ifna(VALUE(REGEXEXTRACT(E498,""[0-9.]+[,]+[0-9]+"")))"),"")</f>
        <v/>
      </c>
      <c r="O498" s="185"/>
      <c r="P498" s="185"/>
      <c r="Q498" s="185"/>
      <c r="R498" s="185"/>
      <c r="S498" s="185"/>
      <c r="T498" s="185"/>
      <c r="U498" s="185"/>
      <c r="V498" s="185"/>
      <c r="W498" s="185"/>
    </row>
    <row r="499" ht="14.25" customHeight="1">
      <c r="A499" s="25"/>
      <c r="B499" s="256"/>
      <c r="C499" s="255"/>
      <c r="D499" s="190"/>
      <c r="E499" s="257"/>
      <c r="F499" s="190"/>
      <c r="G499" s="258"/>
      <c r="H499" s="190"/>
      <c r="I499" s="190"/>
      <c r="J499" s="189"/>
      <c r="K499" s="189"/>
      <c r="L499" s="270" t="str">
        <f>IFERROR(__xludf.DUMMYFUNCTION("IF(
  AND(D499=""Saída"", J499=""Sangria""),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74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85" t="str">
        <f>IFERROR(__xludf.DUMMYFUNCTION("ifna(VALUE(REGEXEXTRACT(E499,""[0-9.]+[,]+[0-9]+"")))"),"")</f>
        <v/>
      </c>
      <c r="O499" s="185"/>
      <c r="P499" s="185"/>
      <c r="Q499" s="185"/>
      <c r="R499" s="185"/>
      <c r="S499" s="185"/>
      <c r="T499" s="185"/>
      <c r="U499" s="185"/>
      <c r="V499" s="185"/>
      <c r="W499" s="185"/>
    </row>
    <row r="500" ht="14.25" customHeight="1">
      <c r="A500" s="25"/>
      <c r="B500" s="256"/>
      <c r="C500" s="255"/>
      <c r="D500" s="190"/>
      <c r="E500" s="257"/>
      <c r="F500" s="190"/>
      <c r="G500" s="258"/>
      <c r="H500" s="190"/>
      <c r="I500" s="190"/>
      <c r="J500" s="189"/>
      <c r="K500" s="189"/>
      <c r="L500" s="270" t="str">
        <f>IFERROR(__xludf.DUMMYFUNCTION("IF(
  AND(D500=""Saída"", J500=""Sangria""),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72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85" t="str">
        <f>IFERROR(__xludf.DUMMYFUNCTION("ifna(VALUE(REGEXEXTRACT(E500,""[0-9.]+[,]+[0-9]+"")))"),"")</f>
        <v/>
      </c>
      <c r="O500" s="185"/>
      <c r="P500" s="185"/>
      <c r="Q500" s="185"/>
      <c r="R500" s="185"/>
      <c r="S500" s="185"/>
      <c r="T500" s="185"/>
      <c r="U500" s="185"/>
      <c r="V500" s="185"/>
      <c r="W500" s="185"/>
    </row>
    <row r="501" ht="14.25" customHeight="1">
      <c r="A501" s="25"/>
      <c r="B501" s="256"/>
      <c r="C501" s="255"/>
      <c r="D501" s="190"/>
      <c r="E501" s="257"/>
      <c r="F501" s="190"/>
      <c r="G501" s="258"/>
      <c r="H501" s="190"/>
      <c r="I501" s="190"/>
      <c r="J501" s="189"/>
      <c r="K501" s="189"/>
      <c r="L501" s="270" t="str">
        <f>IFERROR(__xludf.DUMMYFUNCTION("IF(
  AND(D501=""Saída"", J501=""Sangria""),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274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85" t="str">
        <f>IFERROR(__xludf.DUMMYFUNCTION("ifna(VALUE(REGEXEXTRACT(E501,""[0-9.]+[,]+[0-9]+"")))"),"")</f>
        <v/>
      </c>
      <c r="O501" s="185"/>
      <c r="P501" s="185"/>
      <c r="Q501" s="185"/>
      <c r="R501" s="185"/>
      <c r="S501" s="185"/>
      <c r="T501" s="185"/>
      <c r="U501" s="185"/>
      <c r="V501" s="185"/>
      <c r="W501" s="185"/>
    </row>
    <row r="502" ht="14.25" customHeight="1">
      <c r="A502" s="25"/>
      <c r="B502" s="256"/>
      <c r="C502" s="255"/>
      <c r="D502" s="190"/>
      <c r="E502" s="257"/>
      <c r="F502" s="190"/>
      <c r="G502" s="258"/>
      <c r="H502" s="190"/>
      <c r="I502" s="190"/>
      <c r="J502" s="189"/>
      <c r="K502" s="189"/>
      <c r="L502" s="270" t="str">
        <f>IFERROR(__xludf.DUMMYFUNCTION("IF(
  AND(D502=""Saída"", J502=""Sangria""),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272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85" t="str">
        <f>IFERROR(__xludf.DUMMYFUNCTION("ifna(VALUE(REGEXEXTRACT(E502,""[0-9.]+[,]+[0-9]+"")))"),"")</f>
        <v/>
      </c>
      <c r="O502" s="185"/>
      <c r="P502" s="185"/>
      <c r="Q502" s="185"/>
      <c r="R502" s="185"/>
      <c r="S502" s="185"/>
      <c r="T502" s="185"/>
      <c r="U502" s="185"/>
      <c r="V502" s="185"/>
      <c r="W502" s="185"/>
    </row>
    <row r="503" ht="14.25" customHeight="1">
      <c r="A503" s="25"/>
      <c r="B503" s="256"/>
      <c r="C503" s="255"/>
      <c r="D503" s="190"/>
      <c r="E503" s="257"/>
      <c r="F503" s="190"/>
      <c r="G503" s="258"/>
      <c r="H503" s="190"/>
      <c r="I503" s="190"/>
      <c r="J503" s="189"/>
      <c r="K503" s="189"/>
      <c r="L503" s="270" t="str">
        <f>IFERROR(__xludf.DUMMYFUNCTION("IF(
  AND(D503=""Saída"", J503=""Sangria""),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274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85" t="str">
        <f>IFERROR(__xludf.DUMMYFUNCTION("ifna(VALUE(REGEXEXTRACT(E503,""[0-9.]+[,]+[0-9]+"")))"),"")</f>
        <v/>
      </c>
      <c r="O503" s="185"/>
      <c r="P503" s="185"/>
      <c r="Q503" s="185"/>
      <c r="R503" s="185"/>
      <c r="S503" s="185"/>
      <c r="T503" s="185"/>
      <c r="U503" s="185"/>
      <c r="V503" s="185"/>
      <c r="W503" s="185"/>
    </row>
    <row r="504" ht="14.25" customHeight="1">
      <c r="A504" s="25"/>
      <c r="B504" s="260"/>
      <c r="C504" s="261"/>
      <c r="D504" s="262"/>
      <c r="E504" s="263"/>
      <c r="F504" s="262"/>
      <c r="G504" s="264"/>
      <c r="H504" s="262"/>
      <c r="I504" s="262"/>
      <c r="J504" s="265"/>
      <c r="K504" s="265"/>
      <c r="L504" s="270" t="str">
        <f>IFERROR(__xludf.DUMMYFUNCTION("IF(
  AND(D504=""Saída"", J504=""Sangria""),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272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85" t="str">
        <f>IFERROR(__xludf.DUMMYFUNCTION("ifna(VALUE(REGEXEXTRACT(E504,""[0-9.]+[,]+[0-9]+"")))"),"")</f>
        <v/>
      </c>
      <c r="O504" s="185"/>
      <c r="P504" s="185"/>
      <c r="Q504" s="185"/>
      <c r="R504" s="185"/>
      <c r="S504" s="185"/>
      <c r="T504" s="185"/>
      <c r="U504" s="185"/>
      <c r="V504" s="185"/>
      <c r="W504" s="185"/>
    </row>
    <row r="505" ht="14.25" customHeight="1">
      <c r="A505" s="25"/>
      <c r="B505" s="320"/>
      <c r="C505" s="255"/>
      <c r="D505" s="190"/>
      <c r="E505" s="257"/>
      <c r="F505" s="190"/>
      <c r="G505" s="258"/>
      <c r="H505" s="190"/>
      <c r="I505" s="190"/>
      <c r="J505" s="189"/>
      <c r="K505" s="189"/>
      <c r="L505" s="270" t="str">
        <f>IFERROR(__xludf.DUMMYFUNCTION("IF(
  AND(D505=""Saída"", J505=""Sangria""),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274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</row>
    <row r="506" ht="14.25" customHeight="1">
      <c r="A506" s="25"/>
      <c r="B506" s="320"/>
      <c r="C506" s="255"/>
      <c r="D506" s="190"/>
      <c r="E506" s="257"/>
      <c r="F506" s="190"/>
      <c r="G506" s="258"/>
      <c r="H506" s="190"/>
      <c r="I506" s="190"/>
      <c r="J506" s="189"/>
      <c r="K506" s="189"/>
      <c r="L506" s="270" t="str">
        <f>IFERROR(__xludf.DUMMYFUNCTION("IF(
  AND(D506=""Saída"", J506=""Sangria""),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272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ht="14.25" customHeight="1">
      <c r="A507" s="25"/>
      <c r="B507" s="320"/>
      <c r="C507" s="255"/>
      <c r="D507" s="190"/>
      <c r="E507" s="257"/>
      <c r="F507" s="190"/>
      <c r="G507" s="258"/>
      <c r="H507" s="190"/>
      <c r="I507" s="190"/>
      <c r="J507" s="189"/>
      <c r="K507" s="189"/>
      <c r="L507" s="270" t="str">
        <f>IFERROR(__xludf.DUMMYFUNCTION("IF(
  AND(D507=""Saída"", J507=""Sangria""),
  IFNA(
    IF(
      SUM(
        QUERY(
          IMPORTRANGE(""https://docs.google.com/spreadsheets/d/1ykfbEpHEAAZVCgujsGjRFJRCTULkzlWa8UjdyLzkDBM"",
          ""Movimentações de Sangrias!A:I""),
          "&amp;"""select Col6 
           where Col7 = 'Depositada'
             and Col9 = '""&amp;K507&amp;""'
             and Col6 = ""&amp;N507&amp;""
             and Col4 = date '""&amp;TEXT(C507,""yyyy-mm-dd"")&amp;""'""
        )
      )&gt;0,
      ""Depositada"",
      IF(
        SUM("&amp;"
          QUERY(
            IMPORTRANGE(""https://docs.google.com/spreadsheets/d/1ykfbEpHEAAZVCgujsGjRFJRCTULkzlWa8UjdyLzkDBM"",
            ""Movimentações de Sangrias!A:I""),
            ""select Col6 
             where Col7 = 'Caixa Atendimento'
   "&amp;"            and Col9 = '""&amp;K507&amp;""'
               and Col6 = ""&amp;N507&amp;""
               and Col4 = date '""&amp;TEXT(C507,""yyyy-mm-dd"")&amp;""'""
          )
        )&gt;0,
        ""Caixa Atendimento"",
        IF(
          SUM(
            QUERY(
            "&amp;"  IMPORTRANGE(""https://docs.google.com/spreadsheets/d/1ykfbEpHEAAZVCgujsGjRFJRCTULkzlWa8UjdyLzkDBM"",
              ""Movimentações de Sangrias!A:I""),
              ""select Col6 
               where Col7 = 'Confirmada'
                 and Col9 = '""&amp;"&amp;"K507&amp;""'
                 and Col6 = ""&amp;N507&amp;""
                 and Col4 = date '""&amp;TEXT(C507,""yyyy-mm-dd"")&amp;""'""
            )
          )&gt;0,
          ""Confirmada"",
          ""Caixa Sangria""
        )
      )
    ),
    """"
  ),
  """"
)
"),"")</f>
        <v/>
      </c>
      <c r="M507" s="274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</row>
  </sheetData>
  <mergeCells count="99">
    <mergeCell ref="O37:R37"/>
    <mergeCell ref="O59:T60"/>
    <mergeCell ref="S61:T61"/>
    <mergeCell ref="O106:V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52:U152"/>
    <mergeCell ref="S153:U153"/>
    <mergeCell ref="S154:U154"/>
    <mergeCell ref="S155:U155"/>
    <mergeCell ref="S156:U156"/>
    <mergeCell ref="S157:U157"/>
    <mergeCell ref="S158:U158"/>
    <mergeCell ref="S145:U145"/>
    <mergeCell ref="S146:U146"/>
    <mergeCell ref="S147:U147"/>
    <mergeCell ref="S148:U148"/>
    <mergeCell ref="S149:U149"/>
    <mergeCell ref="S150:U150"/>
    <mergeCell ref="S151:U151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7:W37"/>
  </mergeCells>
  <conditionalFormatting sqref="E29:E213">
    <cfRule type="expression" dxfId="5" priority="1">
      <formula>and($J$22:$J$497="Sangria",$D$22:$D$497="Saída")</formula>
    </cfRule>
  </conditionalFormatting>
  <conditionalFormatting sqref="D4 D11">
    <cfRule type="cellIs" dxfId="6" priority="2" operator="greaterThanOrEqual">
      <formula>500</formula>
    </cfRule>
  </conditionalFormatting>
  <conditionalFormatting sqref="D4 D11">
    <cfRule type="cellIs" dxfId="7" priority="3" operator="between">
      <formula>400</formula>
      <formula>500</formula>
    </cfRule>
  </conditionalFormatting>
  <conditionalFormatting sqref="F4 F11">
    <cfRule type="cellIs" dxfId="6" priority="4" operator="greaterThanOrEqual">
      <formula>500</formula>
    </cfRule>
  </conditionalFormatting>
  <conditionalFormatting sqref="F4 F11">
    <cfRule type="cellIs" dxfId="8" priority="5" operator="between">
      <formula>400</formula>
      <formula>500</formula>
    </cfRule>
  </conditionalFormatting>
  <conditionalFormatting sqref="H4 H11">
    <cfRule type="cellIs" dxfId="6" priority="6" operator="greaterThanOrEqual">
      <formula>500</formula>
    </cfRule>
  </conditionalFormatting>
  <conditionalFormatting sqref="H4 H11">
    <cfRule type="cellIs" dxfId="8" priority="7" operator="between">
      <formula>400</formula>
      <formula>500</formula>
    </cfRule>
  </conditionalFormatting>
  <conditionalFormatting sqref="J4 J11">
    <cfRule type="cellIs" dxfId="6" priority="8" operator="greaterThanOrEqual">
      <formula>500</formula>
    </cfRule>
  </conditionalFormatting>
  <conditionalFormatting sqref="J4 J11">
    <cfRule type="cellIs" dxfId="7" priority="9" operator="between">
      <formula>400</formula>
      <formula>500</formula>
    </cfRule>
  </conditionalFormatting>
  <conditionalFormatting sqref="L4:W4 L11 D20 O20:W20 O38:W38 U58:W58">
    <cfRule type="cellIs" dxfId="6" priority="10" operator="greaterThanOrEqual">
      <formula>500</formula>
    </cfRule>
  </conditionalFormatting>
  <conditionalFormatting sqref="L4:W4 L11 D20 O20:W20 O38:W38 U58:W58">
    <cfRule type="cellIs" dxfId="7" priority="11" operator="between">
      <formula>400</formula>
      <formula>500</formula>
    </cfRule>
  </conditionalFormatting>
  <conditionalFormatting sqref="E29:E507">
    <cfRule type="containsText" dxfId="9" priority="12" operator="containsText" text="R$">
      <formula>NOT(ISERROR(SEARCH(("R$"),(E29))))</formula>
    </cfRule>
  </conditionalFormatting>
  <conditionalFormatting sqref="B29:B60 C29:K507 B62:B507">
    <cfRule type="expression" dxfId="5" priority="13">
      <formula>and($J$29:$J$504="Sangria",$D$29:$D$504="Saída")</formula>
    </cfRule>
  </conditionalFormatting>
  <conditionalFormatting sqref="K29:K507">
    <cfRule type="expression" dxfId="10" priority="14">
      <formula>or($J$29:$J$218="Compra Moedas",$J$29:$J$218="Cortesias",$J$29:$J$218="Troco")</formula>
    </cfRule>
  </conditionalFormatting>
  <conditionalFormatting sqref="K29:K507">
    <cfRule type="expression" dxfId="11" priority="15">
      <formula>or(and($J$29:$J$218="Consumo",or($K$29:$K$218="Compra Moedas",$K$29:$K$218="Cortesia",$K$29:$K$218="Caixa Sangrias",$K$29:$K$218="Caixa Troco",$K$29:$K$218="Caixa Atendimento",$K$29:$K$218="Depositado",$K$29:$K$218="-Nenhum-")),and($J$29:$J$218="Adiantamento",or($K$29:$K$218="Compra Moedas",$K$29:$K$218="Cortesia",$K$29:$K$218="Caixa Sangrias",$K$29:$K$218="Caixa Troco",$K$29:$K$218="Caixa Atendimento",$K$29:$K$218="Depositado",$K$29:$K$218="-Nenhum-")))</formula>
    </cfRule>
  </conditionalFormatting>
  <conditionalFormatting sqref="I29:I507">
    <cfRule type="expression" dxfId="8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7">
    <cfRule type="expression" dxfId="8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2" priority="18">
      <formula>LEN(TRIM(I43))&gt;0</formula>
    </cfRule>
  </conditionalFormatting>
  <conditionalFormatting sqref="I29:I507">
    <cfRule type="expression" dxfId="8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7">
    <cfRule type="expression" dxfId="8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7">
    <cfRule type="expression" dxfId="11" priority="21">
      <formula>and($C$29:$C$218="",or($D$29:$D$218="Entrada",$D$29:$D$218="Saída"))</formula>
    </cfRule>
  </conditionalFormatting>
  <conditionalFormatting sqref="I29:I507">
    <cfRule type="expression" dxfId="8" priority="22">
      <formula>and(K29 = "",or(J29="Consumo",J29="Adiantamento"))</formula>
    </cfRule>
  </conditionalFormatting>
  <conditionalFormatting sqref="M29:M507">
    <cfRule type="cellIs" dxfId="8" priority="23" operator="equal">
      <formula>"Não Encontrada"</formula>
    </cfRule>
  </conditionalFormatting>
  <conditionalFormatting sqref="L29:L507">
    <cfRule type="cellIs" dxfId="8" priority="24" operator="equal">
      <formula>"Caixa Sangria"</formula>
    </cfRule>
  </conditionalFormatting>
  <dataValidations>
    <dataValidation type="list" allowBlank="1" showErrorMessage="1" sqref="K29:K507">
      <formula1>'JUNHO 2026'!$B$4:$B$16</formula1>
    </dataValidation>
    <dataValidation type="list" allowBlank="1" showErrorMessage="1" sqref="J29:J208 J210:J267 J269:J286 J288:J303 J306:J308 J310:J376 J378:J388 J390:J507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